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comments3.xml" ContentType="application/vnd.openxmlformats-officedocument.spreadsheetml.comment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comments4.xml" ContentType="application/vnd.openxmlformats-officedocument.spreadsheetml.comment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lh\AppData\Local\Temp\MicrosoftEdgeDownloads\fe8afca8-418a-4a83-bfb8-e1b8c28d68e8\"/>
    </mc:Choice>
  </mc:AlternateContent>
  <xr:revisionPtr revIDLastSave="0" documentId="13_ncr:1_{ACAEAFEF-40C1-43C8-8283-64965CD55457}" xr6:coauthVersionLast="47" xr6:coauthVersionMax="47" xr10:uidLastSave="{00000000-0000-0000-0000-000000000000}"/>
  <bookViews>
    <workbookView xWindow="-110" yWindow="-110" windowWidth="19420" windowHeight="10300" tabRatio="914" firstSheet="14" activeTab="18" xr2:uid="{00000000-000D-0000-FFFF-FFFF00000000}"/>
  </bookViews>
  <sheets>
    <sheet name="Ma trận PET" sheetId="27" r:id="rId1"/>
    <sheet name="PET-tháng" sheetId="54" r:id="rId2"/>
    <sheet name="PET_tuan" sheetId="63" r:id="rId3"/>
    <sheet name="Ma trận PET- Fiber" sheetId="76" r:id="rId4"/>
    <sheet name="PET Fiber_tháng" sheetId="86" r:id="rId5"/>
    <sheet name="PET Fiber_tuan " sheetId="77" r:id="rId6"/>
    <sheet name="Ma trận HDPE thổi" sheetId="22" r:id="rId7"/>
    <sheet name="HD thổi-tháng" sheetId="55" r:id="rId8"/>
    <sheet name="HD thổi_tuần" sheetId="39" r:id="rId9"/>
    <sheet name="Ma trận HDPE Ép" sheetId="69" r:id="rId10"/>
    <sheet name="HD Ép-tháng" sheetId="70" r:id="rId11"/>
    <sheet name="HD Ép_tuần" sheetId="71" r:id="rId12"/>
    <sheet name="Ma trận giá bán rPP" sheetId="65" r:id="rId13"/>
    <sheet name="PP-tháng" sheetId="68" r:id="rId14"/>
    <sheet name="PP_tuần" sheetId="66" r:id="rId15"/>
    <sheet name="Ma trận giá bán vảy PP" sheetId="81" r:id="rId16"/>
    <sheet name="Vảy PP_tháng" sheetId="88" r:id="rId17"/>
    <sheet name="Vảy PP_tuần" sheetId="82" r:id="rId18"/>
    <sheet name="Ma trận giá bán vảy HDPE ÉP" sheetId="83" r:id="rId19"/>
    <sheet name="Vảy HD ÉP_tháng" sheetId="84" r:id="rId20"/>
    <sheet name="Vảy HD ÉP_tuần" sheetId="87" r:id="rId21"/>
  </sheets>
  <externalReferences>
    <externalReference r:id="rId22"/>
  </externalReferences>
  <definedNames>
    <definedName name="\T" localSheetId="8">#REF!</definedName>
    <definedName name="\T" localSheetId="7">#REF!</definedName>
    <definedName name="\T" localSheetId="4">#REF!</definedName>
    <definedName name="\T" localSheetId="5">#REF!</definedName>
    <definedName name="\T" localSheetId="2">#REF!</definedName>
    <definedName name="\T" localSheetId="1">#REF!</definedName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 localSheetId="8">#REF!</definedName>
    <definedName name="ChemicalReagent" localSheetId="7">#REF!</definedName>
    <definedName name="ChemicalReagent" localSheetId="4">#REF!</definedName>
    <definedName name="ChemicalReagent" localSheetId="5">#REF!</definedName>
    <definedName name="ChemicalReagent" localSheetId="2">#REF!</definedName>
    <definedName name="ChemicalReagent" localSheetId="1">#REF!</definedName>
    <definedName name="ChemicalReagent">#REF!</definedName>
    <definedName name="CL" localSheetId="8">#REF!</definedName>
    <definedName name="CL" localSheetId="7">#REF!</definedName>
    <definedName name="CL" localSheetId="4">#REF!</definedName>
    <definedName name="CL" localSheetId="5">#REF!</definedName>
    <definedName name="CL" localSheetId="2">#REF!</definedName>
    <definedName name="CL" localSheetId="1">#REF!</definedName>
    <definedName name="CL">#REF!</definedName>
    <definedName name="CLTMP" localSheetId="8">#REF!</definedName>
    <definedName name="CLTMP" localSheetId="7">#REF!</definedName>
    <definedName name="CLTMP" localSheetId="4">#REF!</definedName>
    <definedName name="CLTMP" localSheetId="5">#REF!</definedName>
    <definedName name="CLTMP" localSheetId="2">#REF!</definedName>
    <definedName name="CLTMP" localSheetId="1">#REF!</definedName>
    <definedName name="CLTMP">#REF!</definedName>
    <definedName name="CLVC">#REF!</definedName>
    <definedName name="cong_bq" localSheetId="8">#REF!</definedName>
    <definedName name="cong_bq" localSheetId="7">#REF!</definedName>
    <definedName name="cong_bq" localSheetId="4">#REF!</definedName>
    <definedName name="cong_bq" localSheetId="5">#REF!</definedName>
    <definedName name="cong_bq" localSheetId="2">#REF!</definedName>
    <definedName name="cong_bq" localSheetId="1">#REF!</definedName>
    <definedName name="cong_bq">#REF!</definedName>
    <definedName name="cong_bv" localSheetId="8">#REF!</definedName>
    <definedName name="cong_bv" localSheetId="7">#REF!</definedName>
    <definedName name="cong_bv" localSheetId="4">#REF!</definedName>
    <definedName name="cong_bv" localSheetId="5">#REF!</definedName>
    <definedName name="cong_bv" localSheetId="2">#REF!</definedName>
    <definedName name="cong_bv" localSheetId="1">#REF!</definedName>
    <definedName name="cong_bv">#REF!</definedName>
    <definedName name="cong_ck" localSheetId="8">#REF!</definedName>
    <definedName name="cong_ck" localSheetId="7">#REF!</definedName>
    <definedName name="cong_ck" localSheetId="4">#REF!</definedName>
    <definedName name="cong_ck" localSheetId="5">#REF!</definedName>
    <definedName name="cong_ck" localSheetId="2">#REF!</definedName>
    <definedName name="cong_ck" localSheetId="1">#REF!</definedName>
    <definedName name="cong_ck">#REF!</definedName>
    <definedName name="cong_d1" localSheetId="8">#REF!</definedName>
    <definedName name="cong_d1" localSheetId="7">#REF!</definedName>
    <definedName name="cong_d1" localSheetId="4">#REF!</definedName>
    <definedName name="cong_d1" localSheetId="5">#REF!</definedName>
    <definedName name="cong_d1" localSheetId="2">#REF!</definedName>
    <definedName name="cong_d1" localSheetId="1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 localSheetId="8">#REF!</definedName>
    <definedName name="COPY" localSheetId="7">#REF!</definedName>
    <definedName name="COPY" localSheetId="4">#REF!</definedName>
    <definedName name="COPY" localSheetId="5">#REF!</definedName>
    <definedName name="COPY" localSheetId="2">#REF!</definedName>
    <definedName name="COPY" localSheetId="1">#REF!</definedName>
    <definedName name="COPY">#REF!</definedName>
    <definedName name="COST" localSheetId="8">#REF!</definedName>
    <definedName name="COST" localSheetId="7">#REF!</definedName>
    <definedName name="COST" localSheetId="4">#REF!</definedName>
    <definedName name="COST" localSheetId="5">#REF!</definedName>
    <definedName name="COST" localSheetId="2">#REF!</definedName>
    <definedName name="COST" localSheetId="1">#REF!</definedName>
    <definedName name="COST">#REF!</definedName>
    <definedName name="Cost_Allocation_wage" localSheetId="8">#REF!</definedName>
    <definedName name="Cost_Allocation_wage" localSheetId="7">#REF!</definedName>
    <definedName name="Cost_Allocation_wage" localSheetId="4">#REF!</definedName>
    <definedName name="Cost_Allocation_wage" localSheetId="5">#REF!</definedName>
    <definedName name="Cost_Allocation_wage" localSheetId="2">#REF!</definedName>
    <definedName name="Cost_Allocation_wage" localSheetId="1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8">{"Book1"}</definedName>
    <definedName name="Document_array" localSheetId="7">{"Book1"}</definedName>
    <definedName name="Document_array" localSheetId="4">{"Book1"}</definedName>
    <definedName name="Document_array" localSheetId="5">{"Book1"}</definedName>
    <definedName name="Document_array" localSheetId="2">{"Book1"}</definedName>
    <definedName name="Document_array" localSheetId="1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 localSheetId="8">#REF!</definedName>
    <definedName name="HDCCT" localSheetId="7">#REF!</definedName>
    <definedName name="HDCCT" localSheetId="4">#REF!</definedName>
    <definedName name="HDCCT" localSheetId="5">#REF!</definedName>
    <definedName name="HDCCT" localSheetId="2">#REF!</definedName>
    <definedName name="HDCCT" localSheetId="1">#REF!</definedName>
    <definedName name="HDCCT">#REF!</definedName>
    <definedName name="HDCD" localSheetId="8">#REF!</definedName>
    <definedName name="HDCD" localSheetId="7">#REF!</definedName>
    <definedName name="HDCD" localSheetId="4">#REF!</definedName>
    <definedName name="HDCD" localSheetId="5">#REF!</definedName>
    <definedName name="HDCD" localSheetId="2">#REF!</definedName>
    <definedName name="HDCD" localSheetId="1">#REF!</definedName>
    <definedName name="HDCD">#REF!</definedName>
    <definedName name="HM" localSheetId="8">#REF!</definedName>
    <definedName name="HM" localSheetId="7">#REF!</definedName>
    <definedName name="HM" localSheetId="4">#REF!</definedName>
    <definedName name="HM" localSheetId="5">#REF!</definedName>
    <definedName name="HM" localSheetId="2">#REF!</definedName>
    <definedName name="HM" localSheetId="1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 localSheetId="8">#REF!</definedName>
    <definedName name="K_1" localSheetId="7">#REF!</definedName>
    <definedName name="K_1" localSheetId="12">#REF!</definedName>
    <definedName name="K_1" localSheetId="18">#REF!</definedName>
    <definedName name="K_1" localSheetId="15">#REF!</definedName>
    <definedName name="K_1" localSheetId="9">#REF!</definedName>
    <definedName name="K_1" localSheetId="0">#REF!</definedName>
    <definedName name="K_1" localSheetId="3">#REF!</definedName>
    <definedName name="K_1" localSheetId="4">#REF!</definedName>
    <definedName name="K_1" localSheetId="5">#REF!</definedName>
    <definedName name="K_1" localSheetId="2">#REF!</definedName>
    <definedName name="K_1" localSheetId="1">#REF!</definedName>
    <definedName name="K_1" localSheetId="13">#REF!</definedName>
    <definedName name="K_1" localSheetId="19">#REF!</definedName>
    <definedName name="K_1" localSheetId="20">#REF!</definedName>
    <definedName name="K_1" localSheetId="16">#REF!</definedName>
    <definedName name="K_1" localSheetId="17">#REF!</definedName>
    <definedName name="K_1">#REF!</definedName>
    <definedName name="K_2" localSheetId="8">#REF!</definedName>
    <definedName name="K_2" localSheetId="7">#REF!</definedName>
    <definedName name="K_2" localSheetId="12">#REF!</definedName>
    <definedName name="K_2" localSheetId="18">#REF!</definedName>
    <definedName name="K_2" localSheetId="15">#REF!</definedName>
    <definedName name="K_2" localSheetId="9">#REF!</definedName>
    <definedName name="K_2" localSheetId="0">#REF!</definedName>
    <definedName name="K_2" localSheetId="3">#REF!</definedName>
    <definedName name="K_2" localSheetId="4">#REF!</definedName>
    <definedName name="K_2" localSheetId="5">#REF!</definedName>
    <definedName name="K_2" localSheetId="2">#REF!</definedName>
    <definedName name="K_2" localSheetId="1">#REF!</definedName>
    <definedName name="K_2" localSheetId="13">#REF!</definedName>
    <definedName name="K_2" localSheetId="19">#REF!</definedName>
    <definedName name="K_2" localSheetId="20">#REF!</definedName>
    <definedName name="K_2" localSheetId="16">#REF!</definedName>
    <definedName name="K_2" localSheetId="17">#REF!</definedName>
    <definedName name="K_2">#REF!</definedName>
    <definedName name="KCSCM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 localSheetId="8">#REF!</definedName>
    <definedName name="NToS" localSheetId="7">#REF!</definedName>
    <definedName name="NToS" localSheetId="12">#REF!</definedName>
    <definedName name="NToS" localSheetId="18">#REF!</definedName>
    <definedName name="NToS" localSheetId="15">#REF!</definedName>
    <definedName name="NToS" localSheetId="9">#REF!</definedName>
    <definedName name="NToS" localSheetId="0">#REF!</definedName>
    <definedName name="NToS" localSheetId="3">#REF!</definedName>
    <definedName name="NToS" localSheetId="4">#REF!</definedName>
    <definedName name="NToS" localSheetId="5">#REF!</definedName>
    <definedName name="NToS" localSheetId="2">#REF!</definedName>
    <definedName name="NToS" localSheetId="1">#REF!</definedName>
    <definedName name="NToS" localSheetId="13">#REF!</definedName>
    <definedName name="NToS" localSheetId="19">#REF!</definedName>
    <definedName name="NToS" localSheetId="20">#REF!</definedName>
    <definedName name="NToS" localSheetId="16">#REF!</definedName>
    <definedName name="NToS" localSheetId="17">#REF!</definedName>
    <definedName name="NToS">#REF!</definedName>
    <definedName name="Oct" localSheetId="8">#REF!</definedName>
    <definedName name="Oct" localSheetId="7">#REF!</definedName>
    <definedName name="Oct" localSheetId="4">#REF!</definedName>
    <definedName name="Oct" localSheetId="5">#REF!</definedName>
    <definedName name="Oct" localSheetId="2">#REF!</definedName>
    <definedName name="Oct" localSheetId="1">#REF!</definedName>
    <definedName name="Oct">#REF!</definedName>
    <definedName name="OneTwoThree" localSheetId="8">#REF!</definedName>
    <definedName name="OneTwoThree" localSheetId="7">#REF!</definedName>
    <definedName name="OneTwoThree" localSheetId="4">#REF!</definedName>
    <definedName name="OneTwoThree" localSheetId="5">#REF!</definedName>
    <definedName name="OneTwoThree" localSheetId="2">#REF!</definedName>
    <definedName name="OneTwoThree" localSheetId="1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localSheetId="8" hidden="1">#REF!</definedName>
    <definedName name="PHUONG" localSheetId="7" hidden="1">#REF!</definedName>
    <definedName name="PHUONG" localSheetId="4" hidden="1">#REF!</definedName>
    <definedName name="PHUONG" localSheetId="5" hidden="1">#REF!</definedName>
    <definedName name="PHUONG" localSheetId="2" hidden="1">#REF!</definedName>
    <definedName name="PHUONG" localSheetId="1" hidden="1">#REF!</definedName>
    <definedName name="PHUONG" hidden="1">#REF!</definedName>
    <definedName name="_xlnm.Print_Area" localSheetId="8">'HD thổi_tuần'!$A$37:$S$85</definedName>
    <definedName name="_xlnm.Print_Area" localSheetId="7">'HD thổi-tháng'!$B$38:$W$86</definedName>
    <definedName name="_xlnm.Print_Area" localSheetId="4">'PET Fiber_tháng'!$A$39:$R$85</definedName>
    <definedName name="_xlnm.Print_Area" localSheetId="5">'PET Fiber_tuan '!$A$39:$R$85</definedName>
    <definedName name="_xlnm.Print_Area" localSheetId="2">PET_tuan!$A$39:$R$85</definedName>
    <definedName name="_xlnm.Print_Area" localSheetId="1">'PET-tháng'!$A$41:$T$87</definedName>
    <definedName name="Print_Area_MI">#REF!</definedName>
    <definedName name="_xlnm.Print_Titles">#N/A</definedName>
    <definedName name="QUYLUONG" localSheetId="8">#REF!</definedName>
    <definedName name="QUYLUONG" localSheetId="7">#REF!</definedName>
    <definedName name="QUYLUONG" localSheetId="4">#REF!</definedName>
    <definedName name="QUYLUONG" localSheetId="5">#REF!</definedName>
    <definedName name="QUYLUONG" localSheetId="2">#REF!</definedName>
    <definedName name="QUYLUONG" localSheetId="1">#REF!</definedName>
    <definedName name="QUYLUONG">#REF!</definedName>
    <definedName name="RawMat">#REF!</definedName>
    <definedName name="re" localSheetId="8">#REF!</definedName>
    <definedName name="re" localSheetId="7">#REF!</definedName>
    <definedName name="re" localSheetId="4">#REF!</definedName>
    <definedName name="re" localSheetId="5">#REF!</definedName>
    <definedName name="re" localSheetId="2">#REF!</definedName>
    <definedName name="re" localSheetId="1">#REF!</definedName>
    <definedName name="re">#REF!</definedName>
    <definedName name="ree" localSheetId="8">#REF!</definedName>
    <definedName name="ree" localSheetId="7">#REF!</definedName>
    <definedName name="ree" localSheetId="4">#REF!</definedName>
    <definedName name="ree" localSheetId="5">#REF!</definedName>
    <definedName name="ree" localSheetId="2">#REF!</definedName>
    <definedName name="ree" localSheetId="1">#REF!</definedName>
    <definedName name="ree">#REF!</definedName>
    <definedName name="rr">#REF!</definedName>
    <definedName name="SALES" localSheetId="8">#REF!</definedName>
    <definedName name="SALES" localSheetId="7">#REF!</definedName>
    <definedName name="SALES" localSheetId="4">#REF!</definedName>
    <definedName name="SALES" localSheetId="5">#REF!</definedName>
    <definedName name="SALES" localSheetId="2">#REF!</definedName>
    <definedName name="SALES" localSheetId="1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 localSheetId="8">#REF!</definedName>
    <definedName name="thgian_bq" localSheetId="7">#REF!</definedName>
    <definedName name="thgian_bq" localSheetId="4">#REF!</definedName>
    <definedName name="thgian_bq" localSheetId="5">#REF!</definedName>
    <definedName name="thgian_bq" localSheetId="2">#REF!</definedName>
    <definedName name="thgian_bq" localSheetId="1">#REF!</definedName>
    <definedName name="thgian_bq">#REF!</definedName>
    <definedName name="thgian_bv" localSheetId="8">#REF!</definedName>
    <definedName name="thgian_bv" localSheetId="7">#REF!</definedName>
    <definedName name="thgian_bv" localSheetId="4">#REF!</definedName>
    <definedName name="thgian_bv" localSheetId="5">#REF!</definedName>
    <definedName name="thgian_bv" localSheetId="2">#REF!</definedName>
    <definedName name="thgian_bv" localSheetId="1">#REF!</definedName>
    <definedName name="thgian_bv">#REF!</definedName>
    <definedName name="thgian_ck" localSheetId="8">#REF!</definedName>
    <definedName name="thgian_ck" localSheetId="7">#REF!</definedName>
    <definedName name="thgian_ck" localSheetId="4">#REF!</definedName>
    <definedName name="thgian_ck" localSheetId="5">#REF!</definedName>
    <definedName name="thgian_ck" localSheetId="2">#REF!</definedName>
    <definedName name="thgian_ck" localSheetId="1">#REF!</definedName>
    <definedName name="thgian_ck">#REF!</definedName>
    <definedName name="thgian_d1" localSheetId="8">#REF!</definedName>
    <definedName name="thgian_d1" localSheetId="7">#REF!</definedName>
    <definedName name="thgian_d1" localSheetId="4">#REF!</definedName>
    <definedName name="thgian_d1" localSheetId="5">#REF!</definedName>
    <definedName name="thgian_d1" localSheetId="2">#REF!</definedName>
    <definedName name="thgian_d1" localSheetId="1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localSheetId="8" hidden="1">#REF!</definedName>
    <definedName name="tram" localSheetId="7" hidden="1">#REF!</definedName>
    <definedName name="tram" localSheetId="4" hidden="1">#REF!</definedName>
    <definedName name="tram" localSheetId="5" hidden="1">#REF!</definedName>
    <definedName name="tram" localSheetId="2" hidden="1">#REF!</definedName>
    <definedName name="tram" localSheetId="1" hidden="1">#REF!</definedName>
    <definedName name="tram" hidden="1">#REF!</definedName>
    <definedName name="TSSCM" localSheetId="8">#REF!</definedName>
    <definedName name="TSSCM" localSheetId="7">#REF!</definedName>
    <definedName name="TSSCM" localSheetId="4">#REF!</definedName>
    <definedName name="TSSCM" localSheetId="5">#REF!</definedName>
    <definedName name="TSSCM" localSheetId="2">#REF!</definedName>
    <definedName name="TSSCM" localSheetId="1">#REF!</definedName>
    <definedName name="TSSCM">#REF!</definedName>
    <definedName name="TSSlist" localSheetId="8">#REF!</definedName>
    <definedName name="TSSlist" localSheetId="7">#REF!</definedName>
    <definedName name="TSSlist" localSheetId="4">#REF!</definedName>
    <definedName name="TSSlist" localSheetId="5">#REF!</definedName>
    <definedName name="TSSlist" localSheetId="2">#REF!</definedName>
    <definedName name="TSSlist" localSheetId="1">#REF!</definedName>
    <definedName name="TSSlist">#REF!</definedName>
    <definedName name="ttbt" localSheetId="8">#REF!</definedName>
    <definedName name="ttbt" localSheetId="7">#REF!</definedName>
    <definedName name="ttbt" localSheetId="4">#REF!</definedName>
    <definedName name="ttbt" localSheetId="5">#REF!</definedName>
    <definedName name="ttbt" localSheetId="2">#REF!</definedName>
    <definedName name="ttbt" localSheetId="1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 localSheetId="8">#REF!</definedName>
    <definedName name="vccot" localSheetId="7">#REF!</definedName>
    <definedName name="vccot" localSheetId="4">#REF!</definedName>
    <definedName name="vccot" localSheetId="5">#REF!</definedName>
    <definedName name="vccot" localSheetId="2">#REF!</definedName>
    <definedName name="vccot" localSheetId="1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S7" i="76" l="1"/>
  <c r="JO19" i="22" l="1"/>
  <c r="AF7" i="83"/>
  <c r="AU13" i="65" l="1"/>
  <c r="EX6" i="83"/>
  <c r="EW6" i="83"/>
  <c r="FC6" i="81"/>
  <c r="FB6" i="81"/>
  <c r="HJ9" i="65"/>
  <c r="HI9" i="65"/>
  <c r="HJ8" i="69"/>
  <c r="HI8" i="69"/>
  <c r="JO9" i="22"/>
  <c r="JN9" i="22"/>
  <c r="KK6" i="27"/>
  <c r="FR6" i="76"/>
  <c r="FR7" i="76" s="1"/>
  <c r="FR11" i="76" s="1"/>
  <c r="FR12" i="76" s="1"/>
  <c r="JN19" i="22"/>
  <c r="BY17" i="27"/>
  <c r="AN10" i="76"/>
  <c r="AN8" i="76"/>
  <c r="AN7" i="76"/>
  <c r="AN11" i="76" s="1"/>
  <c r="AN12" i="76" s="1"/>
  <c r="BY28" i="22"/>
  <c r="BY27" i="22"/>
  <c r="BY21" i="22"/>
  <c r="BY23" i="22" s="1"/>
  <c r="BY24" i="22" s="1"/>
  <c r="BY25" i="22" s="1"/>
  <c r="BY13" i="22"/>
  <c r="BY10" i="22"/>
  <c r="BY7" i="22"/>
  <c r="BY12" i="22" s="1"/>
  <c r="AV14" i="69"/>
  <c r="AV15" i="69" s="1"/>
  <c r="AV16" i="69" s="1"/>
  <c r="AV14" i="65"/>
  <c r="AV15" i="65" s="1"/>
  <c r="AV16" i="65" s="1"/>
  <c r="AK8" i="81"/>
  <c r="AK9" i="81" s="1"/>
  <c r="AK10" i="81" s="1"/>
  <c r="AG8" i="83"/>
  <c r="AG9" i="83" s="1"/>
  <c r="AG10" i="83" s="1"/>
  <c r="BX12" i="27"/>
  <c r="BX13" i="27"/>
  <c r="BX11" i="27"/>
  <c r="KI14" i="27"/>
  <c r="KI20" i="27" s="1"/>
  <c r="KL20" i="27"/>
  <c r="KK20" i="27"/>
  <c r="KJ20" i="27"/>
  <c r="KL17" i="27"/>
  <c r="KL18" i="27" s="1"/>
  <c r="KL19" i="27" s="1"/>
  <c r="KK17" i="27"/>
  <c r="KJ17" i="27"/>
  <c r="KJ18" i="27" s="1"/>
  <c r="KJ19" i="27" s="1"/>
  <c r="KL16" i="27"/>
  <c r="KK16" i="27"/>
  <c r="KJ16" i="27"/>
  <c r="KI16" i="27"/>
  <c r="AM9" i="76"/>
  <c r="FP9" i="76"/>
  <c r="FP10" i="76" s="1"/>
  <c r="FS10" i="76"/>
  <c r="FR10" i="76"/>
  <c r="FQ10" i="76"/>
  <c r="FS11" i="76"/>
  <c r="FQ6" i="76"/>
  <c r="FQ7" i="76" s="1"/>
  <c r="FQ11" i="76" s="1"/>
  <c r="FQ12" i="76" s="1"/>
  <c r="FP6" i="76"/>
  <c r="FP7" i="76" s="1"/>
  <c r="BX18" i="22"/>
  <c r="JL20" i="22"/>
  <c r="JL22" i="22" s="1"/>
  <c r="JO22" i="22"/>
  <c r="JN22" i="22"/>
  <c r="JN23" i="22" s="1"/>
  <c r="JN24" i="22" s="1"/>
  <c r="JM22" i="22"/>
  <c r="JM23" i="22" s="1"/>
  <c r="JM24" i="22" s="1"/>
  <c r="JM19" i="22"/>
  <c r="JL19" i="22"/>
  <c r="BX19" i="22" s="1"/>
  <c r="JM12" i="22"/>
  <c r="JO11" i="22"/>
  <c r="JN11" i="22"/>
  <c r="JM9" i="22"/>
  <c r="JM11" i="22" s="1"/>
  <c r="JL9" i="22"/>
  <c r="AU13" i="69"/>
  <c r="HJ19" i="69"/>
  <c r="HI19" i="69"/>
  <c r="HH19" i="69"/>
  <c r="HG19" i="69"/>
  <c r="HJ14" i="69"/>
  <c r="HJ15" i="69" s="1"/>
  <c r="HJ16" i="69" s="1"/>
  <c r="HI14" i="69"/>
  <c r="HI15" i="69" s="1"/>
  <c r="HI16" i="69" s="1"/>
  <c r="HH14" i="69"/>
  <c r="HH15" i="69" s="1"/>
  <c r="HH16" i="69" s="1"/>
  <c r="HG14" i="69"/>
  <c r="HG15" i="69" s="1"/>
  <c r="HG16" i="69" s="1"/>
  <c r="FS12" i="76" l="1"/>
  <c r="KK18" i="27"/>
  <c r="KK19" i="27" s="1"/>
  <c r="BY18" i="27"/>
  <c r="BY19" i="27" s="1"/>
  <c r="BX14" i="27"/>
  <c r="BY16" i="27"/>
  <c r="BX20" i="22"/>
  <c r="JO12" i="22"/>
  <c r="JO23" i="22"/>
  <c r="JO24" i="22" s="1"/>
  <c r="JN12" i="22"/>
  <c r="KI17" i="27"/>
  <c r="KI18" i="27" s="1"/>
  <c r="KI19" i="27" s="1"/>
  <c r="FP11" i="76"/>
  <c r="FP12" i="76" s="1"/>
  <c r="JL23" i="22"/>
  <c r="JL24" i="22" s="1"/>
  <c r="JM13" i="22"/>
  <c r="JN13" i="22"/>
  <c r="JL10" i="22"/>
  <c r="JM10" i="22"/>
  <c r="JN10" i="22"/>
  <c r="JO10" i="22"/>
  <c r="JL13" i="22"/>
  <c r="JO13" i="22"/>
  <c r="JL11" i="22"/>
  <c r="JL12" i="22"/>
  <c r="HJ18" i="65" l="1"/>
  <c r="HI18" i="65"/>
  <c r="HH18" i="65"/>
  <c r="HG18" i="65"/>
  <c r="HJ14" i="65"/>
  <c r="HJ15" i="65" s="1"/>
  <c r="HJ16" i="65" s="1"/>
  <c r="HI14" i="65"/>
  <c r="HI15" i="65" s="1"/>
  <c r="HI16" i="65" s="1"/>
  <c r="HH14" i="65"/>
  <c r="HH15" i="65" s="1"/>
  <c r="HH16" i="65" s="1"/>
  <c r="HG14" i="65"/>
  <c r="HG15" i="65" s="1"/>
  <c r="HG16" i="65" s="1"/>
  <c r="AI7" i="81" l="1"/>
  <c r="EZ7" i="81"/>
  <c r="AJ7" i="81" s="1"/>
  <c r="FB8" i="81"/>
  <c r="FB9" i="81" s="1"/>
  <c r="FB10" i="81" s="1"/>
  <c r="FC8" i="81"/>
  <c r="FC9" i="81" s="1"/>
  <c r="FC10" i="81" s="1"/>
  <c r="FA8" i="81"/>
  <c r="FA9" i="81" s="1"/>
  <c r="FA10" i="81" s="1"/>
  <c r="EZ8" i="81"/>
  <c r="EZ9" i="81" s="1"/>
  <c r="EZ10" i="81" s="1"/>
  <c r="AE7" i="83"/>
  <c r="EX8" i="83"/>
  <c r="EX9" i="83" s="1"/>
  <c r="EX10" i="83" s="1"/>
  <c r="EW8" i="83"/>
  <c r="EW9" i="83" s="1"/>
  <c r="EW10" i="83" s="1"/>
  <c r="EU7" i="83"/>
  <c r="EV8" i="83"/>
  <c r="EV9" i="83" s="1"/>
  <c r="EV10" i="83" s="1"/>
  <c r="EU8" i="83"/>
  <c r="EU9" i="83" s="1"/>
  <c r="EU10" i="83" s="1"/>
  <c r="BK10" i="22" l="1"/>
  <c r="AT13" i="69" l="1"/>
  <c r="AT14" i="69" s="1"/>
  <c r="AT15" i="69" s="1"/>
  <c r="AT16" i="69" s="1"/>
  <c r="AT13" i="65"/>
  <c r="AT14" i="65" s="1"/>
  <c r="AT15" i="65" s="1"/>
  <c r="AT16" i="65" s="1"/>
  <c r="HF18" i="65"/>
  <c r="HE18" i="65"/>
  <c r="HD18" i="65"/>
  <c r="HC18" i="65"/>
  <c r="HF14" i="65"/>
  <c r="HF15" i="65" s="1"/>
  <c r="HF16" i="65" s="1"/>
  <c r="HE14" i="65"/>
  <c r="HE15" i="65" s="1"/>
  <c r="HE16" i="65" s="1"/>
  <c r="HD14" i="65"/>
  <c r="HD15" i="65" s="1"/>
  <c r="HD16" i="65" s="1"/>
  <c r="HC14" i="65"/>
  <c r="HC15" i="65" s="1"/>
  <c r="HC16" i="65" s="1"/>
  <c r="AI8" i="81"/>
  <c r="AI9" i="81" s="1"/>
  <c r="AI10" i="81" s="1"/>
  <c r="EY8" i="81"/>
  <c r="EY9" i="81" s="1"/>
  <c r="EY10" i="81" s="1"/>
  <c r="EX8" i="81"/>
  <c r="EX9" i="81" s="1"/>
  <c r="EX10" i="81" s="1"/>
  <c r="EW8" i="81"/>
  <c r="EW9" i="81" s="1"/>
  <c r="EW10" i="81" s="1"/>
  <c r="EV8" i="81"/>
  <c r="EV9" i="81" s="1"/>
  <c r="EV10" i="81" s="1"/>
  <c r="ET8" i="83"/>
  <c r="ET9" i="83" s="1"/>
  <c r="ET10" i="83" s="1"/>
  <c r="ES8" i="83"/>
  <c r="ES9" i="83" s="1"/>
  <c r="ES10" i="83" s="1"/>
  <c r="ER8" i="83"/>
  <c r="ER9" i="83" s="1"/>
  <c r="ER10" i="83" s="1"/>
  <c r="EQ8" i="83"/>
  <c r="EQ9" i="83" s="1"/>
  <c r="EQ10" i="83" s="1"/>
  <c r="HF19" i="69"/>
  <c r="HE19" i="69"/>
  <c r="HD19" i="69"/>
  <c r="HC19" i="69"/>
  <c r="HF14" i="69"/>
  <c r="HF15" i="69" s="1"/>
  <c r="HF16" i="69" s="1"/>
  <c r="HE14" i="69"/>
  <c r="HE15" i="69" s="1"/>
  <c r="HE16" i="69" s="1"/>
  <c r="HD14" i="69"/>
  <c r="HD15" i="69" s="1"/>
  <c r="HD16" i="69" s="1"/>
  <c r="HC14" i="69"/>
  <c r="HC15" i="69" s="1"/>
  <c r="HC16" i="69" s="1"/>
  <c r="BW20" i="22"/>
  <c r="BW21" i="22" s="1"/>
  <c r="BW23" i="22" s="1"/>
  <c r="JK19" i="22"/>
  <c r="JJ19" i="22"/>
  <c r="JI19" i="22"/>
  <c r="JH19" i="22"/>
  <c r="JG19" i="22"/>
  <c r="JF19" i="22"/>
  <c r="JK22" i="22"/>
  <c r="JK23" i="22" s="1"/>
  <c r="JK24" i="22" s="1"/>
  <c r="JJ22" i="22"/>
  <c r="JJ23" i="22" s="1"/>
  <c r="JJ24" i="22" s="1"/>
  <c r="JI22" i="22"/>
  <c r="JI23" i="22" s="1"/>
  <c r="JI24" i="22" s="1"/>
  <c r="JH22" i="22"/>
  <c r="JK13" i="22"/>
  <c r="JK12" i="22"/>
  <c r="JJ12" i="22"/>
  <c r="JI12" i="22"/>
  <c r="JH12" i="22"/>
  <c r="JK11" i="22"/>
  <c r="JJ11" i="22"/>
  <c r="JI11" i="22"/>
  <c r="JK9" i="22"/>
  <c r="JK10" i="22" s="1"/>
  <c r="JJ9" i="22"/>
  <c r="JI9" i="22"/>
  <c r="JH9" i="22"/>
  <c r="AL9" i="76"/>
  <c r="AL10" i="76" s="1"/>
  <c r="FO10" i="76"/>
  <c r="FN10" i="76"/>
  <c r="FM10" i="76"/>
  <c r="FL10" i="76"/>
  <c r="FO6" i="76"/>
  <c r="FO7" i="76" s="1"/>
  <c r="FO11" i="76" s="1"/>
  <c r="FO12" i="76" s="1"/>
  <c r="FN6" i="76"/>
  <c r="FN7" i="76" s="1"/>
  <c r="FN11" i="76" s="1"/>
  <c r="FN12" i="76" s="1"/>
  <c r="FM6" i="76"/>
  <c r="FM7" i="76" s="1"/>
  <c r="FM11" i="76" s="1"/>
  <c r="FM12" i="76" s="1"/>
  <c r="FL6" i="76"/>
  <c r="FL7" i="76" s="1"/>
  <c r="FL11" i="76" s="1"/>
  <c r="FL12" i="76" s="1"/>
  <c r="BW12" i="27"/>
  <c r="BW13" i="27"/>
  <c r="BW14" i="27"/>
  <c r="BW17" i="27" s="1"/>
  <c r="BW11" i="27"/>
  <c r="KH20" i="27"/>
  <c r="KG20" i="27"/>
  <c r="KF20" i="27"/>
  <c r="KE20" i="27"/>
  <c r="KH17" i="27"/>
  <c r="KH18" i="27" s="1"/>
  <c r="KH19" i="27" s="1"/>
  <c r="KG17" i="27"/>
  <c r="KG18" i="27" s="1"/>
  <c r="KG19" i="27" s="1"/>
  <c r="KF17" i="27"/>
  <c r="KF18" i="27" s="1"/>
  <c r="KF19" i="27" s="1"/>
  <c r="KE17" i="27"/>
  <c r="KE18" i="27" s="1"/>
  <c r="KE19" i="27" s="1"/>
  <c r="KH16" i="27"/>
  <c r="KG16" i="27"/>
  <c r="KF16" i="27"/>
  <c r="KE16" i="27"/>
  <c r="BX16" i="27"/>
  <c r="AM10" i="76"/>
  <c r="AM8" i="76"/>
  <c r="AM7" i="76"/>
  <c r="AM11" i="76" s="1"/>
  <c r="BX28" i="22"/>
  <c r="BX27" i="22"/>
  <c r="BX21" i="22"/>
  <c r="BX23" i="22" s="1"/>
  <c r="BX9" i="22"/>
  <c r="BX10" i="22" s="1"/>
  <c r="BX7" i="22"/>
  <c r="BX12" i="22" s="1"/>
  <c r="AU14" i="69"/>
  <c r="AU15" i="69" s="1"/>
  <c r="AU16" i="69" s="1"/>
  <c r="AU10" i="69"/>
  <c r="AU9" i="69"/>
  <c r="AU14" i="65"/>
  <c r="AU15" i="65" s="1"/>
  <c r="AU16" i="65" s="1"/>
  <c r="AJ8" i="81"/>
  <c r="AJ9" i="81" s="1"/>
  <c r="AJ10" i="81" s="1"/>
  <c r="AF8" i="83"/>
  <c r="AF9" i="83" s="1"/>
  <c r="AF10" i="83" s="1"/>
  <c r="BW6" i="27"/>
  <c r="AL8" i="76"/>
  <c r="AL7" i="76"/>
  <c r="BW28" i="22"/>
  <c r="BW27" i="22"/>
  <c r="BW9" i="22"/>
  <c r="BW10" i="22" s="1"/>
  <c r="BW7" i="22"/>
  <c r="BW12" i="22" s="1"/>
  <c r="AT10" i="69"/>
  <c r="AT9" i="69"/>
  <c r="AM12" i="76" l="1"/>
  <c r="JH23" i="22"/>
  <c r="JH24" i="22" s="1"/>
  <c r="JH10" i="22"/>
  <c r="JI13" i="22"/>
  <c r="JI10" i="22"/>
  <c r="JJ13" i="22"/>
  <c r="JJ10" i="22"/>
  <c r="JH13" i="22"/>
  <c r="JH11" i="22"/>
  <c r="AL11" i="76"/>
  <c r="AL12" i="76" s="1"/>
  <c r="BX17" i="27"/>
  <c r="BX18" i="27" s="1"/>
  <c r="BX19" i="27" s="1"/>
  <c r="BX24" i="22"/>
  <c r="BX25" i="22" s="1"/>
  <c r="BX13" i="22"/>
  <c r="BW18" i="27"/>
  <c r="BW19" i="27" s="1"/>
  <c r="BW16" i="27"/>
  <c r="BW24" i="22"/>
  <c r="BW25" i="22" s="1"/>
  <c r="BW13" i="22"/>
  <c r="AE8" i="83" l="1"/>
  <c r="AE9" i="83" s="1"/>
  <c r="AE10" i="83" s="1"/>
  <c r="BV12" i="27"/>
  <c r="BV13" i="27"/>
  <c r="BV14" i="27"/>
  <c r="BV11" i="27"/>
  <c r="AK9" i="76"/>
  <c r="BV20" i="22"/>
  <c r="BV18" i="22"/>
  <c r="AS13" i="69"/>
  <c r="AS13" i="65" l="1"/>
  <c r="AH7" i="81" l="1"/>
  <c r="AD7" i="83"/>
  <c r="JE19" i="22" l="1"/>
  <c r="JD19" i="22"/>
  <c r="JC19" i="22"/>
  <c r="BV19" i="22" s="1"/>
  <c r="FK6" i="76"/>
  <c r="FK7" i="76" s="1"/>
  <c r="FK11" i="76" s="1"/>
  <c r="FJ6" i="76"/>
  <c r="FJ7" i="76" s="1"/>
  <c r="FJ11" i="76" s="1"/>
  <c r="FI6" i="76"/>
  <c r="FI7" i="76" s="1"/>
  <c r="FI11" i="76" s="1"/>
  <c r="FH6" i="76"/>
  <c r="FH7" i="76" s="1"/>
  <c r="FH11" i="76" s="1"/>
  <c r="FG6" i="76"/>
  <c r="FG7" i="76" s="1"/>
  <c r="FG11" i="76" s="1"/>
  <c r="BV6" i="27"/>
  <c r="KD20" i="27"/>
  <c r="KC20" i="27"/>
  <c r="KB20" i="27"/>
  <c r="KA20" i="27"/>
  <c r="JZ20" i="27"/>
  <c r="KD17" i="27"/>
  <c r="KD18" i="27" s="1"/>
  <c r="KD19" i="27" s="1"/>
  <c r="KC17" i="27"/>
  <c r="KC18" i="27" s="1"/>
  <c r="KC19" i="27" s="1"/>
  <c r="KB17" i="27"/>
  <c r="KB18" i="27" s="1"/>
  <c r="KB19" i="27" s="1"/>
  <c r="KA17" i="27"/>
  <c r="KA18" i="27" s="1"/>
  <c r="KA19" i="27" s="1"/>
  <c r="JZ17" i="27"/>
  <c r="JZ18" i="27" s="1"/>
  <c r="JZ19" i="27" s="1"/>
  <c r="KD16" i="27"/>
  <c r="KC16" i="27"/>
  <c r="KB16" i="27"/>
  <c r="KA16" i="27"/>
  <c r="JZ16" i="27"/>
  <c r="FK10" i="76"/>
  <c r="FJ10" i="76"/>
  <c r="FI10" i="76"/>
  <c r="FH10" i="76"/>
  <c r="FG10" i="76"/>
  <c r="JG22" i="22"/>
  <c r="JF22" i="22"/>
  <c r="JE22" i="22"/>
  <c r="JD22" i="22"/>
  <c r="JC22" i="22"/>
  <c r="JG9" i="22"/>
  <c r="JF9" i="22"/>
  <c r="JE9" i="22"/>
  <c r="JD9" i="22"/>
  <c r="JC9" i="22"/>
  <c r="HB19" i="69"/>
  <c r="HA19" i="69"/>
  <c r="GZ19" i="69"/>
  <c r="GY19" i="69"/>
  <c r="GX19" i="69"/>
  <c r="HB14" i="69"/>
  <c r="HB15" i="69" s="1"/>
  <c r="HB16" i="69" s="1"/>
  <c r="HA14" i="69"/>
  <c r="HA15" i="69" s="1"/>
  <c r="HA16" i="69" s="1"/>
  <c r="GZ14" i="69"/>
  <c r="GZ15" i="69" s="1"/>
  <c r="GZ16" i="69" s="1"/>
  <c r="GY14" i="69"/>
  <c r="GY15" i="69" s="1"/>
  <c r="GY16" i="69" s="1"/>
  <c r="GX14" i="69"/>
  <c r="GX15" i="69" s="1"/>
  <c r="GX16" i="69" s="1"/>
  <c r="HB11" i="69"/>
  <c r="HA11" i="69"/>
  <c r="GZ11" i="69"/>
  <c r="GY11" i="69"/>
  <c r="GX11" i="69"/>
  <c r="HB9" i="69"/>
  <c r="HA9" i="69"/>
  <c r="GZ9" i="69"/>
  <c r="GY9" i="69"/>
  <c r="GX9" i="69"/>
  <c r="HB18" i="65"/>
  <c r="HA18" i="65"/>
  <c r="GZ18" i="65"/>
  <c r="GY18" i="65"/>
  <c r="GX18" i="65"/>
  <c r="HB14" i="65"/>
  <c r="HB15" i="65" s="1"/>
  <c r="HB16" i="65" s="1"/>
  <c r="HA14" i="65"/>
  <c r="HA15" i="65" s="1"/>
  <c r="HA16" i="65" s="1"/>
  <c r="GZ14" i="65"/>
  <c r="GZ15" i="65" s="1"/>
  <c r="GZ16" i="65" s="1"/>
  <c r="GY14" i="65"/>
  <c r="GY15" i="65" s="1"/>
  <c r="GY16" i="65" s="1"/>
  <c r="GX14" i="65"/>
  <c r="GX15" i="65" s="1"/>
  <c r="GX16" i="65" s="1"/>
  <c r="EU8" i="81"/>
  <c r="EU9" i="81" s="1"/>
  <c r="EU10" i="81" s="1"/>
  <c r="ET8" i="81"/>
  <c r="ET9" i="81" s="1"/>
  <c r="ET10" i="81" s="1"/>
  <c r="ES8" i="81"/>
  <c r="ES9" i="81" s="1"/>
  <c r="ES10" i="81" s="1"/>
  <c r="ER8" i="81"/>
  <c r="ER9" i="81" s="1"/>
  <c r="ER10" i="81" s="1"/>
  <c r="EQ8" i="81"/>
  <c r="EQ9" i="81" s="1"/>
  <c r="EQ10" i="81" s="1"/>
  <c r="EP8" i="83"/>
  <c r="EP9" i="83" s="1"/>
  <c r="EP10" i="83" s="1"/>
  <c r="EO8" i="83"/>
  <c r="EO9" i="83" s="1"/>
  <c r="EO10" i="83" s="1"/>
  <c r="EN8" i="83"/>
  <c r="EN9" i="83" s="1"/>
  <c r="EN10" i="83" s="1"/>
  <c r="EM8" i="83"/>
  <c r="EM9" i="83" s="1"/>
  <c r="EM10" i="83" s="1"/>
  <c r="EL8" i="83"/>
  <c r="EL9" i="83" s="1"/>
  <c r="EL10" i="83" s="1"/>
  <c r="JB19" i="22"/>
  <c r="FI12" i="76" l="1"/>
  <c r="FH12" i="76"/>
  <c r="FG12" i="76"/>
  <c r="JE11" i="22"/>
  <c r="JE10" i="22"/>
  <c r="JG11" i="22"/>
  <c r="JG10" i="22"/>
  <c r="JC12" i="22"/>
  <c r="JC10" i="22"/>
  <c r="JE12" i="22"/>
  <c r="JD12" i="22"/>
  <c r="JD10" i="22"/>
  <c r="JF11" i="22"/>
  <c r="JF10" i="22"/>
  <c r="JF12" i="22"/>
  <c r="JG12" i="22"/>
  <c r="FJ12" i="76"/>
  <c r="FK12" i="76"/>
  <c r="JC23" i="22"/>
  <c r="JC24" i="22" s="1"/>
  <c r="JC13" i="22"/>
  <c r="JD23" i="22"/>
  <c r="JD24" i="22" s="1"/>
  <c r="JD13" i="22"/>
  <c r="JE23" i="22"/>
  <c r="JE24" i="22" s="1"/>
  <c r="JE13" i="22"/>
  <c r="JF23" i="22"/>
  <c r="JF24" i="22" s="1"/>
  <c r="JF13" i="22"/>
  <c r="JG23" i="22"/>
  <c r="JG24" i="22" s="1"/>
  <c r="JG13" i="22"/>
  <c r="JC11" i="22"/>
  <c r="JD11" i="22"/>
  <c r="BV17" i="27"/>
  <c r="BV18" i="27" s="1"/>
  <c r="BV19" i="27" s="1"/>
  <c r="AK10" i="76"/>
  <c r="AK8" i="76"/>
  <c r="AK7" i="76"/>
  <c r="AK11" i="76" s="1"/>
  <c r="BV28" i="22"/>
  <c r="BV27" i="22"/>
  <c r="BV21" i="22"/>
  <c r="BV23" i="22" s="1"/>
  <c r="BV9" i="22"/>
  <c r="BV7" i="22"/>
  <c r="BV12" i="22" s="1"/>
  <c r="JA19" i="22"/>
  <c r="IZ19" i="22"/>
  <c r="AS14" i="69"/>
  <c r="AS15" i="69" s="1"/>
  <c r="AS16" i="69" s="1"/>
  <c r="AS10" i="69"/>
  <c r="AS9" i="69"/>
  <c r="AS14" i="65"/>
  <c r="AS15" i="65" s="1"/>
  <c r="AS16" i="65" s="1"/>
  <c r="AH8" i="81"/>
  <c r="AH9" i="81" s="1"/>
  <c r="AH10" i="81" s="1"/>
  <c r="AD8" i="83"/>
  <c r="AD9" i="83" s="1"/>
  <c r="AD10" i="83" s="1"/>
  <c r="BU12" i="27"/>
  <c r="BU13" i="27"/>
  <c r="BU14" i="27"/>
  <c r="BU11" i="27"/>
  <c r="JY20" i="27"/>
  <c r="JX20" i="27"/>
  <c r="JW20" i="27"/>
  <c r="JV20" i="27"/>
  <c r="JY17" i="27"/>
  <c r="JY18" i="27" s="1"/>
  <c r="JY19" i="27" s="1"/>
  <c r="JX17" i="27"/>
  <c r="JX18" i="27" s="1"/>
  <c r="JX19" i="27" s="1"/>
  <c r="JW17" i="27"/>
  <c r="JW18" i="27" s="1"/>
  <c r="JW19" i="27" s="1"/>
  <c r="JV17" i="27"/>
  <c r="JV18" i="27" s="1"/>
  <c r="JV19" i="27" s="1"/>
  <c r="JY16" i="27"/>
  <c r="JX16" i="27"/>
  <c r="JW16" i="27"/>
  <c r="JV16" i="27"/>
  <c r="AJ9" i="76"/>
  <c r="FF10" i="76"/>
  <c r="FE10" i="76"/>
  <c r="FD10" i="76"/>
  <c r="FC10" i="76"/>
  <c r="FF6" i="76"/>
  <c r="FF7" i="76" s="1"/>
  <c r="FF11" i="76" s="1"/>
  <c r="FE6" i="76"/>
  <c r="FE7" i="76" s="1"/>
  <c r="FE11" i="76" s="1"/>
  <c r="FD6" i="76"/>
  <c r="FD7" i="76" s="1"/>
  <c r="FD11" i="76" s="1"/>
  <c r="FC6" i="76"/>
  <c r="FC7" i="76" s="1"/>
  <c r="FC11" i="76" s="1"/>
  <c r="FC12" i="76" s="1"/>
  <c r="BU20" i="22"/>
  <c r="BU18" i="22"/>
  <c r="IY19" i="22"/>
  <c r="BU19" i="22" s="1"/>
  <c r="IX19" i="22"/>
  <c r="JB26" i="22"/>
  <c r="JA26" i="22"/>
  <c r="IZ26" i="22"/>
  <c r="IY26" i="22"/>
  <c r="JB22" i="22"/>
  <c r="JA22" i="22"/>
  <c r="IZ22" i="22"/>
  <c r="IY22" i="22"/>
  <c r="JB9" i="22"/>
  <c r="JB13" i="22" s="1"/>
  <c r="JA9" i="22"/>
  <c r="JA13" i="22" s="1"/>
  <c r="IZ9" i="22"/>
  <c r="IZ13" i="22" s="1"/>
  <c r="IY9" i="22"/>
  <c r="IY13" i="22" s="1"/>
  <c r="AR13" i="69"/>
  <c r="GW19" i="69"/>
  <c r="GV19" i="69"/>
  <c r="GU19" i="69"/>
  <c r="GT19" i="69"/>
  <c r="GW14" i="69"/>
  <c r="GW15" i="69" s="1"/>
  <c r="GW16" i="69" s="1"/>
  <c r="GV14" i="69"/>
  <c r="GV15" i="69" s="1"/>
  <c r="GV16" i="69" s="1"/>
  <c r="GU14" i="69"/>
  <c r="GU15" i="69" s="1"/>
  <c r="GU16" i="69" s="1"/>
  <c r="GT14" i="69"/>
  <c r="GT15" i="69" s="1"/>
  <c r="GT16" i="69" s="1"/>
  <c r="GW11" i="69"/>
  <c r="GV11" i="69"/>
  <c r="GU11" i="69"/>
  <c r="GT11" i="69"/>
  <c r="GW9" i="69"/>
  <c r="GV9" i="69"/>
  <c r="GU9" i="69"/>
  <c r="GT9" i="69"/>
  <c r="AR13" i="65"/>
  <c r="GW18" i="65"/>
  <c r="GV18" i="65"/>
  <c r="GU18" i="65"/>
  <c r="GT18" i="65"/>
  <c r="GW14" i="65"/>
  <c r="GW15" i="65" s="1"/>
  <c r="GW16" i="65" s="1"/>
  <c r="GV14" i="65"/>
  <c r="GV15" i="65" s="1"/>
  <c r="GV16" i="65" s="1"/>
  <c r="GU14" i="65"/>
  <c r="GU15" i="65" s="1"/>
  <c r="GU16" i="65" s="1"/>
  <c r="GT14" i="65"/>
  <c r="GT15" i="65" s="1"/>
  <c r="GT16" i="65" s="1"/>
  <c r="AG7" i="81"/>
  <c r="EP8" i="81"/>
  <c r="EP9" i="81" s="1"/>
  <c r="EP10" i="81" s="1"/>
  <c r="EO8" i="81"/>
  <c r="EO9" i="81" s="1"/>
  <c r="EO10" i="81" s="1"/>
  <c r="EN8" i="81"/>
  <c r="EN9" i="81" s="1"/>
  <c r="EN10" i="81" s="1"/>
  <c r="EM8" i="81"/>
  <c r="EM9" i="81" s="1"/>
  <c r="EM10" i="81" s="1"/>
  <c r="FF12" i="76" l="1"/>
  <c r="BV13" i="22"/>
  <c r="BV10" i="22"/>
  <c r="IZ12" i="22"/>
  <c r="JB11" i="22"/>
  <c r="IY12" i="22"/>
  <c r="JA12" i="22"/>
  <c r="JB12" i="22"/>
  <c r="JB23" i="22"/>
  <c r="JB24" i="22" s="1"/>
  <c r="BV24" i="22"/>
  <c r="BV25" i="22" s="1"/>
  <c r="AK12" i="76"/>
  <c r="BV16" i="27"/>
  <c r="FE12" i="76"/>
  <c r="FD12" i="76"/>
  <c r="IZ23" i="22"/>
  <c r="IZ24" i="22" s="1"/>
  <c r="IY10" i="22"/>
  <c r="JA10" i="22"/>
  <c r="JB10" i="22"/>
  <c r="IY11" i="22"/>
  <c r="IY23" i="22"/>
  <c r="IY24" i="22" s="1"/>
  <c r="JA23" i="22"/>
  <c r="JA24" i="22" s="1"/>
  <c r="IZ10" i="22"/>
  <c r="IZ11" i="22"/>
  <c r="JA11" i="22"/>
  <c r="AC7" i="83"/>
  <c r="EK8" i="83" l="1"/>
  <c r="EK9" i="83" s="1"/>
  <c r="EK10" i="83" s="1"/>
  <c r="EJ8" i="83"/>
  <c r="EJ9" i="83" s="1"/>
  <c r="EJ10" i="83" s="1"/>
  <c r="EI8" i="83"/>
  <c r="EI9" i="83" s="1"/>
  <c r="EI10" i="83" s="1"/>
  <c r="EH8" i="83"/>
  <c r="EH9" i="83" s="1"/>
  <c r="EH10" i="83" s="1"/>
  <c r="AC8" i="83"/>
  <c r="AC9" i="83" s="1"/>
  <c r="AC10" i="83" s="1"/>
  <c r="AG8" i="81"/>
  <c r="AG9" i="81" s="1"/>
  <c r="AG10" i="81" s="1"/>
  <c r="AR14" i="65"/>
  <c r="AR15" i="65" s="1"/>
  <c r="AR16" i="65" s="1"/>
  <c r="AR14" i="69" l="1"/>
  <c r="AR15" i="69" s="1"/>
  <c r="AR16" i="69" s="1"/>
  <c r="AR10" i="69"/>
  <c r="AR9" i="69"/>
  <c r="BU28" i="22"/>
  <c r="BU27" i="22"/>
  <c r="BU21" i="22"/>
  <c r="BU23" i="22" s="1"/>
  <c r="BU9" i="22"/>
  <c r="BU7" i="22"/>
  <c r="AJ10" i="76"/>
  <c r="AJ8" i="76"/>
  <c r="AJ7" i="76"/>
  <c r="BU16" i="27"/>
  <c r="BU6" i="27"/>
  <c r="BU13" i="22" l="1"/>
  <c r="BU10" i="22"/>
  <c r="BU12" i="22"/>
  <c r="BU24" i="22"/>
  <c r="BU25" i="22" s="1"/>
  <c r="BU17" i="27"/>
  <c r="BU18" i="27" s="1"/>
  <c r="BU19" i="27" s="1"/>
  <c r="AJ11" i="76"/>
  <c r="AJ12" i="76" s="1"/>
  <c r="IW19" i="22" l="1"/>
  <c r="IV19" i="22"/>
  <c r="BT12" i="27"/>
  <c r="BT13" i="27"/>
  <c r="BT14" i="27"/>
  <c r="BT11" i="27"/>
  <c r="JU20" i="27"/>
  <c r="JT20" i="27"/>
  <c r="JS20" i="27"/>
  <c r="JR20" i="27"/>
  <c r="JU17" i="27"/>
  <c r="JT17" i="27"/>
  <c r="JS17" i="27"/>
  <c r="JR17" i="27"/>
  <c r="JU16" i="27"/>
  <c r="JT16" i="27"/>
  <c r="JS16" i="27"/>
  <c r="JR16" i="27"/>
  <c r="AI9" i="76"/>
  <c r="AI8" i="76"/>
  <c r="FB6" i="76"/>
  <c r="FB7" i="76" s="1"/>
  <c r="FB11" i="76" s="1"/>
  <c r="FA6" i="76"/>
  <c r="FA7" i="76" s="1"/>
  <c r="FA11" i="76" s="1"/>
  <c r="EZ6" i="76"/>
  <c r="EZ7" i="76" s="1"/>
  <c r="EZ11" i="76" s="1"/>
  <c r="EY6" i="76"/>
  <c r="EY7" i="76" s="1"/>
  <c r="EY11" i="76" s="1"/>
  <c r="FB10" i="76"/>
  <c r="FA10" i="76"/>
  <c r="EZ10" i="76"/>
  <c r="EY10" i="76"/>
  <c r="BT20" i="22"/>
  <c r="BT18" i="22"/>
  <c r="IU19" i="22"/>
  <c r="IT19" i="22"/>
  <c r="IX9" i="22"/>
  <c r="IX10" i="22" s="1"/>
  <c r="IW9" i="22"/>
  <c r="IV9" i="22"/>
  <c r="IU9" i="22"/>
  <c r="IU12" i="22" s="1"/>
  <c r="IX26" i="22"/>
  <c r="IW26" i="22"/>
  <c r="IV26" i="22"/>
  <c r="IU26" i="22"/>
  <c r="IX22" i="22"/>
  <c r="IW22" i="22"/>
  <c r="IV22" i="22"/>
  <c r="IU22" i="22"/>
  <c r="AQ13" i="69"/>
  <c r="AQ14" i="69" s="1"/>
  <c r="GS19" i="69"/>
  <c r="GR19" i="69"/>
  <c r="GQ19" i="69"/>
  <c r="GP19" i="69"/>
  <c r="GS14" i="69"/>
  <c r="GS15" i="69" s="1"/>
  <c r="GS16" i="69" s="1"/>
  <c r="GR14" i="69"/>
  <c r="GR15" i="69" s="1"/>
  <c r="GR16" i="69" s="1"/>
  <c r="GQ14" i="69"/>
  <c r="GQ15" i="69" s="1"/>
  <c r="GQ16" i="69" s="1"/>
  <c r="GP14" i="69"/>
  <c r="GP15" i="69" s="1"/>
  <c r="GP16" i="69" s="1"/>
  <c r="GS11" i="69"/>
  <c r="GR11" i="69"/>
  <c r="GQ11" i="69"/>
  <c r="GP11" i="69"/>
  <c r="GS9" i="69"/>
  <c r="GR9" i="69"/>
  <c r="GQ9" i="69"/>
  <c r="GP9" i="69"/>
  <c r="AQ13" i="65"/>
  <c r="GS18" i="65"/>
  <c r="GR18" i="65"/>
  <c r="GQ18" i="65"/>
  <c r="GP18" i="65"/>
  <c r="GS14" i="65"/>
  <c r="GS15" i="65" s="1"/>
  <c r="GS16" i="65" s="1"/>
  <c r="GR14" i="65"/>
  <c r="GR15" i="65" s="1"/>
  <c r="GR16" i="65" s="1"/>
  <c r="GQ14" i="65"/>
  <c r="GQ15" i="65" s="1"/>
  <c r="GQ16" i="65" s="1"/>
  <c r="GP14" i="65"/>
  <c r="GP15" i="65" s="1"/>
  <c r="GP16" i="65" s="1"/>
  <c r="AF7" i="81"/>
  <c r="EL8" i="81"/>
  <c r="EL9" i="81" s="1"/>
  <c r="EL10" i="81" s="1"/>
  <c r="EK8" i="81"/>
  <c r="EK9" i="81" s="1"/>
  <c r="EK10" i="81" s="1"/>
  <c r="EJ8" i="81"/>
  <c r="EJ9" i="81" s="1"/>
  <c r="EJ10" i="81" s="1"/>
  <c r="EI8" i="81"/>
  <c r="EI9" i="81" s="1"/>
  <c r="EI10" i="81" s="1"/>
  <c r="AB7" i="83"/>
  <c r="IU23" i="22" l="1"/>
  <c r="IU24" i="22" s="1"/>
  <c r="EZ12" i="76"/>
  <c r="IX11" i="22"/>
  <c r="FB12" i="76"/>
  <c r="IV23" i="22"/>
  <c r="IV24" i="22" s="1"/>
  <c r="EY12" i="76"/>
  <c r="FA12" i="76"/>
  <c r="BT19" i="22"/>
  <c r="IW23" i="22"/>
  <c r="IW24" i="22" s="1"/>
  <c r="JR18" i="27"/>
  <c r="JR19" i="27" s="1"/>
  <c r="JS18" i="27"/>
  <c r="JS19" i="27" s="1"/>
  <c r="IX12" i="22"/>
  <c r="IX23" i="22"/>
  <c r="IX24" i="22" s="1"/>
  <c r="IW12" i="22"/>
  <c r="IV12" i="22"/>
  <c r="IV13" i="22"/>
  <c r="IW13" i="22"/>
  <c r="IX13" i="22"/>
  <c r="IU10" i="22"/>
  <c r="IU13" i="22"/>
  <c r="IU11" i="22"/>
  <c r="IV10" i="22"/>
  <c r="IW10" i="22"/>
  <c r="IV11" i="22"/>
  <c r="IW11" i="22"/>
  <c r="JU18" i="27" l="1"/>
  <c r="JU19" i="27" s="1"/>
  <c r="JT18" i="27"/>
  <c r="JT19" i="27" s="1"/>
  <c r="EG8" i="83" l="1"/>
  <c r="EG9" i="83" s="1"/>
  <c r="EG10" i="83" s="1"/>
  <c r="EF8" i="83"/>
  <c r="EF9" i="83" s="1"/>
  <c r="EF10" i="83" s="1"/>
  <c r="EE8" i="83"/>
  <c r="EE9" i="83" s="1"/>
  <c r="EE10" i="83" s="1"/>
  <c r="ED8" i="83"/>
  <c r="ED9" i="83" s="1"/>
  <c r="ED10" i="83" s="1"/>
  <c r="AP13" i="65"/>
  <c r="BS20" i="22"/>
  <c r="BS11" i="27"/>
  <c r="BS14" i="27"/>
  <c r="BT6" i="27" l="1"/>
  <c r="BT16" i="27"/>
  <c r="AI10" i="76"/>
  <c r="AI7" i="76"/>
  <c r="AI11" i="76" s="1"/>
  <c r="IS19" i="22"/>
  <c r="IR19" i="22"/>
  <c r="BT9" i="22"/>
  <c r="BT10" i="22" s="1"/>
  <c r="BT28" i="22"/>
  <c r="BT27" i="22"/>
  <c r="BT21" i="22"/>
  <c r="BT23" i="22" s="1"/>
  <c r="BT24" i="22" s="1"/>
  <c r="BT25" i="22" s="1"/>
  <c r="BT7" i="22"/>
  <c r="BT12" i="22" s="1"/>
  <c r="AQ15" i="69"/>
  <c r="AQ16" i="69" s="1"/>
  <c r="AQ10" i="69"/>
  <c r="AQ9" i="69"/>
  <c r="AQ14" i="65"/>
  <c r="AQ15" i="65" s="1"/>
  <c r="AQ16" i="65" s="1"/>
  <c r="AF8" i="81"/>
  <c r="AF9" i="81" s="1"/>
  <c r="AF10" i="81" s="1"/>
  <c r="AB8" i="83"/>
  <c r="AB9" i="83" s="1"/>
  <c r="AB10" i="83" s="1"/>
  <c r="AI12" i="76" l="1"/>
  <c r="BT17" i="27"/>
  <c r="BT18" i="27" s="1"/>
  <c r="BT19" i="27" s="1"/>
  <c r="BT13" i="22"/>
  <c r="IQ19" i="22" l="1"/>
  <c r="IP19" i="22" l="1"/>
  <c r="BS12" i="27" l="1"/>
  <c r="BS13" i="27"/>
  <c r="BS17" i="27"/>
  <c r="JQ20" i="27"/>
  <c r="JP20" i="27"/>
  <c r="JO20" i="27"/>
  <c r="JN20" i="27"/>
  <c r="JM20" i="27"/>
  <c r="JQ17" i="27"/>
  <c r="JP17" i="27"/>
  <c r="JO17" i="27"/>
  <c r="JN17" i="27"/>
  <c r="JM17" i="27"/>
  <c r="JM18" i="27" s="1"/>
  <c r="JM19" i="27" s="1"/>
  <c r="JQ16" i="27"/>
  <c r="JP16" i="27"/>
  <c r="JO16" i="27"/>
  <c r="JN16" i="27"/>
  <c r="JM16" i="27"/>
  <c r="JN6" i="27"/>
  <c r="BS6" i="27"/>
  <c r="AH9" i="76"/>
  <c r="AH10" i="76" s="1"/>
  <c r="AH8" i="76"/>
  <c r="EX6" i="76"/>
  <c r="EX7" i="76" s="1"/>
  <c r="EX11" i="76" s="1"/>
  <c r="EW6" i="76"/>
  <c r="EW7" i="76" s="1"/>
  <c r="EW11" i="76" s="1"/>
  <c r="EV6" i="76"/>
  <c r="EV7" i="76" s="1"/>
  <c r="EV11" i="76" s="1"/>
  <c r="EU6" i="76"/>
  <c r="EU7" i="76" s="1"/>
  <c r="EU11" i="76" s="1"/>
  <c r="ET6" i="76"/>
  <c r="ET7" i="76" s="1"/>
  <c r="ET11" i="76" s="1"/>
  <c r="EX10" i="76"/>
  <c r="EW10" i="76"/>
  <c r="EV10" i="76"/>
  <c r="EU10" i="76"/>
  <c r="ET10" i="76"/>
  <c r="BS19" i="22"/>
  <c r="BS21" i="22"/>
  <c r="BS23" i="22" s="1"/>
  <c r="BS18" i="22"/>
  <c r="BS28" i="22"/>
  <c r="BS27" i="22"/>
  <c r="BS9" i="22"/>
  <c r="BS10" i="22" s="1"/>
  <c r="BS7" i="22"/>
  <c r="BS12" i="22" s="1"/>
  <c r="IT26" i="22"/>
  <c r="IS26" i="22"/>
  <c r="IR26" i="22"/>
  <c r="IQ26" i="22"/>
  <c r="IP26" i="22"/>
  <c r="IT22" i="22"/>
  <c r="IS22" i="22"/>
  <c r="IR22" i="22"/>
  <c r="IQ22" i="22"/>
  <c r="IP22" i="22"/>
  <c r="IT9" i="22"/>
  <c r="IT11" i="22" s="1"/>
  <c r="IS9" i="22"/>
  <c r="IS11" i="22" s="1"/>
  <c r="IR9" i="22"/>
  <c r="IR11" i="22" s="1"/>
  <c r="IQ9" i="22"/>
  <c r="IQ11" i="22" s="1"/>
  <c r="IP9" i="22"/>
  <c r="IP11" i="22" s="1"/>
  <c r="AP13" i="69"/>
  <c r="AP14" i="69" s="1"/>
  <c r="AP15" i="69" s="1"/>
  <c r="AP16" i="69" s="1"/>
  <c r="AP10" i="69"/>
  <c r="AP9" i="69"/>
  <c r="AP8" i="69"/>
  <c r="GO19" i="69"/>
  <c r="GN19" i="69"/>
  <c r="GM19" i="69"/>
  <c r="GL19" i="69"/>
  <c r="GK19" i="69"/>
  <c r="GO14" i="69"/>
  <c r="GO15" i="69" s="1"/>
  <c r="GO16" i="69" s="1"/>
  <c r="GN14" i="69"/>
  <c r="GN15" i="69" s="1"/>
  <c r="GN16" i="69" s="1"/>
  <c r="GM14" i="69"/>
  <c r="GM15" i="69" s="1"/>
  <c r="GM16" i="69" s="1"/>
  <c r="GL14" i="69"/>
  <c r="GL15" i="69" s="1"/>
  <c r="GL16" i="69" s="1"/>
  <c r="GK14" i="69"/>
  <c r="GK15" i="69" s="1"/>
  <c r="GK16" i="69" s="1"/>
  <c r="GO11" i="69"/>
  <c r="GN11" i="69"/>
  <c r="GM11" i="69"/>
  <c r="GL11" i="69"/>
  <c r="GK11" i="69"/>
  <c r="GO9" i="69"/>
  <c r="GN9" i="69"/>
  <c r="GM9" i="69"/>
  <c r="GL9" i="69"/>
  <c r="GK9" i="69"/>
  <c r="GO8" i="69"/>
  <c r="GN8" i="69"/>
  <c r="GM8" i="69"/>
  <c r="GL8" i="69"/>
  <c r="GK8" i="69"/>
  <c r="AP14" i="65"/>
  <c r="AP15" i="65" s="1"/>
  <c r="AP16" i="65" s="1"/>
  <c r="GO18" i="65"/>
  <c r="GO14" i="65"/>
  <c r="GO15" i="65" s="1"/>
  <c r="GO16" i="65" s="1"/>
  <c r="GN18" i="65"/>
  <c r="GM18" i="65"/>
  <c r="GL18" i="65"/>
  <c r="GK18" i="65"/>
  <c r="GN14" i="65"/>
  <c r="GN15" i="65" s="1"/>
  <c r="GN16" i="65" s="1"/>
  <c r="GM14" i="65"/>
  <c r="GM15" i="65" s="1"/>
  <c r="GM16" i="65" s="1"/>
  <c r="GL14" i="65"/>
  <c r="GL15" i="65" s="1"/>
  <c r="GL16" i="65" s="1"/>
  <c r="GK14" i="65"/>
  <c r="GK15" i="65" s="1"/>
  <c r="GK16" i="65" s="1"/>
  <c r="AE7" i="81"/>
  <c r="AE8" i="81" s="1"/>
  <c r="EH8" i="81"/>
  <c r="EH9" i="81" s="1"/>
  <c r="EH10" i="81" s="1"/>
  <c r="EG8" i="81"/>
  <c r="EG9" i="81" s="1"/>
  <c r="EG10" i="81" s="1"/>
  <c r="EF8" i="81"/>
  <c r="EF9" i="81" s="1"/>
  <c r="EF10" i="81" s="1"/>
  <c r="EE8" i="81"/>
  <c r="EE9" i="81" s="1"/>
  <c r="EE10" i="81" s="1"/>
  <c r="ED8" i="81"/>
  <c r="ED9" i="81" s="1"/>
  <c r="ED10" i="81" s="1"/>
  <c r="EX12" i="76" l="1"/>
  <c r="EW12" i="76"/>
  <c r="EV12" i="76"/>
  <c r="IP12" i="22"/>
  <c r="IP23" i="22"/>
  <c r="IP24" i="22" s="1"/>
  <c r="ET12" i="76"/>
  <c r="JO6" i="27"/>
  <c r="JN18" i="27"/>
  <c r="JN19" i="27" s="1"/>
  <c r="BS18" i="27"/>
  <c r="BS19" i="27" s="1"/>
  <c r="BS16" i="27"/>
  <c r="EU12" i="76"/>
  <c r="BS24" i="22"/>
  <c r="BS25" i="22" s="1"/>
  <c r="IR12" i="22"/>
  <c r="IS12" i="22"/>
  <c r="IT12" i="22"/>
  <c r="BS13" i="22"/>
  <c r="IR23" i="22"/>
  <c r="IR24" i="22" s="1"/>
  <c r="IS23" i="22"/>
  <c r="IS24" i="22" s="1"/>
  <c r="IQ12" i="22"/>
  <c r="IP13" i="22"/>
  <c r="IQ23" i="22"/>
  <c r="IQ24" i="22" s="1"/>
  <c r="IP10" i="22"/>
  <c r="IQ13" i="22"/>
  <c r="IQ10" i="22"/>
  <c r="IR13" i="22"/>
  <c r="IR10" i="22"/>
  <c r="IS13" i="22"/>
  <c r="IT23" i="22"/>
  <c r="IT24" i="22" s="1"/>
  <c r="IS10" i="22"/>
  <c r="IT13" i="22"/>
  <c r="IT10" i="22"/>
  <c r="AE9" i="81"/>
  <c r="AE10" i="81" s="1"/>
  <c r="JP6" i="27" l="1"/>
  <c r="JO18" i="27"/>
  <c r="JO19" i="27" s="1"/>
  <c r="JQ18" i="27" l="1"/>
  <c r="JQ19" i="27" s="1"/>
  <c r="JP18" i="27"/>
  <c r="JP19" i="27" s="1"/>
  <c r="AA7" i="83" l="1"/>
  <c r="AA8" i="83" s="1"/>
  <c r="EC8" i="83"/>
  <c r="EC9" i="83" s="1"/>
  <c r="EC10" i="83" s="1"/>
  <c r="EB8" i="83"/>
  <c r="EB9" i="83" s="1"/>
  <c r="EB10" i="83" s="1"/>
  <c r="EA8" i="83"/>
  <c r="EA9" i="83" s="1"/>
  <c r="EA10" i="83" s="1"/>
  <c r="DZ8" i="83"/>
  <c r="DZ9" i="83" s="1"/>
  <c r="DZ10" i="83" s="1"/>
  <c r="DY8" i="83"/>
  <c r="DY9" i="83" s="1"/>
  <c r="DY10" i="83" s="1"/>
  <c r="AA6" i="83"/>
  <c r="IN19" i="22"/>
  <c r="IO19" i="22"/>
  <c r="AA9" i="83" l="1"/>
  <c r="AA10" i="83" s="1"/>
  <c r="IM19" i="22"/>
  <c r="BR12" i="27"/>
  <c r="BR13" i="27"/>
  <c r="BR14" i="27"/>
  <c r="BR17" i="27" s="1"/>
  <c r="BR11" i="27"/>
  <c r="BR6" i="27"/>
  <c r="JL20" i="27"/>
  <c r="JK20" i="27"/>
  <c r="JJ20" i="27"/>
  <c r="JI20" i="27"/>
  <c r="JL17" i="27"/>
  <c r="JK17" i="27"/>
  <c r="JJ17" i="27"/>
  <c r="JI17" i="27"/>
  <c r="JL16" i="27"/>
  <c r="JK16" i="27"/>
  <c r="JJ16" i="27"/>
  <c r="JI16" i="27"/>
  <c r="AG9" i="76"/>
  <c r="AG10" i="76" s="1"/>
  <c r="AG8" i="76"/>
  <c r="EM6" i="76"/>
  <c r="EM7" i="76" s="1"/>
  <c r="EN6" i="76"/>
  <c r="EN7" i="76" s="1"/>
  <c r="EO6" i="76"/>
  <c r="EO7" i="76" s="1"/>
  <c r="EP6" i="76"/>
  <c r="EP7" i="76" s="1"/>
  <c r="EP11" i="76" s="1"/>
  <c r="EQ6" i="76"/>
  <c r="EQ7" i="76" s="1"/>
  <c r="EQ11" i="76" s="1"/>
  <c r="ER6" i="76"/>
  <c r="ER7" i="76" s="1"/>
  <c r="ER11" i="76" s="1"/>
  <c r="ES6" i="76"/>
  <c r="ES7" i="76" s="1"/>
  <c r="ES11" i="76" s="1"/>
  <c r="EL6" i="76"/>
  <c r="EL7" i="76" s="1"/>
  <c r="ES10" i="76"/>
  <c r="ER10" i="76"/>
  <c r="EQ10" i="76"/>
  <c r="EP10" i="76"/>
  <c r="BR20" i="22"/>
  <c r="BR21" i="22" s="1"/>
  <c r="BR23" i="22" s="1"/>
  <c r="BR18" i="22"/>
  <c r="BR9" i="22"/>
  <c r="BR10" i="22" s="1"/>
  <c r="BR28" i="22"/>
  <c r="BR27" i="22"/>
  <c r="BR7" i="22"/>
  <c r="IL19" i="22"/>
  <c r="II19" i="22"/>
  <c r="IJ19" i="22"/>
  <c r="IK19" i="22"/>
  <c r="IM9" i="22"/>
  <c r="IM11" i="22" s="1"/>
  <c r="IN9" i="22"/>
  <c r="IN11" i="22" s="1"/>
  <c r="IO9" i="22"/>
  <c r="IO11" i="22" s="1"/>
  <c r="IL9" i="22"/>
  <c r="IL12" i="22" s="1"/>
  <c r="IO26" i="22"/>
  <c r="IN26" i="22"/>
  <c r="IM26" i="22"/>
  <c r="IL26" i="22"/>
  <c r="IO22" i="22"/>
  <c r="IN22" i="22"/>
  <c r="IM22" i="22"/>
  <c r="IL22" i="22"/>
  <c r="AO13" i="69"/>
  <c r="AO14" i="69" s="1"/>
  <c r="AO15" i="69" s="1"/>
  <c r="AO16" i="69" s="1"/>
  <c r="AO10" i="69"/>
  <c r="AO9" i="69"/>
  <c r="AO8" i="69"/>
  <c r="AN13" i="69"/>
  <c r="GJ19" i="69"/>
  <c r="GJ14" i="69"/>
  <c r="GJ15" i="69" s="1"/>
  <c r="GJ16" i="69" s="1"/>
  <c r="GJ11" i="69"/>
  <c r="GJ9" i="69"/>
  <c r="GJ8" i="69"/>
  <c r="GI19" i="69"/>
  <c r="GH19" i="69"/>
  <c r="GG19" i="69"/>
  <c r="GI14" i="69"/>
  <c r="GI15" i="69" s="1"/>
  <c r="GI16" i="69" s="1"/>
  <c r="GH14" i="69"/>
  <c r="GH15" i="69" s="1"/>
  <c r="GH16" i="69" s="1"/>
  <c r="GG14" i="69"/>
  <c r="GG15" i="69" s="1"/>
  <c r="GG16" i="69" s="1"/>
  <c r="GI11" i="69"/>
  <c r="GH11" i="69"/>
  <c r="GG11" i="69"/>
  <c r="GI9" i="69"/>
  <c r="GH9" i="69"/>
  <c r="GG9" i="69"/>
  <c r="GI8" i="69"/>
  <c r="GH8" i="69"/>
  <c r="GG8" i="69"/>
  <c r="AO13" i="65"/>
  <c r="AO14" i="65" s="1"/>
  <c r="AO9" i="65"/>
  <c r="GH9" i="65"/>
  <c r="GI9" i="65"/>
  <c r="GJ9" i="65"/>
  <c r="GG9" i="65"/>
  <c r="GJ14" i="65"/>
  <c r="GI14" i="65"/>
  <c r="GH14" i="65"/>
  <c r="GG14" i="65"/>
  <c r="AD7" i="81"/>
  <c r="AD8" i="81" s="1"/>
  <c r="AD6" i="81"/>
  <c r="EC8" i="81"/>
  <c r="EB8" i="81"/>
  <c r="EA8" i="81"/>
  <c r="DZ8" i="81"/>
  <c r="EC6" i="81"/>
  <c r="GJ18" i="65" s="1"/>
  <c r="EB6" i="81"/>
  <c r="GI18" i="65" s="1"/>
  <c r="EA6" i="81"/>
  <c r="GH18" i="65" s="1"/>
  <c r="DZ6" i="81"/>
  <c r="GG18" i="65" s="1"/>
  <c r="Z7" i="83"/>
  <c r="Z8" i="83" s="1"/>
  <c r="DX8" i="83"/>
  <c r="DX9" i="83" s="1"/>
  <c r="DX10" i="83" s="1"/>
  <c r="DW8" i="83"/>
  <c r="DW9" i="83" s="1"/>
  <c r="DW10" i="83" s="1"/>
  <c r="DV8" i="83"/>
  <c r="DV9" i="83" s="1"/>
  <c r="DV10" i="83" s="1"/>
  <c r="Z6" i="83"/>
  <c r="BR19" i="22" l="1"/>
  <c r="IN13" i="22"/>
  <c r="IM12" i="22"/>
  <c r="IN23" i="22"/>
  <c r="IN24" i="22" s="1"/>
  <c r="IO13" i="22"/>
  <c r="IN12" i="22"/>
  <c r="IO23" i="22"/>
  <c r="IO24" i="22" s="1"/>
  <c r="IN10" i="22"/>
  <c r="IL10" i="22"/>
  <c r="ER12" i="76"/>
  <c r="EQ12" i="76"/>
  <c r="ES12" i="76"/>
  <c r="IL11" i="22"/>
  <c r="IO10" i="22"/>
  <c r="IO12" i="22"/>
  <c r="IL23" i="22"/>
  <c r="IL24" i="22" s="1"/>
  <c r="GI15" i="65"/>
  <c r="GI16" i="65" s="1"/>
  <c r="GJ15" i="65"/>
  <c r="GJ16" i="65" s="1"/>
  <c r="GH15" i="65"/>
  <c r="GH16" i="65" s="1"/>
  <c r="GG15" i="65"/>
  <c r="GG16" i="65" s="1"/>
  <c r="EB9" i="81"/>
  <c r="EB10" i="81" s="1"/>
  <c r="EA9" i="81"/>
  <c r="EA10" i="81" s="1"/>
  <c r="AD9" i="81"/>
  <c r="AD10" i="81" s="1"/>
  <c r="EP12" i="76"/>
  <c r="BR18" i="27"/>
  <c r="BR19" i="27" s="1"/>
  <c r="BR16" i="27"/>
  <c r="BR12" i="22"/>
  <c r="BR24" i="22"/>
  <c r="BR25" i="22" s="1"/>
  <c r="IM10" i="22"/>
  <c r="IM23" i="22"/>
  <c r="IM24" i="22" s="1"/>
  <c r="BR13" i="22"/>
  <c r="IL13" i="22"/>
  <c r="IM13" i="22"/>
  <c r="AO15" i="65"/>
  <c r="AO16" i="65" s="1"/>
  <c r="EC9" i="81"/>
  <c r="EC10" i="81" s="1"/>
  <c r="DZ9" i="81"/>
  <c r="DZ10" i="81" s="1"/>
  <c r="Z9" i="83"/>
  <c r="Z10" i="83" s="1"/>
  <c r="DU8" i="83" l="1"/>
  <c r="DU9" i="83" s="1"/>
  <c r="DU10" i="83" s="1"/>
  <c r="BQ6" i="27"/>
  <c r="IH19" i="22" l="1"/>
  <c r="BQ12" i="27"/>
  <c r="BQ13" i="27"/>
  <c r="BQ14" i="27"/>
  <c r="BQ16" i="27" s="1"/>
  <c r="BQ11" i="27"/>
  <c r="JH20" i="27"/>
  <c r="JG20" i="27"/>
  <c r="JF20" i="27"/>
  <c r="JE20" i="27"/>
  <c r="JH17" i="27"/>
  <c r="JG17" i="27"/>
  <c r="JF17" i="27"/>
  <c r="JE17" i="27"/>
  <c r="JH16" i="27"/>
  <c r="JG16" i="27"/>
  <c r="JF16" i="27"/>
  <c r="JE16" i="27"/>
  <c r="AF9" i="76"/>
  <c r="AF10" i="76" s="1"/>
  <c r="AF8" i="76"/>
  <c r="EM11" i="76"/>
  <c r="EN11" i="76"/>
  <c r="EO11" i="76"/>
  <c r="EL11" i="76"/>
  <c r="EO10" i="76"/>
  <c r="EN10" i="76"/>
  <c r="EM10" i="76"/>
  <c r="EL10" i="76"/>
  <c r="BQ20" i="22"/>
  <c r="BQ21" i="22" s="1"/>
  <c r="BQ23" i="22" s="1"/>
  <c r="BQ18" i="22"/>
  <c r="BQ9" i="22"/>
  <c r="BQ10" i="22" s="1"/>
  <c r="BQ28" i="22"/>
  <c r="BQ27" i="22"/>
  <c r="BQ7" i="22"/>
  <c r="II9" i="22"/>
  <c r="II12" i="22" s="1"/>
  <c r="IJ9" i="22"/>
  <c r="IJ11" i="22" s="1"/>
  <c r="IK9" i="22"/>
  <c r="IK12" i="22" s="1"/>
  <c r="IH9" i="22"/>
  <c r="IH11" i="22" s="1"/>
  <c r="IK26" i="22"/>
  <c r="IJ26" i="22"/>
  <c r="II26" i="22"/>
  <c r="IH26" i="22"/>
  <c r="IK22" i="22"/>
  <c r="IJ22" i="22"/>
  <c r="II22" i="22"/>
  <c r="IH22" i="22"/>
  <c r="AN14" i="69"/>
  <c r="AN15" i="69" s="1"/>
  <c r="AN16" i="69" s="1"/>
  <c r="AN8" i="69"/>
  <c r="AN10" i="69"/>
  <c r="AN9" i="69"/>
  <c r="GD8" i="69"/>
  <c r="GE8" i="69"/>
  <c r="GF8" i="69"/>
  <c r="GC8" i="69"/>
  <c r="GF19" i="69"/>
  <c r="GE19" i="69"/>
  <c r="GD19" i="69"/>
  <c r="GC19" i="69"/>
  <c r="GF14" i="69"/>
  <c r="GF15" i="69" s="1"/>
  <c r="GF16" i="69" s="1"/>
  <c r="GE14" i="69"/>
  <c r="GE15" i="69" s="1"/>
  <c r="GE16" i="69" s="1"/>
  <c r="GD14" i="69"/>
  <c r="GD15" i="69" s="1"/>
  <c r="GD16" i="69" s="1"/>
  <c r="GC14" i="69"/>
  <c r="GC15" i="69" s="1"/>
  <c r="GC16" i="69" s="1"/>
  <c r="GF11" i="69"/>
  <c r="GE11" i="69"/>
  <c r="GD11" i="69"/>
  <c r="GC11" i="69"/>
  <c r="GF9" i="69"/>
  <c r="GE9" i="69"/>
  <c r="GD9" i="69"/>
  <c r="GC9" i="69"/>
  <c r="AN13" i="65"/>
  <c r="AN14" i="65" s="1"/>
  <c r="GD9" i="65"/>
  <c r="GE9" i="65"/>
  <c r="GF9" i="65"/>
  <c r="GC9" i="65"/>
  <c r="GF14" i="65"/>
  <c r="GE14" i="65"/>
  <c r="GD14" i="65"/>
  <c r="GC14" i="65"/>
  <c r="AN9" i="65"/>
  <c r="AC7" i="81"/>
  <c r="AC8" i="81" s="1"/>
  <c r="AC6" i="81"/>
  <c r="DW6" i="81"/>
  <c r="GD18" i="65" s="1"/>
  <c r="DX6" i="81"/>
  <c r="GE18" i="65" s="1"/>
  <c r="DY6" i="81"/>
  <c r="GF18" i="65" s="1"/>
  <c r="DV6" i="81"/>
  <c r="GC18" i="65" s="1"/>
  <c r="DY8" i="81"/>
  <c r="DY9" i="81" s="1"/>
  <c r="DY10" i="81" s="1"/>
  <c r="DX8" i="81"/>
  <c r="DW8" i="81"/>
  <c r="DV8" i="81"/>
  <c r="Y7" i="83"/>
  <c r="Y8" i="83" s="1"/>
  <c r="Y6" i="83"/>
  <c r="Y9" i="83" l="1"/>
  <c r="Y10" i="83" s="1"/>
  <c r="BQ12" i="22"/>
  <c r="BQ24" i="22"/>
  <c r="BQ25" i="22" s="1"/>
  <c r="GC15" i="65"/>
  <c r="GC16" i="65" s="1"/>
  <c r="GE15" i="65"/>
  <c r="GE16" i="65" s="1"/>
  <c r="GD15" i="65"/>
  <c r="GD16" i="65" s="1"/>
  <c r="GF15" i="65"/>
  <c r="GF16" i="65" s="1"/>
  <c r="DW9" i="81"/>
  <c r="DW10" i="81" s="1"/>
  <c r="DX9" i="81"/>
  <c r="DX10" i="81" s="1"/>
  <c r="BQ19" i="22"/>
  <c r="EL12" i="76"/>
  <c r="JE18" i="27"/>
  <c r="JE19" i="27" s="1"/>
  <c r="JF18" i="27"/>
  <c r="JF19" i="27" s="1"/>
  <c r="BQ17" i="27"/>
  <c r="BQ18" i="27" s="1"/>
  <c r="BQ19" i="27" s="1"/>
  <c r="EO12" i="76"/>
  <c r="EN12" i="76"/>
  <c r="EM12" i="76"/>
  <c r="IK13" i="22"/>
  <c r="IK10" i="22"/>
  <c r="IK11" i="22"/>
  <c r="IJ12" i="22"/>
  <c r="BQ13" i="22"/>
  <c r="IK23" i="22"/>
  <c r="IK24" i="22" s="1"/>
  <c r="II13" i="22"/>
  <c r="IJ10" i="22"/>
  <c r="II23" i="22"/>
  <c r="II24" i="22" s="1"/>
  <c r="IJ23" i="22"/>
  <c r="IJ24" i="22" s="1"/>
  <c r="II11" i="22"/>
  <c r="IH10" i="22"/>
  <c r="IH23" i="22"/>
  <c r="IH24" i="22" s="1"/>
  <c r="IH12" i="22"/>
  <c r="IH13" i="22"/>
  <c r="II10" i="22"/>
  <c r="IJ13" i="22"/>
  <c r="AN15" i="65"/>
  <c r="AN16" i="65" s="1"/>
  <c r="AC9" i="81"/>
  <c r="AC10" i="81" s="1"/>
  <c r="DV9" i="81"/>
  <c r="DV10" i="81" s="1"/>
  <c r="JG18" i="27" l="1"/>
  <c r="JG19" i="27" s="1"/>
  <c r="JH6" i="27"/>
  <c r="JH18" i="27" l="1"/>
  <c r="JH19" i="27" s="1"/>
  <c r="JI6" i="27"/>
  <c r="DT8" i="83"/>
  <c r="DT9" i="83" s="1"/>
  <c r="DT10" i="83" s="1"/>
  <c r="DS8" i="83"/>
  <c r="DS9" i="83" s="1"/>
  <c r="DS10" i="83" s="1"/>
  <c r="DR8" i="83"/>
  <c r="DR9" i="83" s="1"/>
  <c r="DR10" i="83" s="1"/>
  <c r="DQ8" i="83"/>
  <c r="DQ9" i="83" s="1"/>
  <c r="DQ10" i="83" s="1"/>
  <c r="IG19" i="22"/>
  <c r="IF19" i="22"/>
  <c r="IE19" i="22"/>
  <c r="ID19" i="22"/>
  <c r="IC19" i="22"/>
  <c r="JJ6" i="27" l="1"/>
  <c r="JI18" i="27"/>
  <c r="JI19" i="27" s="1"/>
  <c r="X7" i="83"/>
  <c r="X8" i="83" s="1"/>
  <c r="DP8" i="83"/>
  <c r="DP9" i="83" s="1"/>
  <c r="DP10" i="83" s="1"/>
  <c r="DO8" i="83"/>
  <c r="DO9" i="83" s="1"/>
  <c r="DO10" i="83" s="1"/>
  <c r="DN8" i="83"/>
  <c r="DN9" i="83" s="1"/>
  <c r="DN10" i="83" s="1"/>
  <c r="DM8" i="83"/>
  <c r="DM9" i="83" s="1"/>
  <c r="DM10" i="83" s="1"/>
  <c r="DL8" i="83"/>
  <c r="DL9" i="83" s="1"/>
  <c r="DL10" i="83" s="1"/>
  <c r="X6" i="83"/>
  <c r="AB7" i="81"/>
  <c r="AB8" i="81" s="1"/>
  <c r="AB9" i="81" s="1"/>
  <c r="AB10" i="81" s="1"/>
  <c r="DU8" i="81"/>
  <c r="DU9" i="81" s="1"/>
  <c r="DU10" i="81" s="1"/>
  <c r="DT8" i="81"/>
  <c r="DT9" i="81" s="1"/>
  <c r="DT10" i="81" s="1"/>
  <c r="DS8" i="81"/>
  <c r="DS9" i="81" s="1"/>
  <c r="DS10" i="81" s="1"/>
  <c r="DR8" i="81"/>
  <c r="DR9" i="81" s="1"/>
  <c r="DR10" i="81" s="1"/>
  <c r="DQ8" i="81"/>
  <c r="DQ9" i="81" s="1"/>
  <c r="DQ10" i="81" s="1"/>
  <c r="AM13" i="65"/>
  <c r="AM14" i="65" s="1"/>
  <c r="AM15" i="65" s="1"/>
  <c r="AM16" i="65" s="1"/>
  <c r="GB18" i="65"/>
  <c r="GA18" i="65"/>
  <c r="FZ18" i="65"/>
  <c r="FY18" i="65"/>
  <c r="FX18" i="65"/>
  <c r="GB14" i="65"/>
  <c r="GB15" i="65" s="1"/>
  <c r="GB16" i="65" s="1"/>
  <c r="GA14" i="65"/>
  <c r="GA15" i="65" s="1"/>
  <c r="GA16" i="65" s="1"/>
  <c r="FZ14" i="65"/>
  <c r="FZ15" i="65" s="1"/>
  <c r="FZ16" i="65" s="1"/>
  <c r="FY14" i="65"/>
  <c r="FY15" i="65" s="1"/>
  <c r="FY16" i="65" s="1"/>
  <c r="FX14" i="65"/>
  <c r="FX15" i="65" s="1"/>
  <c r="FX16" i="65" s="1"/>
  <c r="AM13" i="69"/>
  <c r="AM14" i="69" s="1"/>
  <c r="AM15" i="69" s="1"/>
  <c r="AM16" i="69" s="1"/>
  <c r="AM10" i="69"/>
  <c r="AM9" i="69"/>
  <c r="GB19" i="69"/>
  <c r="GA19" i="69"/>
  <c r="GB14" i="69"/>
  <c r="GB15" i="69" s="1"/>
  <c r="GB16" i="69" s="1"/>
  <c r="GA14" i="69"/>
  <c r="GA15" i="69" s="1"/>
  <c r="GA16" i="69" s="1"/>
  <c r="GB11" i="69"/>
  <c r="GA11" i="69"/>
  <c r="GB9" i="69"/>
  <c r="GA9" i="69"/>
  <c r="FZ19" i="69"/>
  <c r="FY19" i="69"/>
  <c r="FX19" i="69"/>
  <c r="FZ14" i="69"/>
  <c r="FZ15" i="69" s="1"/>
  <c r="FZ16" i="69" s="1"/>
  <c r="FY14" i="69"/>
  <c r="FY15" i="69" s="1"/>
  <c r="FY16" i="69" s="1"/>
  <c r="FX14" i="69"/>
  <c r="FX15" i="69" s="1"/>
  <c r="FX16" i="69" s="1"/>
  <c r="FZ11" i="69"/>
  <c r="FY11" i="69"/>
  <c r="FX11" i="69"/>
  <c r="FZ9" i="69"/>
  <c r="FY9" i="69"/>
  <c r="FX9" i="69"/>
  <c r="BP19" i="22"/>
  <c r="BP20" i="22"/>
  <c r="BP21" i="22" s="1"/>
  <c r="BP23" i="22" s="1"/>
  <c r="BP18" i="22"/>
  <c r="IB19" i="22"/>
  <c r="IG26" i="22"/>
  <c r="IF26" i="22"/>
  <c r="IE26" i="22"/>
  <c r="ID26" i="22"/>
  <c r="IC26" i="22"/>
  <c r="IG22" i="22"/>
  <c r="IF22" i="22"/>
  <c r="IE22" i="22"/>
  <c r="ID22" i="22"/>
  <c r="IC22" i="22"/>
  <c r="IG9" i="22"/>
  <c r="IG10" i="22" s="1"/>
  <c r="IF9" i="22"/>
  <c r="IF10" i="22" s="1"/>
  <c r="IE9" i="22"/>
  <c r="IE11" i="22" s="1"/>
  <c r="ID9" i="22"/>
  <c r="ID11" i="22" s="1"/>
  <c r="IC9" i="22"/>
  <c r="IC11" i="22" s="1"/>
  <c r="BP28" i="22"/>
  <c r="BP27" i="22"/>
  <c r="BP9" i="22"/>
  <c r="BP7" i="22"/>
  <c r="IC23" i="22" l="1"/>
  <c r="IC24" i="22" s="1"/>
  <c r="BP13" i="22"/>
  <c r="BP10" i="22"/>
  <c r="IE23" i="22"/>
  <c r="IE24" i="22" s="1"/>
  <c r="ID23" i="22"/>
  <c r="ID24" i="22" s="1"/>
  <c r="BP12" i="22"/>
  <c r="JK6" i="27"/>
  <c r="JJ18" i="27"/>
  <c r="JJ19" i="27" s="1"/>
  <c r="IG12" i="22"/>
  <c r="IF23" i="22"/>
  <c r="IF24" i="22" s="1"/>
  <c r="IG23" i="22"/>
  <c r="IG24" i="22" s="1"/>
  <c r="IF11" i="22"/>
  <c r="IC12" i="22"/>
  <c r="ID12" i="22"/>
  <c r="IE12" i="22"/>
  <c r="IG11" i="22"/>
  <c r="IF12" i="22"/>
  <c r="X9" i="83"/>
  <c r="X10" i="83" s="1"/>
  <c r="IC13" i="22"/>
  <c r="IC10" i="22"/>
  <c r="ID13" i="22"/>
  <c r="ID10" i="22"/>
  <c r="IE13" i="22"/>
  <c r="IE10" i="22"/>
  <c r="IF13" i="22"/>
  <c r="IG13" i="22"/>
  <c r="BP24" i="22"/>
  <c r="BP25" i="22" s="1"/>
  <c r="JL6" i="27" l="1"/>
  <c r="JL18" i="27" s="1"/>
  <c r="JL19" i="27" s="1"/>
  <c r="JK18" i="27"/>
  <c r="JK19" i="27" s="1"/>
  <c r="AE9" i="76"/>
  <c r="AE8" i="76"/>
  <c r="EK11" i="76"/>
  <c r="EJ11" i="76"/>
  <c r="EI11" i="76"/>
  <c r="EH11" i="76"/>
  <c r="EG11" i="76"/>
  <c r="EK10" i="76"/>
  <c r="EJ10" i="76"/>
  <c r="EI10" i="76"/>
  <c r="EH10" i="76"/>
  <c r="EG10" i="76"/>
  <c r="EK6" i="76"/>
  <c r="EJ6" i="76"/>
  <c r="EI6" i="76"/>
  <c r="EH6" i="76"/>
  <c r="EG6" i="76"/>
  <c r="EH12" i="76" l="1"/>
  <c r="AE10" i="76"/>
  <c r="EI12" i="76"/>
  <c r="EG12" i="76"/>
  <c r="EJ12" i="76"/>
  <c r="EK12" i="76"/>
  <c r="BP13" i="27" l="1"/>
  <c r="BP14" i="27"/>
  <c r="BP17" i="27" s="1"/>
  <c r="BP12" i="27"/>
  <c r="BP11" i="27"/>
  <c r="BP6" i="27"/>
  <c r="JD20" i="27"/>
  <c r="JC20" i="27"/>
  <c r="JB20" i="27"/>
  <c r="JA20" i="27"/>
  <c r="IZ20" i="27"/>
  <c r="JD17" i="27"/>
  <c r="JC17" i="27"/>
  <c r="JB17" i="27"/>
  <c r="JA17" i="27"/>
  <c r="IZ17" i="27"/>
  <c r="JD16" i="27"/>
  <c r="JC16" i="27"/>
  <c r="JB16" i="27"/>
  <c r="JA16" i="27"/>
  <c r="IZ16" i="27"/>
  <c r="IA19" i="22"/>
  <c r="HZ19" i="22"/>
  <c r="W7" i="83"/>
  <c r="W8" i="83" s="1"/>
  <c r="HY19" i="22"/>
  <c r="HX19" i="22"/>
  <c r="W6" i="83"/>
  <c r="DK8" i="83"/>
  <c r="DK9" i="83" s="1"/>
  <c r="DK10" i="83" s="1"/>
  <c r="DJ8" i="83"/>
  <c r="DJ9" i="83" s="1"/>
  <c r="DJ10" i="83" s="1"/>
  <c r="DI8" i="83"/>
  <c r="DI9" i="83" s="1"/>
  <c r="DI10" i="83" s="1"/>
  <c r="DH8" i="83"/>
  <c r="DH9" i="83" s="1"/>
  <c r="DH10" i="83" s="1"/>
  <c r="AA7" i="81"/>
  <c r="AA8" i="81" s="1"/>
  <c r="AA9" i="81" s="1"/>
  <c r="AA10" i="81" s="1"/>
  <c r="DP8" i="81"/>
  <c r="DP9" i="81" s="1"/>
  <c r="DP10" i="81" s="1"/>
  <c r="DO8" i="81"/>
  <c r="DO9" i="81" s="1"/>
  <c r="DO10" i="81" s="1"/>
  <c r="DN8" i="81"/>
  <c r="DN9" i="81" s="1"/>
  <c r="DN10" i="81" s="1"/>
  <c r="DM8" i="81"/>
  <c r="DM9" i="81" s="1"/>
  <c r="DM10" i="81" s="1"/>
  <c r="AL13" i="65"/>
  <c r="AL14" i="65" s="1"/>
  <c r="AL15" i="65" s="1"/>
  <c r="AL16" i="65" s="1"/>
  <c r="FU18" i="65"/>
  <c r="FW18" i="65"/>
  <c r="FV18" i="65"/>
  <c r="FT18" i="65"/>
  <c r="FW14" i="65"/>
  <c r="FW15" i="65" s="1"/>
  <c r="FW16" i="65" s="1"/>
  <c r="FV14" i="65"/>
  <c r="FV15" i="65" s="1"/>
  <c r="FV16" i="65" s="1"/>
  <c r="FU14" i="65"/>
  <c r="FU15" i="65" s="1"/>
  <c r="FU16" i="65" s="1"/>
  <c r="FT14" i="65"/>
  <c r="FT15" i="65" s="1"/>
  <c r="FT16" i="65" s="1"/>
  <c r="AL13" i="69"/>
  <c r="AL14" i="69" s="1"/>
  <c r="AL15" i="69" s="1"/>
  <c r="AL16" i="69" s="1"/>
  <c r="AL10" i="69"/>
  <c r="AL9" i="69"/>
  <c r="FW19" i="69"/>
  <c r="FV19" i="69"/>
  <c r="FU19" i="69"/>
  <c r="FT19" i="69"/>
  <c r="FW14" i="69"/>
  <c r="FW15" i="69" s="1"/>
  <c r="FW16" i="69" s="1"/>
  <c r="FV14" i="69"/>
  <c r="FV15" i="69" s="1"/>
  <c r="FV16" i="69" s="1"/>
  <c r="FU14" i="69"/>
  <c r="FU15" i="69" s="1"/>
  <c r="FU16" i="69" s="1"/>
  <c r="FT14" i="69"/>
  <c r="FT15" i="69" s="1"/>
  <c r="FT16" i="69" s="1"/>
  <c r="FW11" i="69"/>
  <c r="FV11" i="69"/>
  <c r="FU11" i="69"/>
  <c r="FT11" i="69"/>
  <c r="FW9" i="69"/>
  <c r="FV9" i="69"/>
  <c r="FU9" i="69"/>
  <c r="FT9" i="69"/>
  <c r="BO20" i="22"/>
  <c r="BO21" i="22" s="1"/>
  <c r="BO23" i="22" s="1"/>
  <c r="BO18" i="22"/>
  <c r="BO28" i="22"/>
  <c r="BO27" i="22"/>
  <c r="BO9" i="22"/>
  <c r="BO7" i="22"/>
  <c r="IB26" i="22"/>
  <c r="IA26" i="22"/>
  <c r="HZ26" i="22"/>
  <c r="HY26" i="22"/>
  <c r="IB22" i="22"/>
  <c r="IA22" i="22"/>
  <c r="HZ22" i="22"/>
  <c r="HY22" i="22"/>
  <c r="IB9" i="22"/>
  <c r="IB13" i="22" s="1"/>
  <c r="IA9" i="22"/>
  <c r="IA13" i="22" s="1"/>
  <c r="HZ9" i="22"/>
  <c r="HZ13" i="22" s="1"/>
  <c r="HY9" i="22"/>
  <c r="HY10" i="22" s="1"/>
  <c r="AD9" i="76"/>
  <c r="AD10" i="76" s="1"/>
  <c r="AD8" i="76"/>
  <c r="EF11" i="76"/>
  <c r="EE11" i="76"/>
  <c r="ED11" i="76"/>
  <c r="EC11" i="76"/>
  <c r="EF10" i="76"/>
  <c r="EE10" i="76"/>
  <c r="ED10" i="76"/>
  <c r="EC10" i="76"/>
  <c r="EF6" i="76"/>
  <c r="EE6" i="76"/>
  <c r="ED6" i="76"/>
  <c r="EC6" i="76"/>
  <c r="BO12" i="27"/>
  <c r="BO13" i="27"/>
  <c r="BO14" i="27"/>
  <c r="BO17" i="27" s="1"/>
  <c r="BO11" i="27"/>
  <c r="BO6" i="27"/>
  <c r="IY20" i="27"/>
  <c r="IX20" i="27"/>
  <c r="IW20" i="27"/>
  <c r="IV20" i="27"/>
  <c r="IY17" i="27"/>
  <c r="IX17" i="27"/>
  <c r="IW17" i="27"/>
  <c r="IV17" i="27"/>
  <c r="IY16" i="27"/>
  <c r="IX16" i="27"/>
  <c r="IW16" i="27"/>
  <c r="IV16" i="27"/>
  <c r="HW19" i="22"/>
  <c r="HV19" i="22"/>
  <c r="HU19" i="22"/>
  <c r="BO13" i="22" l="1"/>
  <c r="BO10" i="22"/>
  <c r="IA23" i="22"/>
  <c r="IA24" i="22" s="1"/>
  <c r="IA12" i="22"/>
  <c r="BO12" i="22"/>
  <c r="IB12" i="22"/>
  <c r="IB23" i="22"/>
  <c r="IB24" i="22" s="1"/>
  <c r="BO19" i="22"/>
  <c r="IB10" i="22"/>
  <c r="HY11" i="22"/>
  <c r="HZ11" i="22"/>
  <c r="IA11" i="22"/>
  <c r="IA10" i="22"/>
  <c r="IB11" i="22"/>
  <c r="HY12" i="22"/>
  <c r="HZ12" i="22"/>
  <c r="BP18" i="27"/>
  <c r="BP19" i="27" s="1"/>
  <c r="BP16" i="27"/>
  <c r="AD11" i="76"/>
  <c r="AD12" i="76" s="1"/>
  <c r="BO18" i="27"/>
  <c r="BO19" i="27" s="1"/>
  <c r="W9" i="83"/>
  <c r="W10" i="83" s="1"/>
  <c r="HY23" i="22"/>
  <c r="HY24" i="22" s="1"/>
  <c r="HY13" i="22"/>
  <c r="HZ23" i="22"/>
  <c r="HZ24" i="22" s="1"/>
  <c r="BO24" i="22"/>
  <c r="BO25" i="22" s="1"/>
  <c r="HZ10" i="22"/>
  <c r="EE12" i="76"/>
  <c r="EF12" i="76"/>
  <c r="ED12" i="76"/>
  <c r="EC12" i="76"/>
  <c r="BO16" i="27"/>
  <c r="BN14" i="27"/>
  <c r="BN17" i="27" s="1"/>
  <c r="BN12" i="27"/>
  <c r="BN11" i="27"/>
  <c r="IU20" i="27"/>
  <c r="IT20" i="27"/>
  <c r="IS20" i="27"/>
  <c r="IR20" i="27"/>
  <c r="IU17" i="27"/>
  <c r="IT17" i="27"/>
  <c r="IS17" i="27"/>
  <c r="IR17" i="27"/>
  <c r="IU16" i="27"/>
  <c r="IT16" i="27"/>
  <c r="IS16" i="27"/>
  <c r="IR16" i="27"/>
  <c r="IQ20" i="27"/>
  <c r="IQ17" i="27"/>
  <c r="IQ16" i="27"/>
  <c r="BN6" i="27"/>
  <c r="AB9" i="76"/>
  <c r="AB8" i="76"/>
  <c r="AC9" i="76"/>
  <c r="AC11" i="76" s="1"/>
  <c r="AC8" i="76"/>
  <c r="EB11" i="76"/>
  <c r="EA11" i="76"/>
  <c r="DZ11" i="76"/>
  <c r="DY11" i="76"/>
  <c r="EB10" i="76"/>
  <c r="EA10" i="76"/>
  <c r="DZ10" i="76"/>
  <c r="DY10" i="76"/>
  <c r="EB6" i="76"/>
  <c r="EA6" i="76"/>
  <c r="DZ6" i="76"/>
  <c r="DY6" i="76"/>
  <c r="DX11" i="76"/>
  <c r="DX10" i="76"/>
  <c r="DX6" i="76"/>
  <c r="HR19" i="22"/>
  <c r="HS19" i="22"/>
  <c r="HT19" i="22"/>
  <c r="BN19" i="22" s="1"/>
  <c r="BN20" i="22"/>
  <c r="BN21" i="22" s="1"/>
  <c r="BN23" i="22" s="1"/>
  <c r="BN18" i="22"/>
  <c r="HX26" i="22"/>
  <c r="HW26" i="22"/>
  <c r="HV26" i="22"/>
  <c r="HU26" i="22"/>
  <c r="HX22" i="22"/>
  <c r="HW22" i="22"/>
  <c r="HV22" i="22"/>
  <c r="HU22" i="22"/>
  <c r="HX9" i="22"/>
  <c r="HX13" i="22" s="1"/>
  <c r="HW9" i="22"/>
  <c r="HW13" i="22" s="1"/>
  <c r="HV9" i="22"/>
  <c r="HV13" i="22" s="1"/>
  <c r="HU9" i="22"/>
  <c r="HU13" i="22" s="1"/>
  <c r="HT26" i="22"/>
  <c r="HT22" i="22"/>
  <c r="HT9" i="22"/>
  <c r="HT13" i="22" s="1"/>
  <c r="BN28" i="22"/>
  <c r="BN27" i="22"/>
  <c r="BN9" i="22"/>
  <c r="BN10" i="22" s="1"/>
  <c r="BN7" i="22"/>
  <c r="BN12" i="22" s="1"/>
  <c r="AK13" i="69"/>
  <c r="AK14" i="69" s="1"/>
  <c r="AK15" i="69" s="1"/>
  <c r="AK16" i="69" s="1"/>
  <c r="FS19" i="69"/>
  <c r="FR19" i="69"/>
  <c r="FQ19" i="69"/>
  <c r="FP19" i="69"/>
  <c r="FS14" i="69"/>
  <c r="FS15" i="69" s="1"/>
  <c r="FS16" i="69" s="1"/>
  <c r="FR14" i="69"/>
  <c r="FR15" i="69" s="1"/>
  <c r="FR16" i="69" s="1"/>
  <c r="FQ14" i="69"/>
  <c r="FQ15" i="69" s="1"/>
  <c r="FQ16" i="69" s="1"/>
  <c r="FP14" i="69"/>
  <c r="FP15" i="69" s="1"/>
  <c r="FP16" i="69" s="1"/>
  <c r="FS11" i="69"/>
  <c r="FR11" i="69"/>
  <c r="FQ11" i="69"/>
  <c r="FP11" i="69"/>
  <c r="AU11" i="69" s="1"/>
  <c r="FS9" i="69"/>
  <c r="FR9" i="69"/>
  <c r="FQ9" i="69"/>
  <c r="FP9" i="69"/>
  <c r="FO19" i="69"/>
  <c r="FO14" i="69"/>
  <c r="FO15" i="69" s="1"/>
  <c r="FO16" i="69" s="1"/>
  <c r="FO11" i="69"/>
  <c r="AT11" i="69" s="1"/>
  <c r="FO9" i="69"/>
  <c r="AK10" i="69"/>
  <c r="AK9" i="69"/>
  <c r="AK13" i="65"/>
  <c r="AK14" i="65" s="1"/>
  <c r="AK15" i="65" s="1"/>
  <c r="AK16" i="65" s="1"/>
  <c r="FS18" i="65"/>
  <c r="FR18" i="65"/>
  <c r="FQ18" i="65"/>
  <c r="FP18" i="65"/>
  <c r="FS14" i="65"/>
  <c r="FS15" i="65" s="1"/>
  <c r="FS16" i="65" s="1"/>
  <c r="FR14" i="65"/>
  <c r="FR15" i="65" s="1"/>
  <c r="FR16" i="65" s="1"/>
  <c r="FQ14" i="65"/>
  <c r="FQ15" i="65" s="1"/>
  <c r="FQ16" i="65" s="1"/>
  <c r="FP14" i="65"/>
  <c r="FP15" i="65" s="1"/>
  <c r="FP16" i="65" s="1"/>
  <c r="FO18" i="65"/>
  <c r="FO14" i="65"/>
  <c r="FO15" i="65" s="1"/>
  <c r="FO16" i="65" s="1"/>
  <c r="Z7" i="81"/>
  <c r="Z8" i="81" s="1"/>
  <c r="Z9" i="81" s="1"/>
  <c r="Z10" i="81" s="1"/>
  <c r="DL8" i="81"/>
  <c r="DL9" i="81" s="1"/>
  <c r="DL10" i="81" s="1"/>
  <c r="DK8" i="81"/>
  <c r="DK9" i="81" s="1"/>
  <c r="DK10" i="81" s="1"/>
  <c r="DJ8" i="81"/>
  <c r="DJ9" i="81" s="1"/>
  <c r="DJ10" i="81" s="1"/>
  <c r="DI8" i="81"/>
  <c r="DI9" i="81" s="1"/>
  <c r="DI10" i="81" s="1"/>
  <c r="DH8" i="81"/>
  <c r="DH9" i="81" s="1"/>
  <c r="DH10" i="81" s="1"/>
  <c r="V7" i="83"/>
  <c r="V8" i="83" s="1"/>
  <c r="V6" i="83"/>
  <c r="DZ12" i="76" l="1"/>
  <c r="HX23" i="22"/>
  <c r="HX24" i="22" s="1"/>
  <c r="HW23" i="22"/>
  <c r="HW24" i="22" s="1"/>
  <c r="HU11" i="22"/>
  <c r="HW11" i="22"/>
  <c r="HX10" i="22"/>
  <c r="HV12" i="22"/>
  <c r="HU10" i="22"/>
  <c r="HW10" i="22"/>
  <c r="HX11" i="22"/>
  <c r="HU23" i="22"/>
  <c r="HU24" i="22" s="1"/>
  <c r="HV10" i="22"/>
  <c r="HV11" i="22"/>
  <c r="HU12" i="22"/>
  <c r="HV23" i="22"/>
  <c r="HV24" i="22" s="1"/>
  <c r="DY12" i="76"/>
  <c r="BN18" i="27"/>
  <c r="BN19" i="27" s="1"/>
  <c r="BN16" i="27"/>
  <c r="DX12" i="76"/>
  <c r="EA12" i="76"/>
  <c r="EB12" i="76"/>
  <c r="AC10" i="76"/>
  <c r="AC12" i="76" s="1"/>
  <c r="HW12" i="22"/>
  <c r="HX12" i="22"/>
  <c r="BN24" i="22"/>
  <c r="BN25" i="22" s="1"/>
  <c r="HT10" i="22"/>
  <c r="HT12" i="22"/>
  <c r="HT23" i="22"/>
  <c r="HT24" i="22" s="1"/>
  <c r="HT11" i="22"/>
  <c r="BN13" i="22"/>
  <c r="V9" i="83"/>
  <c r="V10" i="83" s="1"/>
  <c r="DG8" i="83" l="1"/>
  <c r="DG9" i="83" s="1"/>
  <c r="DG10" i="83" s="1"/>
  <c r="DF8" i="83"/>
  <c r="DF9" i="83" s="1"/>
  <c r="DF10" i="83" s="1"/>
  <c r="DE8" i="83"/>
  <c r="DE9" i="83" s="1"/>
  <c r="DE10" i="83" s="1"/>
  <c r="DD8" i="83"/>
  <c r="DD9" i="83" s="1"/>
  <c r="DD10" i="83" s="1"/>
  <c r="DC8" i="83"/>
  <c r="DC9" i="83" s="1"/>
  <c r="DC10" i="83" s="1"/>
  <c r="FK18" i="65" l="1"/>
  <c r="FL18" i="65"/>
  <c r="FM18" i="65"/>
  <c r="FN18" i="65"/>
  <c r="HQ19" i="22"/>
  <c r="HP19" i="22" l="1"/>
  <c r="BM19" i="22" s="1"/>
  <c r="BM14" i="27"/>
  <c r="BM12" i="27"/>
  <c r="BM11" i="27"/>
  <c r="IP20" i="27"/>
  <c r="IO20" i="27"/>
  <c r="IN20" i="27"/>
  <c r="IM20" i="27"/>
  <c r="IP17" i="27"/>
  <c r="IO17" i="27"/>
  <c r="IN17" i="27"/>
  <c r="IM17" i="27"/>
  <c r="IP16" i="27"/>
  <c r="IO16" i="27"/>
  <c r="IN16" i="27"/>
  <c r="IM16" i="27"/>
  <c r="DU6" i="76"/>
  <c r="DV6" i="76"/>
  <c r="DW6" i="76"/>
  <c r="DT6" i="76"/>
  <c r="DW11" i="76"/>
  <c r="DV11" i="76"/>
  <c r="DU11" i="76"/>
  <c r="DT11" i="76"/>
  <c r="DW10" i="76"/>
  <c r="DV10" i="76"/>
  <c r="DU10" i="76"/>
  <c r="DT10" i="76"/>
  <c r="BM20" i="22"/>
  <c r="BM18" i="22"/>
  <c r="HS26" i="22"/>
  <c r="HR26" i="22"/>
  <c r="HQ26" i="22"/>
  <c r="HP26" i="22"/>
  <c r="HS22" i="22"/>
  <c r="HR22" i="22"/>
  <c r="HQ22" i="22"/>
  <c r="HP22" i="22"/>
  <c r="HS9" i="22"/>
  <c r="HS11" i="22" s="1"/>
  <c r="HR9" i="22"/>
  <c r="HQ9" i="22"/>
  <c r="HP9" i="22"/>
  <c r="HP11" i="22" s="1"/>
  <c r="HO19" i="22"/>
  <c r="AJ13" i="69"/>
  <c r="FN19" i="69"/>
  <c r="FM19" i="69"/>
  <c r="FL19" i="69"/>
  <c r="FK19" i="69"/>
  <c r="FN14" i="69"/>
  <c r="FN15" i="69" s="1"/>
  <c r="FN16" i="69" s="1"/>
  <c r="FM14" i="69"/>
  <c r="FM15" i="69" s="1"/>
  <c r="FM16" i="69" s="1"/>
  <c r="FL14" i="69"/>
  <c r="FL15" i="69" s="1"/>
  <c r="FL16" i="69" s="1"/>
  <c r="FK14" i="69"/>
  <c r="FK15" i="69" s="1"/>
  <c r="FK16" i="69" s="1"/>
  <c r="FN11" i="69"/>
  <c r="AS11" i="69" s="1"/>
  <c r="FM11" i="69"/>
  <c r="AR11" i="69" s="1"/>
  <c r="FL11" i="69"/>
  <c r="AQ11" i="69" s="1"/>
  <c r="FK11" i="69"/>
  <c r="AP11" i="69" s="1"/>
  <c r="FN9" i="69"/>
  <c r="FM9" i="69"/>
  <c r="FL9" i="69"/>
  <c r="FK9" i="69"/>
  <c r="AJ13" i="65"/>
  <c r="FN14" i="65"/>
  <c r="FN15" i="65" s="1"/>
  <c r="FN16" i="65" s="1"/>
  <c r="FM14" i="65"/>
  <c r="FM15" i="65" s="1"/>
  <c r="FM16" i="65" s="1"/>
  <c r="FL14" i="65"/>
  <c r="FL15" i="65" s="1"/>
  <c r="FL16" i="65" s="1"/>
  <c r="FK14" i="65"/>
  <c r="FK15" i="65" s="1"/>
  <c r="FK16" i="65" s="1"/>
  <c r="Y7" i="81"/>
  <c r="HQ23" i="22" l="1"/>
  <c r="HQ24" i="22" s="1"/>
  <c r="DW12" i="76"/>
  <c r="DU12" i="76"/>
  <c r="DV12" i="76"/>
  <c r="HR23" i="22"/>
  <c r="HR24" i="22" s="1"/>
  <c r="HS23" i="22"/>
  <c r="HS24" i="22" s="1"/>
  <c r="HS12" i="22"/>
  <c r="DT12" i="76"/>
  <c r="HP13" i="22"/>
  <c r="HP10" i="22"/>
  <c r="HQ10" i="22"/>
  <c r="HR11" i="22"/>
  <c r="HR10" i="22"/>
  <c r="HS10" i="22"/>
  <c r="HP12" i="22"/>
  <c r="HP23" i="22"/>
  <c r="HP24" i="22" s="1"/>
  <c r="HQ13" i="22"/>
  <c r="HR13" i="22"/>
  <c r="HS13" i="22"/>
  <c r="HQ11" i="22"/>
  <c r="HQ12" i="22"/>
  <c r="HR12" i="22"/>
  <c r="DG8" i="81" l="1"/>
  <c r="DG9" i="81" s="1"/>
  <c r="DG10" i="81" s="1"/>
  <c r="DF8" i="81"/>
  <c r="DF9" i="81" s="1"/>
  <c r="DF10" i="81" s="1"/>
  <c r="DE8" i="81"/>
  <c r="DE9" i="81" s="1"/>
  <c r="DE10" i="81" s="1"/>
  <c r="DD8" i="81"/>
  <c r="DD9" i="81" s="1"/>
  <c r="DD10" i="81" s="1"/>
  <c r="U7" i="83"/>
  <c r="U8" i="83" s="1"/>
  <c r="DB8" i="83"/>
  <c r="DB9" i="83" s="1"/>
  <c r="DB10" i="83" s="1"/>
  <c r="DA8" i="83"/>
  <c r="DA9" i="83" s="1"/>
  <c r="DA10" i="83" s="1"/>
  <c r="CZ8" i="83"/>
  <c r="CZ9" i="83" s="1"/>
  <c r="CZ10" i="83" s="1"/>
  <c r="CY8" i="83"/>
  <c r="CY9" i="83" s="1"/>
  <c r="CY10" i="83" s="1"/>
  <c r="BM6" i="27"/>
  <c r="BM17" i="27"/>
  <c r="AB11" i="76"/>
  <c r="AB10" i="76"/>
  <c r="BM28" i="22"/>
  <c r="BM27" i="22"/>
  <c r="BM21" i="22"/>
  <c r="BM23" i="22" s="1"/>
  <c r="BM9" i="22"/>
  <c r="BM7" i="22"/>
  <c r="AJ14" i="69"/>
  <c r="AJ15" i="69" s="1"/>
  <c r="AJ16" i="69" s="1"/>
  <c r="AJ10" i="69"/>
  <c r="AJ9" i="69"/>
  <c r="AJ14" i="65"/>
  <c r="AJ15" i="65" s="1"/>
  <c r="AJ16" i="65" s="1"/>
  <c r="Y8" i="81"/>
  <c r="Y9" i="81" s="1"/>
  <c r="Y10" i="81" s="1"/>
  <c r="BM13" i="22" l="1"/>
  <c r="BM10" i="22"/>
  <c r="BM12" i="22"/>
  <c r="BM18" i="27"/>
  <c r="BM19" i="27" s="1"/>
  <c r="BM16" i="27"/>
  <c r="AB12" i="76"/>
  <c r="BM24" i="22"/>
  <c r="BM25" i="22" s="1"/>
  <c r="U9" i="83" l="1"/>
  <c r="U10" i="83" s="1"/>
  <c r="HN19" i="22"/>
  <c r="HM19" i="22"/>
  <c r="BL14" i="27"/>
  <c r="BL12" i="27"/>
  <c r="BL11" i="27"/>
  <c r="IL20" i="27"/>
  <c r="IK20" i="27"/>
  <c r="IL17" i="27"/>
  <c r="IK17" i="27"/>
  <c r="IL16" i="27"/>
  <c r="IK16" i="27"/>
  <c r="IJ20" i="27"/>
  <c r="IJ17" i="27"/>
  <c r="IJ16" i="27"/>
  <c r="II20" i="27"/>
  <c r="II17" i="27"/>
  <c r="II16" i="27"/>
  <c r="AA9" i="76"/>
  <c r="AA8" i="76"/>
  <c r="DS11" i="76"/>
  <c r="DR11" i="76"/>
  <c r="DQ11" i="76"/>
  <c r="DS10" i="76"/>
  <c r="DR10" i="76"/>
  <c r="DQ10" i="76"/>
  <c r="DS6" i="76"/>
  <c r="DR6" i="76"/>
  <c r="DQ6" i="76"/>
  <c r="DP11" i="76"/>
  <c r="DP10" i="76"/>
  <c r="DP6" i="76"/>
  <c r="BL20" i="22"/>
  <c r="BL21" i="22" s="1"/>
  <c r="BL23" i="22" s="1"/>
  <c r="BL18" i="22"/>
  <c r="HO26" i="22"/>
  <c r="HN26" i="22"/>
  <c r="HM26" i="22"/>
  <c r="HO22" i="22"/>
  <c r="HN22" i="22"/>
  <c r="HM22" i="22"/>
  <c r="HO9" i="22"/>
  <c r="HO12" i="22" s="1"/>
  <c r="HN9" i="22"/>
  <c r="HN13" i="22" s="1"/>
  <c r="HM9" i="22"/>
  <c r="HM13" i="22" s="1"/>
  <c r="HK10" i="22"/>
  <c r="HL26" i="22"/>
  <c r="HL22" i="22"/>
  <c r="HL19" i="22"/>
  <c r="HL9" i="22"/>
  <c r="HL11" i="22" s="1"/>
  <c r="AI13" i="69"/>
  <c r="AI14" i="69" s="1"/>
  <c r="FJ19" i="69"/>
  <c r="FI19" i="69"/>
  <c r="FH19" i="69"/>
  <c r="FJ14" i="69"/>
  <c r="FJ15" i="69" s="1"/>
  <c r="FJ16" i="69" s="1"/>
  <c r="FI14" i="69"/>
  <c r="FI15" i="69" s="1"/>
  <c r="FI16" i="69" s="1"/>
  <c r="FH14" i="69"/>
  <c r="FH15" i="69" s="1"/>
  <c r="FH16" i="69" s="1"/>
  <c r="FJ11" i="69"/>
  <c r="AO11" i="69" s="1"/>
  <c r="FI11" i="69"/>
  <c r="FH11" i="69"/>
  <c r="AM11" i="69" s="1"/>
  <c r="FJ9" i="69"/>
  <c r="FI9" i="69"/>
  <c r="FH9" i="69"/>
  <c r="FG19" i="69"/>
  <c r="FG14" i="69"/>
  <c r="FG15" i="69" s="1"/>
  <c r="FG16" i="69" s="1"/>
  <c r="FG11" i="69"/>
  <c r="AL11" i="69" s="1"/>
  <c r="FG9" i="69"/>
  <c r="AI13" i="65"/>
  <c r="AI14" i="65" s="1"/>
  <c r="AI15" i="65" s="1"/>
  <c r="AI16" i="65" s="1"/>
  <c r="FJ18" i="65"/>
  <c r="FI18" i="65"/>
  <c r="FH18" i="65"/>
  <c r="FJ14" i="65"/>
  <c r="FJ15" i="65" s="1"/>
  <c r="FJ16" i="65" s="1"/>
  <c r="FI14" i="65"/>
  <c r="FI15" i="65" s="1"/>
  <c r="FI16" i="65" s="1"/>
  <c r="FH14" i="65"/>
  <c r="FH15" i="65" s="1"/>
  <c r="FH16" i="65" s="1"/>
  <c r="FG18" i="65"/>
  <c r="FG14" i="65"/>
  <c r="FG15" i="65" s="1"/>
  <c r="FG16" i="65" s="1"/>
  <c r="X7" i="81"/>
  <c r="X8" i="81" s="1"/>
  <c r="X6" i="81"/>
  <c r="DC8" i="81"/>
  <c r="DC9" i="81" s="1"/>
  <c r="DC10" i="81" s="1"/>
  <c r="DB8" i="81"/>
  <c r="DB9" i="81" s="1"/>
  <c r="DB10" i="81" s="1"/>
  <c r="DA8" i="81"/>
  <c r="DA9" i="81" s="1"/>
  <c r="DA10" i="81" s="1"/>
  <c r="CZ8" i="81"/>
  <c r="CZ9" i="81" s="1"/>
  <c r="CZ10" i="81" s="1"/>
  <c r="T7" i="83"/>
  <c r="T8" i="83" s="1"/>
  <c r="T6" i="83"/>
  <c r="CX8" i="83"/>
  <c r="CX9" i="83" s="1"/>
  <c r="CX10" i="83" s="1"/>
  <c r="CW8" i="83"/>
  <c r="CW9" i="83" s="1"/>
  <c r="CW10" i="83" s="1"/>
  <c r="CV8" i="83"/>
  <c r="CV9" i="83" s="1"/>
  <c r="CV10" i="83" s="1"/>
  <c r="CU8" i="83"/>
  <c r="CU9" i="83" s="1"/>
  <c r="CU10" i="83" s="1"/>
  <c r="FF18" i="65"/>
  <c r="FF14" i="65"/>
  <c r="FF15" i="65" s="1"/>
  <c r="FF16" i="65" s="1"/>
  <c r="CY8" i="81"/>
  <c r="CY9" i="81" s="1"/>
  <c r="CY10" i="81" s="1"/>
  <c r="CT8" i="83"/>
  <c r="CT9" i="83" s="1"/>
  <c r="CT10" i="83" s="1"/>
  <c r="FC19" i="69"/>
  <c r="AI9" i="69"/>
  <c r="AH10" i="69"/>
  <c r="FF19" i="69"/>
  <c r="FF14" i="69"/>
  <c r="FF15" i="69" s="1"/>
  <c r="FF16" i="69" s="1"/>
  <c r="FF11" i="69"/>
  <c r="FF9" i="69"/>
  <c r="AI10" i="69"/>
  <c r="BL9" i="22"/>
  <c r="BL28" i="22"/>
  <c r="BL27" i="22"/>
  <c r="BL7" i="22"/>
  <c r="BL12" i="22" s="1"/>
  <c r="HK13" i="22"/>
  <c r="HK26" i="22"/>
  <c r="HK22" i="22"/>
  <c r="HK23" i="22" s="1"/>
  <c r="HK24" i="22" s="1"/>
  <c r="HK19" i="22"/>
  <c r="BL13" i="22" l="1"/>
  <c r="BL10" i="22"/>
  <c r="AN11" i="69"/>
  <c r="AK11" i="69"/>
  <c r="DP12" i="76"/>
  <c r="BL19" i="22"/>
  <c r="HO13" i="22"/>
  <c r="DQ12" i="76"/>
  <c r="DR12" i="76"/>
  <c r="DS12" i="76"/>
  <c r="HM10" i="22"/>
  <c r="HN10" i="22"/>
  <c r="HO10" i="22"/>
  <c r="HM23" i="22"/>
  <c r="HM24" i="22" s="1"/>
  <c r="HM11" i="22"/>
  <c r="HN23" i="22"/>
  <c r="HN24" i="22" s="1"/>
  <c r="HN11" i="22"/>
  <c r="HO23" i="22"/>
  <c r="HO24" i="22" s="1"/>
  <c r="HO11" i="22"/>
  <c r="HM12" i="22"/>
  <c r="HN12" i="22"/>
  <c r="HL10" i="22"/>
  <c r="HL12" i="22"/>
  <c r="HL13" i="22"/>
  <c r="HL23" i="22"/>
  <c r="HL24" i="22" s="1"/>
  <c r="X9" i="81"/>
  <c r="X10" i="81" s="1"/>
  <c r="T9" i="83"/>
  <c r="T10" i="83" s="1"/>
  <c r="AI15" i="69"/>
  <c r="AI16" i="69" s="1"/>
  <c r="BL24" i="22"/>
  <c r="BL25" i="22" s="1"/>
  <c r="HK11" i="22"/>
  <c r="HK12" i="22"/>
  <c r="AA11" i="76" l="1"/>
  <c r="DO11" i="76"/>
  <c r="DO10" i="76"/>
  <c r="DO6" i="76"/>
  <c r="BL17" i="27"/>
  <c r="BL6" i="27"/>
  <c r="IH20" i="27"/>
  <c r="IH17" i="27"/>
  <c r="IH16" i="27"/>
  <c r="AH13" i="69"/>
  <c r="AG13" i="69"/>
  <c r="IG20" i="27"/>
  <c r="IF20" i="27"/>
  <c r="IG17" i="27"/>
  <c r="IF17" i="27"/>
  <c r="IG16" i="27"/>
  <c r="IF16" i="27"/>
  <c r="BL18" i="27" l="1"/>
  <c r="BL19" i="27" s="1"/>
  <c r="DO12" i="76"/>
  <c r="AA10" i="76"/>
  <c r="AA12" i="76" s="1"/>
  <c r="BL16" i="27"/>
  <c r="DN11" i="76"/>
  <c r="DM11" i="76"/>
  <c r="DN10" i="76"/>
  <c r="DN12" i="76" s="1"/>
  <c r="DM10" i="76"/>
  <c r="DN6" i="76"/>
  <c r="DM6" i="76"/>
  <c r="HJ26" i="22"/>
  <c r="HJ22" i="22"/>
  <c r="HJ23" i="22" s="1"/>
  <c r="HJ24" i="22" s="1"/>
  <c r="HJ19" i="22"/>
  <c r="HJ13" i="22"/>
  <c r="HJ12" i="22"/>
  <c r="HJ11" i="22"/>
  <c r="HJ10" i="22"/>
  <c r="HI26" i="22"/>
  <c r="HI22" i="22"/>
  <c r="HI23" i="22" s="1"/>
  <c r="HI24" i="22" s="1"/>
  <c r="HI19" i="22"/>
  <c r="HI13" i="22"/>
  <c r="HI12" i="22"/>
  <c r="HI11" i="22"/>
  <c r="HI10" i="22"/>
  <c r="FE19" i="69"/>
  <c r="FE14" i="69"/>
  <c r="FE15" i="69" s="1"/>
  <c r="FE16" i="69" s="1"/>
  <c r="FE11" i="69"/>
  <c r="AJ11" i="69" s="1"/>
  <c r="FE9" i="69"/>
  <c r="FD19" i="69"/>
  <c r="FD14" i="69"/>
  <c r="FD15" i="69" s="1"/>
  <c r="FD16" i="69" s="1"/>
  <c r="FD11" i="69"/>
  <c r="AI11" i="69" s="1"/>
  <c r="FD9" i="69"/>
  <c r="FE18" i="65"/>
  <c r="FD18" i="65"/>
  <c r="FE14" i="65"/>
  <c r="FE15" i="65" s="1"/>
  <c r="FE16" i="65" s="1"/>
  <c r="FD14" i="65"/>
  <c r="FD15" i="65" s="1"/>
  <c r="FD16" i="65" s="1"/>
  <c r="CX8" i="81"/>
  <c r="CX9" i="81" s="1"/>
  <c r="CX10" i="81" s="1"/>
  <c r="CW8" i="81"/>
  <c r="CW9" i="81" s="1"/>
  <c r="CW10" i="81" s="1"/>
  <c r="CS8" i="83"/>
  <c r="CS9" i="83" s="1"/>
  <c r="CS10" i="83" s="1"/>
  <c r="CR8" i="83"/>
  <c r="CR9" i="83" s="1"/>
  <c r="CR10" i="83" s="1"/>
  <c r="AH9" i="69"/>
  <c r="AG8" i="69"/>
  <c r="AG10" i="69"/>
  <c r="AG7" i="69"/>
  <c r="AH14" i="69"/>
  <c r="AH13" i="65"/>
  <c r="AH14" i="65" s="1"/>
  <c r="AH15" i="65" s="1"/>
  <c r="AH16" i="65" s="1"/>
  <c r="AG13" i="65"/>
  <c r="FC18" i="65"/>
  <c r="FC14" i="65"/>
  <c r="FC15" i="65" s="1"/>
  <c r="FC16" i="65" s="1"/>
  <c r="W7" i="81"/>
  <c r="W8" i="81" s="1"/>
  <c r="W6" i="81"/>
  <c r="V7" i="81"/>
  <c r="V6" i="81"/>
  <c r="CV8" i="81"/>
  <c r="CV9" i="81" s="1"/>
  <c r="CV10" i="81" s="1"/>
  <c r="S7" i="83"/>
  <c r="S8" i="83" s="1"/>
  <c r="S6" i="83"/>
  <c r="R6" i="83"/>
  <c r="R7" i="83"/>
  <c r="CQ8" i="83"/>
  <c r="CQ9" i="83" s="1"/>
  <c r="CQ10" i="83" s="1"/>
  <c r="FC14" i="69"/>
  <c r="FC15" i="69" s="1"/>
  <c r="FC16" i="69" s="1"/>
  <c r="FC11" i="69"/>
  <c r="FC9" i="69"/>
  <c r="BJ20" i="22"/>
  <c r="BJ18" i="22"/>
  <c r="BK20" i="22"/>
  <c r="BK21" i="22" s="1"/>
  <c r="BK23" i="22" s="1"/>
  <c r="BK24" i="22" s="1"/>
  <c r="BK25" i="22" s="1"/>
  <c r="BK18" i="22"/>
  <c r="BK28" i="22"/>
  <c r="BK27" i="22"/>
  <c r="BK13" i="22"/>
  <c r="BK7" i="22"/>
  <c r="BK12" i="22" s="1"/>
  <c r="AH11" i="69" l="1"/>
  <c r="S9" i="83"/>
  <c r="S10" i="83" s="1"/>
  <c r="DM12" i="76"/>
  <c r="AH15" i="69"/>
  <c r="AH16" i="69" s="1"/>
  <c r="W9" i="81"/>
  <c r="W10" i="81" s="1"/>
  <c r="HH26" i="22" l="1"/>
  <c r="HH22" i="22"/>
  <c r="HH23" i="22" s="1"/>
  <c r="HH24" i="22" s="1"/>
  <c r="HH19" i="22"/>
  <c r="BK19" i="22" s="1"/>
  <c r="HH13" i="22"/>
  <c r="HH12" i="22"/>
  <c r="HH11" i="22"/>
  <c r="HH10" i="22"/>
  <c r="Z9" i="76"/>
  <c r="Z10" i="76" s="1"/>
  <c r="Z8" i="76"/>
  <c r="Y9" i="76"/>
  <c r="Y8" i="76"/>
  <c r="DL11" i="76"/>
  <c r="DL10" i="76"/>
  <c r="DL6" i="76"/>
  <c r="BJ14" i="27"/>
  <c r="BJ12" i="27"/>
  <c r="BJ11" i="27"/>
  <c r="BK14" i="27"/>
  <c r="BK16" i="27" s="1"/>
  <c r="BK12" i="27"/>
  <c r="BK11" i="27"/>
  <c r="BK6" i="27"/>
  <c r="DL12" i="76" l="1"/>
  <c r="Z11" i="76"/>
  <c r="Z12" i="76" s="1"/>
  <c r="BK17" i="27"/>
  <c r="BK18" i="27" s="1"/>
  <c r="BK19" i="27" s="1"/>
  <c r="IE20" i="27" l="1"/>
  <c r="IE17" i="27"/>
  <c r="IE16" i="27"/>
  <c r="FB18" i="65" l="1"/>
  <c r="FB14" i="65"/>
  <c r="FB15" i="65" s="1"/>
  <c r="FB16" i="65" s="1"/>
  <c r="FA18" i="65"/>
  <c r="FA14" i="65"/>
  <c r="FA15" i="65" s="1"/>
  <c r="FA16" i="65" s="1"/>
  <c r="CU8" i="81"/>
  <c r="CU9" i="81" s="1"/>
  <c r="CU10" i="81" s="1"/>
  <c r="CT8" i="81"/>
  <c r="CT9" i="81" s="1"/>
  <c r="CT10" i="81" s="1"/>
  <c r="CP8" i="83"/>
  <c r="CP9" i="83" s="1"/>
  <c r="CP10" i="83" s="1"/>
  <c r="FB19" i="69"/>
  <c r="FB14" i="69"/>
  <c r="FB15" i="69" s="1"/>
  <c r="FB16" i="69" s="1"/>
  <c r="FA19" i="69"/>
  <c r="FA14" i="69"/>
  <c r="FA15" i="69" s="1"/>
  <c r="FA16" i="69" s="1"/>
  <c r="FB11" i="69"/>
  <c r="FB9" i="69"/>
  <c r="FA11" i="69"/>
  <c r="FA9" i="69"/>
  <c r="HG26" i="22"/>
  <c r="HG22" i="22"/>
  <c r="HG23" i="22" s="1"/>
  <c r="HG24" i="22" s="1"/>
  <c r="HG19" i="22"/>
  <c r="HF26" i="22"/>
  <c r="HF22" i="22"/>
  <c r="HF23" i="22" s="1"/>
  <c r="HF24" i="22" s="1"/>
  <c r="HF19" i="22"/>
  <c r="HG13" i="22"/>
  <c r="HG12" i="22"/>
  <c r="HG11" i="22"/>
  <c r="HG10" i="22"/>
  <c r="HF13" i="22"/>
  <c r="HF12" i="22"/>
  <c r="HF11" i="22"/>
  <c r="HF10" i="22"/>
  <c r="DK11" i="76"/>
  <c r="DK10" i="76"/>
  <c r="DJ11" i="76"/>
  <c r="DJ10" i="76"/>
  <c r="DI6" i="76"/>
  <c r="DJ6" i="76"/>
  <c r="DK6" i="76"/>
  <c r="DH6" i="76"/>
  <c r="ID20" i="27"/>
  <c r="ID17" i="27"/>
  <c r="ID16" i="27"/>
  <c r="IC20" i="27"/>
  <c r="IC17" i="27"/>
  <c r="IC16" i="27"/>
  <c r="IB20" i="27"/>
  <c r="IA20" i="27"/>
  <c r="IB17" i="27"/>
  <c r="IA17" i="27"/>
  <c r="IA18" i="27" s="1"/>
  <c r="IA19" i="27" s="1"/>
  <c r="IB16" i="27"/>
  <c r="IA16" i="27"/>
  <c r="IB6" i="27"/>
  <c r="IC6" i="27" s="1"/>
  <c r="DI11" i="76"/>
  <c r="DH11" i="76"/>
  <c r="DI10" i="76"/>
  <c r="DH10" i="76"/>
  <c r="HE26" i="22"/>
  <c r="HD26" i="22"/>
  <c r="HE22" i="22"/>
  <c r="HE23" i="22" s="1"/>
  <c r="HE24" i="22" s="1"/>
  <c r="HD22" i="22"/>
  <c r="HD23" i="22" s="1"/>
  <c r="HD24" i="22" s="1"/>
  <c r="HE19" i="22"/>
  <c r="HD19" i="22"/>
  <c r="HE13" i="22"/>
  <c r="HD13" i="22"/>
  <c r="HE12" i="22"/>
  <c r="HD12" i="22"/>
  <c r="HE11" i="22"/>
  <c r="HD11" i="22"/>
  <c r="HE10" i="22"/>
  <c r="HD10" i="22"/>
  <c r="EZ19" i="69"/>
  <c r="EY19" i="69"/>
  <c r="EZ14" i="69"/>
  <c r="EZ15" i="69" s="1"/>
  <c r="EZ16" i="69" s="1"/>
  <c r="EY14" i="69"/>
  <c r="EY15" i="69" s="1"/>
  <c r="EY16" i="69" s="1"/>
  <c r="EZ11" i="69"/>
  <c r="EY11" i="69"/>
  <c r="EZ9" i="69"/>
  <c r="EY9" i="69"/>
  <c r="EZ18" i="65"/>
  <c r="EY18" i="65"/>
  <c r="EZ14" i="65"/>
  <c r="EZ15" i="65" s="1"/>
  <c r="EZ16" i="65" s="1"/>
  <c r="EY14" i="65"/>
  <c r="EY15" i="65" s="1"/>
  <c r="EY16" i="65" s="1"/>
  <c r="CS8" i="81"/>
  <c r="CS9" i="81" s="1"/>
  <c r="CS10" i="81" s="1"/>
  <c r="CR8" i="81"/>
  <c r="CR9" i="81" s="1"/>
  <c r="CR10" i="81" s="1"/>
  <c r="CO8" i="83"/>
  <c r="CO9" i="83" s="1"/>
  <c r="CO10" i="83" s="1"/>
  <c r="CN8" i="83"/>
  <c r="CN9" i="83" s="1"/>
  <c r="CN10" i="83" s="1"/>
  <c r="CM8" i="83"/>
  <c r="CM9" i="83" s="1"/>
  <c r="CM10" i="83" s="1"/>
  <c r="DK12" i="76" l="1"/>
  <c r="BJ19" i="22"/>
  <c r="AG9" i="69"/>
  <c r="AG11" i="69"/>
  <c r="DH12" i="76"/>
  <c r="DI12" i="76"/>
  <c r="DJ12" i="76"/>
  <c r="IC18" i="27"/>
  <c r="IC19" i="27" s="1"/>
  <c r="IB18" i="27"/>
  <c r="IB19" i="27" s="1"/>
  <c r="ID6" i="27"/>
  <c r="R8" i="83"/>
  <c r="V8" i="81"/>
  <c r="V9" i="81" s="1"/>
  <c r="V10" i="81" s="1"/>
  <c r="AG14" i="65"/>
  <c r="AG15" i="65" s="1"/>
  <c r="AG16" i="65" s="1"/>
  <c r="AG14" i="69"/>
  <c r="BJ21" i="22"/>
  <c r="BJ23" i="22" s="1"/>
  <c r="BJ24" i="22" s="1"/>
  <c r="BJ25" i="22" s="1"/>
  <c r="BJ28" i="22"/>
  <c r="BJ27" i="22"/>
  <c r="BJ13" i="22"/>
  <c r="BJ10" i="22"/>
  <c r="BJ7" i="22"/>
  <c r="BJ12" i="22" s="1"/>
  <c r="ID18" i="27" l="1"/>
  <c r="ID19" i="27" s="1"/>
  <c r="IE6" i="27"/>
  <c r="R9" i="83"/>
  <c r="R10" i="83" s="1"/>
  <c r="AG15" i="69"/>
  <c r="AG16" i="69" s="1"/>
  <c r="IE18" i="27" l="1"/>
  <c r="IE19" i="27" s="1"/>
  <c r="IF6" i="27"/>
  <c r="Y11" i="76"/>
  <c r="BJ6" i="27"/>
  <c r="IG6" i="27" l="1"/>
  <c r="IF18" i="27"/>
  <c r="IF19" i="27" s="1"/>
  <c r="Y10" i="76"/>
  <c r="Y12" i="76" s="1"/>
  <c r="BJ17" i="27"/>
  <c r="BJ18" i="27" s="1"/>
  <c r="BJ19" i="27" s="1"/>
  <c r="BJ16" i="27"/>
  <c r="BI12" i="27"/>
  <c r="BI11" i="27"/>
  <c r="BI14" i="27"/>
  <c r="HW6" i="27"/>
  <c r="HX6" i="27" s="1"/>
  <c r="HY6" i="27" s="1"/>
  <c r="HZ6" i="27" s="1"/>
  <c r="DG6" i="76"/>
  <c r="DF6" i="76"/>
  <c r="DE6" i="76"/>
  <c r="DD6" i="76"/>
  <c r="HZ20" i="27"/>
  <c r="HY20" i="27"/>
  <c r="HX20" i="27"/>
  <c r="HW20" i="27"/>
  <c r="HZ17" i="27"/>
  <c r="HY17" i="27"/>
  <c r="HX17" i="27"/>
  <c r="HW17" i="27"/>
  <c r="HZ16" i="27"/>
  <c r="HY16" i="27"/>
  <c r="HX16" i="27"/>
  <c r="HW16" i="27"/>
  <c r="X8" i="76"/>
  <c r="X9" i="76"/>
  <c r="DG11" i="76"/>
  <c r="DF11" i="76"/>
  <c r="DE11" i="76"/>
  <c r="DD11" i="76"/>
  <c r="DD12" i="76" s="1"/>
  <c r="DG10" i="76"/>
  <c r="DF10" i="76"/>
  <c r="DE10" i="76"/>
  <c r="DD10" i="76"/>
  <c r="BI18" i="22"/>
  <c r="BI20" i="22"/>
  <c r="HC26" i="22"/>
  <c r="HB26" i="22"/>
  <c r="HA26" i="22"/>
  <c r="GZ26" i="22"/>
  <c r="HC22" i="22"/>
  <c r="HC23" i="22" s="1"/>
  <c r="HC24" i="22" s="1"/>
  <c r="HB22" i="22"/>
  <c r="HB23" i="22" s="1"/>
  <c r="HB24" i="22" s="1"/>
  <c r="HA22" i="22"/>
  <c r="HA23" i="22" s="1"/>
  <c r="HA24" i="22" s="1"/>
  <c r="GZ22" i="22"/>
  <c r="GZ23" i="22" s="1"/>
  <c r="GZ24" i="22" s="1"/>
  <c r="HC19" i="22"/>
  <c r="HB19" i="22"/>
  <c r="HA19" i="22"/>
  <c r="GZ19" i="22"/>
  <c r="HC13" i="22"/>
  <c r="HB13" i="22"/>
  <c r="HA13" i="22"/>
  <c r="GZ13" i="22"/>
  <c r="HC12" i="22"/>
  <c r="HB12" i="22"/>
  <c r="HA12" i="22"/>
  <c r="GZ12" i="22"/>
  <c r="HC11" i="22"/>
  <c r="HB11" i="22"/>
  <c r="HA11" i="22"/>
  <c r="GZ11" i="22"/>
  <c r="HC10" i="22"/>
  <c r="HB10" i="22"/>
  <c r="HA10" i="22"/>
  <c r="GZ10" i="22"/>
  <c r="AF10" i="69"/>
  <c r="AF8" i="69"/>
  <c r="AF7" i="69"/>
  <c r="AF13" i="69"/>
  <c r="EX19" i="69"/>
  <c r="EW19" i="69"/>
  <c r="EV19" i="69"/>
  <c r="EU19" i="69"/>
  <c r="EX14" i="69"/>
  <c r="EX15" i="69" s="1"/>
  <c r="EX16" i="69" s="1"/>
  <c r="EW14" i="69"/>
  <c r="EW15" i="69" s="1"/>
  <c r="EW16" i="69" s="1"/>
  <c r="EV14" i="69"/>
  <c r="EV15" i="69" s="1"/>
  <c r="EV16" i="69" s="1"/>
  <c r="EU14" i="69"/>
  <c r="EU15" i="69" s="1"/>
  <c r="EU16" i="69" s="1"/>
  <c r="EX11" i="69"/>
  <c r="EW11" i="69"/>
  <c r="EV11" i="69"/>
  <c r="EU11" i="69"/>
  <c r="EX9" i="69"/>
  <c r="EW9" i="69"/>
  <c r="EV9" i="69"/>
  <c r="EU9" i="69"/>
  <c r="AF13" i="65"/>
  <c r="EX18" i="65"/>
  <c r="EW18" i="65"/>
  <c r="EV18" i="65"/>
  <c r="EU18" i="65"/>
  <c r="EX14" i="65"/>
  <c r="EX15" i="65" s="1"/>
  <c r="EX16" i="65" s="1"/>
  <c r="EW14" i="65"/>
  <c r="EW15" i="65" s="1"/>
  <c r="EW16" i="65" s="1"/>
  <c r="EV14" i="65"/>
  <c r="EV15" i="65" s="1"/>
  <c r="EV16" i="65" s="1"/>
  <c r="EU14" i="65"/>
  <c r="EU15" i="65" s="1"/>
  <c r="EU16" i="65" s="1"/>
  <c r="AF9" i="69" l="1"/>
  <c r="AF11" i="69"/>
  <c r="IG18" i="27"/>
  <c r="IG19" i="27" s="1"/>
  <c r="IH6" i="27"/>
  <c r="DF12" i="76"/>
  <c r="DE12" i="76"/>
  <c r="HZ18" i="27"/>
  <c r="HZ19" i="27" s="1"/>
  <c r="HY18" i="27"/>
  <c r="HY19" i="27" s="1"/>
  <c r="HX18" i="27"/>
  <c r="HX19" i="27" s="1"/>
  <c r="HW18" i="27"/>
  <c r="HW19" i="27" s="1"/>
  <c r="DG12" i="76"/>
  <c r="U7" i="81"/>
  <c r="U8" i="81" s="1"/>
  <c r="U9" i="81" s="1"/>
  <c r="U10" i="81" s="1"/>
  <c r="CQ8" i="81"/>
  <c r="CQ9" i="81" s="1"/>
  <c r="CQ10" i="81" s="1"/>
  <c r="CP8" i="81"/>
  <c r="CP9" i="81" s="1"/>
  <c r="CP10" i="81" s="1"/>
  <c r="CO8" i="81"/>
  <c r="CO9" i="81" s="1"/>
  <c r="CO10" i="81" s="1"/>
  <c r="CN8" i="81"/>
  <c r="CN9" i="81" s="1"/>
  <c r="CN10" i="81" s="1"/>
  <c r="Q6" i="83"/>
  <c r="Q7" i="83"/>
  <c r="P7" i="83"/>
  <c r="CL8" i="83"/>
  <c r="CL9" i="83" s="1"/>
  <c r="CL10" i="83" s="1"/>
  <c r="CK8" i="83"/>
  <c r="CK9" i="83" s="1"/>
  <c r="CK10" i="83" s="1"/>
  <c r="CJ8" i="83"/>
  <c r="CJ9" i="83" s="1"/>
  <c r="CJ10" i="83" s="1"/>
  <c r="CI8" i="83"/>
  <c r="CI9" i="83" s="1"/>
  <c r="CI10" i="83" s="1"/>
  <c r="DC11" i="76"/>
  <c r="DB11" i="76"/>
  <c r="DA11" i="76"/>
  <c r="CZ11" i="76"/>
  <c r="DC10" i="76"/>
  <c r="DB10" i="76"/>
  <c r="DA10" i="76"/>
  <c r="CZ10" i="76"/>
  <c r="BI6" i="27"/>
  <c r="BI17" i="27"/>
  <c r="HV20" i="27"/>
  <c r="HU20" i="27"/>
  <c r="HT20" i="27"/>
  <c r="HS20" i="27"/>
  <c r="HV17" i="27"/>
  <c r="HV18" i="27" s="1"/>
  <c r="HV19" i="27" s="1"/>
  <c r="HU17" i="27"/>
  <c r="HU18" i="27" s="1"/>
  <c r="HU19" i="27" s="1"/>
  <c r="HT17" i="27"/>
  <c r="HT18" i="27" s="1"/>
  <c r="HT19" i="27" s="1"/>
  <c r="HS17" i="27"/>
  <c r="HS18" i="27" s="1"/>
  <c r="HS19" i="27" s="1"/>
  <c r="HV16" i="27"/>
  <c r="HU16" i="27"/>
  <c r="HT16" i="27"/>
  <c r="HS16" i="27"/>
  <c r="BI28" i="22"/>
  <c r="BI27" i="22"/>
  <c r="BI21" i="22"/>
  <c r="BI23" i="22" s="1"/>
  <c r="BI24" i="22" s="1"/>
  <c r="BI25" i="22" s="1"/>
  <c r="BI13" i="22"/>
  <c r="BI10" i="22"/>
  <c r="BI7" i="22"/>
  <c r="BI12" i="22" s="1"/>
  <c r="GY26" i="22"/>
  <c r="GX26" i="22"/>
  <c r="GW26" i="22"/>
  <c r="GV26" i="22"/>
  <c r="GY22" i="22"/>
  <c r="GY23" i="22" s="1"/>
  <c r="GY24" i="22" s="1"/>
  <c r="GX22" i="22"/>
  <c r="GX23" i="22" s="1"/>
  <c r="GX24" i="22" s="1"/>
  <c r="GW22" i="22"/>
  <c r="GW23" i="22" s="1"/>
  <c r="GW24" i="22" s="1"/>
  <c r="GV22" i="22"/>
  <c r="GV23" i="22" s="1"/>
  <c r="GV24" i="22" s="1"/>
  <c r="GY19" i="22"/>
  <c r="BI19" i="22" s="1"/>
  <c r="GX19" i="22"/>
  <c r="GW19" i="22"/>
  <c r="GV19" i="22"/>
  <c r="GY13" i="22"/>
  <c r="GX13" i="22"/>
  <c r="GW13" i="22"/>
  <c r="GV13" i="22"/>
  <c r="GY12" i="22"/>
  <c r="GX12" i="22"/>
  <c r="GW12" i="22"/>
  <c r="GV12" i="22"/>
  <c r="GY11" i="22"/>
  <c r="GX11" i="22"/>
  <c r="GW11" i="22"/>
  <c r="GV11" i="22"/>
  <c r="GY10" i="22"/>
  <c r="GX10" i="22"/>
  <c r="GW10" i="22"/>
  <c r="GV10" i="22"/>
  <c r="ET19" i="69"/>
  <c r="ES19" i="69"/>
  <c r="ER19" i="69"/>
  <c r="EQ19" i="69"/>
  <c r="ET14" i="69"/>
  <c r="ET15" i="69" s="1"/>
  <c r="ET16" i="69" s="1"/>
  <c r="ES14" i="69"/>
  <c r="ES15" i="69" s="1"/>
  <c r="ES16" i="69" s="1"/>
  <c r="ER14" i="69"/>
  <c r="ER15" i="69" s="1"/>
  <c r="ER16" i="69" s="1"/>
  <c r="EQ14" i="69"/>
  <c r="EQ15" i="69" s="1"/>
  <c r="EQ16" i="69" s="1"/>
  <c r="ET11" i="69"/>
  <c r="ES11" i="69"/>
  <c r="ER11" i="69"/>
  <c r="EQ11" i="69"/>
  <c r="ET9" i="69"/>
  <c r="ES9" i="69"/>
  <c r="ER9" i="69"/>
  <c r="EQ9" i="69"/>
  <c r="AF14" i="69"/>
  <c r="ET18" i="65"/>
  <c r="ES18" i="65"/>
  <c r="ER18" i="65"/>
  <c r="EQ18" i="65"/>
  <c r="ET14" i="65"/>
  <c r="ET15" i="65" s="1"/>
  <c r="ET16" i="65" s="1"/>
  <c r="ES14" i="65"/>
  <c r="ES15" i="65" s="1"/>
  <c r="ES16" i="65" s="1"/>
  <c r="ER14" i="65"/>
  <c r="ER15" i="65" s="1"/>
  <c r="ER16" i="65" s="1"/>
  <c r="EQ14" i="65"/>
  <c r="EQ15" i="65" s="1"/>
  <c r="EQ16" i="65" s="1"/>
  <c r="AF14" i="65"/>
  <c r="AF15" i="65" s="1"/>
  <c r="AF16" i="65" s="1"/>
  <c r="CM8" i="81"/>
  <c r="CM9" i="81" s="1"/>
  <c r="CM10" i="81" s="1"/>
  <c r="CL8" i="81"/>
  <c r="CL9" i="81" s="1"/>
  <c r="CL10" i="81" s="1"/>
  <c r="CK8" i="81"/>
  <c r="CK9" i="81" s="1"/>
  <c r="CK10" i="81" s="1"/>
  <c r="CJ8" i="81"/>
  <c r="CJ9" i="81" s="1"/>
  <c r="CJ10" i="81" s="1"/>
  <c r="IH18" i="27" l="1"/>
  <c r="IH19" i="27" s="1"/>
  <c r="II6" i="27"/>
  <c r="DA12" i="76"/>
  <c r="DB12" i="76"/>
  <c r="DC12" i="76"/>
  <c r="CZ12" i="76"/>
  <c r="BI18" i="27"/>
  <c r="BI19" i="27" s="1"/>
  <c r="BI16" i="27"/>
  <c r="AF15" i="69"/>
  <c r="AF16" i="69" s="1"/>
  <c r="II18" i="27" l="1"/>
  <c r="II19" i="27" s="1"/>
  <c r="IJ6" i="27"/>
  <c r="Q8" i="83"/>
  <c r="Q9" i="83" s="1"/>
  <c r="Q10" i="83" s="1"/>
  <c r="CH8" i="83"/>
  <c r="CH9" i="83" s="1"/>
  <c r="CH10" i="83" s="1"/>
  <c r="CG8" i="83"/>
  <c r="CG9" i="83" s="1"/>
  <c r="CG10" i="83" s="1"/>
  <c r="CF8" i="83"/>
  <c r="CF9" i="83" s="1"/>
  <c r="CF10" i="83" s="1"/>
  <c r="CE8" i="83"/>
  <c r="CE9" i="83" s="1"/>
  <c r="CE10" i="83" s="1"/>
  <c r="BH14" i="27"/>
  <c r="BH12" i="27"/>
  <c r="BH11" i="27"/>
  <c r="EP18" i="65"/>
  <c r="EP14" i="65"/>
  <c r="EP15" i="65" s="1"/>
  <c r="EP16" i="65" s="1"/>
  <c r="IJ18" i="27" l="1"/>
  <c r="IJ19" i="27" s="1"/>
  <c r="IK6" i="27"/>
  <c r="T7" i="81"/>
  <c r="CI8" i="81"/>
  <c r="CI9" i="81" s="1"/>
  <c r="CI10" i="81" s="1"/>
  <c r="BH16" i="27"/>
  <c r="HR20" i="27"/>
  <c r="HR17" i="27"/>
  <c r="HR18" i="27" s="1"/>
  <c r="HR19" i="27" s="1"/>
  <c r="HR16" i="27"/>
  <c r="HQ20" i="27"/>
  <c r="HQ17" i="27"/>
  <c r="HQ18" i="27" s="1"/>
  <c r="HQ19" i="27" s="1"/>
  <c r="HQ16" i="27"/>
  <c r="W9" i="76"/>
  <c r="W11" i="76" s="1"/>
  <c r="W8" i="76"/>
  <c r="CY11" i="76"/>
  <c r="CY10" i="76"/>
  <c r="CX11" i="76"/>
  <c r="CX10" i="76"/>
  <c r="BH20" i="22"/>
  <c r="BH21" i="22" s="1"/>
  <c r="BH23" i="22" s="1"/>
  <c r="BH24" i="22" s="1"/>
  <c r="BH25" i="22" s="1"/>
  <c r="BH18" i="22"/>
  <c r="GU19" i="22"/>
  <c r="BH19" i="22" s="1"/>
  <c r="GU26" i="22"/>
  <c r="GU22" i="22"/>
  <c r="GU23" i="22" s="1"/>
  <c r="GU24" i="22" s="1"/>
  <c r="GU13" i="22"/>
  <c r="GU12" i="22"/>
  <c r="GU11" i="22"/>
  <c r="GU10" i="22"/>
  <c r="GT26" i="22"/>
  <c r="GT22" i="22"/>
  <c r="GT23" i="22" s="1"/>
  <c r="GT24" i="22" s="1"/>
  <c r="GT19" i="22"/>
  <c r="GT13" i="22"/>
  <c r="GT12" i="22"/>
  <c r="GT11" i="22"/>
  <c r="GT10" i="22"/>
  <c r="BH28" i="22"/>
  <c r="BH27" i="22"/>
  <c r="BH13" i="22"/>
  <c r="BH10" i="22"/>
  <c r="BH7" i="22"/>
  <c r="BH12" i="22" s="1"/>
  <c r="AE13" i="69"/>
  <c r="AE14" i="69" s="1"/>
  <c r="AE10" i="69"/>
  <c r="AE8" i="69"/>
  <c r="AE7" i="69"/>
  <c r="EP9" i="69"/>
  <c r="AE9" i="69" s="1"/>
  <c r="EP19" i="69"/>
  <c r="EP14" i="69"/>
  <c r="EP15" i="69" s="1"/>
  <c r="EP16" i="69" s="1"/>
  <c r="EP11" i="69"/>
  <c r="AE11" i="69" s="1"/>
  <c r="EO19" i="69"/>
  <c r="EO14" i="69"/>
  <c r="EO15" i="69" s="1"/>
  <c r="EO16" i="69" s="1"/>
  <c r="EO11" i="69"/>
  <c r="EO9" i="69"/>
  <c r="IL6" i="27" l="1"/>
  <c r="IK18" i="27"/>
  <c r="IK19" i="27" s="1"/>
  <c r="CX12" i="76"/>
  <c r="BH17" i="27"/>
  <c r="BH18" i="27" s="1"/>
  <c r="BH19" i="27" s="1"/>
  <c r="CY12" i="76"/>
  <c r="W10" i="76"/>
  <c r="W12" i="76" s="1"/>
  <c r="AE15" i="69"/>
  <c r="AE16" i="69" s="1"/>
  <c r="AE13" i="65"/>
  <c r="AE14" i="65" s="1"/>
  <c r="AE15" i="65" s="1"/>
  <c r="AE16" i="65" s="1"/>
  <c r="EO18" i="65"/>
  <c r="EO14" i="65"/>
  <c r="EO15" i="65" s="1"/>
  <c r="EO16" i="65" s="1"/>
  <c r="T8" i="81"/>
  <c r="T9" i="81" s="1"/>
  <c r="T10" i="81" s="1"/>
  <c r="CH8" i="81"/>
  <c r="CH9" i="81" s="1"/>
  <c r="CH10" i="81" s="1"/>
  <c r="CD8" i="83"/>
  <c r="CD9" i="83" s="1"/>
  <c r="CD10" i="83" s="1"/>
  <c r="IL18" i="27" l="1"/>
  <c r="IL19" i="27" s="1"/>
  <c r="IM6" i="27"/>
  <c r="P8" i="83"/>
  <c r="P9" i="83" s="1"/>
  <c r="P10" i="83" s="1"/>
  <c r="CC8" i="83"/>
  <c r="CC9" i="83" s="1"/>
  <c r="CC10" i="83" s="1"/>
  <c r="HP20" i="27"/>
  <c r="HP17" i="27"/>
  <c r="HP18" i="27" s="1"/>
  <c r="HP19" i="27" s="1"/>
  <c r="HP16" i="27"/>
  <c r="CW11" i="76"/>
  <c r="CW10" i="76"/>
  <c r="GS26" i="22"/>
  <c r="GS22" i="22"/>
  <c r="GS23" i="22" s="1"/>
  <c r="GS24" i="22" s="1"/>
  <c r="GS19" i="22"/>
  <c r="GS13" i="22"/>
  <c r="GS12" i="22"/>
  <c r="GS11" i="22"/>
  <c r="GS10" i="22"/>
  <c r="EN19" i="69"/>
  <c r="EN14" i="69"/>
  <c r="EN15" i="69" s="1"/>
  <c r="EN16" i="69" s="1"/>
  <c r="EN11" i="69"/>
  <c r="EN9" i="69"/>
  <c r="EN18" i="65"/>
  <c r="EN14" i="65"/>
  <c r="EN15" i="65" s="1"/>
  <c r="EN16" i="65" s="1"/>
  <c r="EN10" i="65"/>
  <c r="CG8" i="81"/>
  <c r="CG9" i="81" s="1"/>
  <c r="CG10" i="81" s="1"/>
  <c r="CB8" i="83"/>
  <c r="CB9" i="83" s="1"/>
  <c r="CB10" i="83" s="1"/>
  <c r="BG12" i="27"/>
  <c r="BG11" i="27"/>
  <c r="BG14" i="27"/>
  <c r="BG16" i="27" s="1"/>
  <c r="HO20" i="27"/>
  <c r="HN20" i="27"/>
  <c r="HO17" i="27"/>
  <c r="HO18" i="27" s="1"/>
  <c r="HO19" i="27" s="1"/>
  <c r="HN17" i="27"/>
  <c r="HN18" i="27" s="1"/>
  <c r="HN19" i="27" s="1"/>
  <c r="HO16" i="27"/>
  <c r="HN16" i="27"/>
  <c r="V8" i="76"/>
  <c r="V9" i="76"/>
  <c r="V11" i="76" s="1"/>
  <c r="CV11" i="76"/>
  <c r="CU11" i="76"/>
  <c r="CV10" i="76"/>
  <c r="CU10" i="76"/>
  <c r="BG18" i="22"/>
  <c r="BG20" i="22"/>
  <c r="BG21" i="22" s="1"/>
  <c r="BG23" i="22" s="1"/>
  <c r="BG24" i="22" s="1"/>
  <c r="BG25" i="22" s="1"/>
  <c r="GR26" i="22"/>
  <c r="GQ26" i="22"/>
  <c r="GR22" i="22"/>
  <c r="GR23" i="22" s="1"/>
  <c r="GR24" i="22" s="1"/>
  <c r="GQ22" i="22"/>
  <c r="GQ23" i="22" s="1"/>
  <c r="GQ24" i="22" s="1"/>
  <c r="GR19" i="22"/>
  <c r="GQ19" i="22"/>
  <c r="GR13" i="22"/>
  <c r="GQ13" i="22"/>
  <c r="GR12" i="22"/>
  <c r="GQ12" i="22"/>
  <c r="GR11" i="22"/>
  <c r="GQ11" i="22"/>
  <c r="GR10" i="22"/>
  <c r="GQ10" i="22"/>
  <c r="AD10" i="69"/>
  <c r="AD8" i="69"/>
  <c r="AD7" i="69"/>
  <c r="AD13" i="69"/>
  <c r="AD14" i="69" s="1"/>
  <c r="EM19" i="69"/>
  <c r="EL19" i="69"/>
  <c r="EM14" i="69"/>
  <c r="EM15" i="69" s="1"/>
  <c r="EM16" i="69" s="1"/>
  <c r="EL14" i="69"/>
  <c r="EL15" i="69" s="1"/>
  <c r="EL16" i="69" s="1"/>
  <c r="EM11" i="69"/>
  <c r="EL11" i="69"/>
  <c r="EM9" i="69"/>
  <c r="EL9" i="69"/>
  <c r="AD13" i="65"/>
  <c r="EL18" i="65"/>
  <c r="EM18" i="65"/>
  <c r="EK18" i="65"/>
  <c r="EM14" i="65"/>
  <c r="EM15" i="65" s="1"/>
  <c r="EM16" i="65" s="1"/>
  <c r="EL14" i="65"/>
  <c r="EL15" i="65" s="1"/>
  <c r="EL16" i="65" s="1"/>
  <c r="EM10" i="65"/>
  <c r="EL10" i="65"/>
  <c r="S7" i="81"/>
  <c r="CF8" i="81"/>
  <c r="CF9" i="81" s="1"/>
  <c r="CF10" i="81" s="1"/>
  <c r="CE8" i="81"/>
  <c r="CE9" i="81" s="1"/>
  <c r="CE10" i="81" s="1"/>
  <c r="O7" i="83"/>
  <c r="CA8" i="83"/>
  <c r="CA9" i="83" s="1"/>
  <c r="CA10" i="83" s="1"/>
  <c r="BZ8" i="83"/>
  <c r="BZ9" i="83" s="1"/>
  <c r="BZ10" i="83" s="1"/>
  <c r="HM20" i="27"/>
  <c r="HM17" i="27"/>
  <c r="HM18" i="27" s="1"/>
  <c r="HM19" i="27" s="1"/>
  <c r="HM16" i="27"/>
  <c r="CT11" i="76"/>
  <c r="CT10" i="76"/>
  <c r="GP26" i="22"/>
  <c r="GP22" i="22"/>
  <c r="GP23" i="22" s="1"/>
  <c r="GP24" i="22" s="1"/>
  <c r="GP19" i="22"/>
  <c r="GP13" i="22"/>
  <c r="GP12" i="22"/>
  <c r="GP11" i="22"/>
  <c r="GP10" i="22"/>
  <c r="EK19" i="69"/>
  <c r="EK14" i="69"/>
  <c r="EK15" i="69" s="1"/>
  <c r="EK16" i="69" s="1"/>
  <c r="EK11" i="69"/>
  <c r="EK9" i="69"/>
  <c r="EK14" i="65"/>
  <c r="EK15" i="65" s="1"/>
  <c r="EK16" i="65" s="1"/>
  <c r="EK10" i="65"/>
  <c r="CD8" i="81"/>
  <c r="CD9" i="81" s="1"/>
  <c r="CD10" i="81" s="1"/>
  <c r="BY8" i="83"/>
  <c r="BY9" i="83" s="1"/>
  <c r="BY10" i="83" s="1"/>
  <c r="BG13" i="22"/>
  <c r="BG28" i="22"/>
  <c r="BG27" i="22"/>
  <c r="BG10" i="22"/>
  <c r="BG7" i="22"/>
  <c r="BG12" i="22" s="1"/>
  <c r="R9" i="69"/>
  <c r="IM18" i="27" l="1"/>
  <c r="IM19" i="27" s="1"/>
  <c r="IN6" i="27"/>
  <c r="AD11" i="69"/>
  <c r="AD15" i="69"/>
  <c r="AD16" i="69" s="1"/>
  <c r="CW12" i="76"/>
  <c r="CT12" i="76"/>
  <c r="CV12" i="76"/>
  <c r="BG19" i="22"/>
  <c r="AD9" i="69"/>
  <c r="CU12" i="76"/>
  <c r="BG17" i="27"/>
  <c r="BG18" i="27" s="1"/>
  <c r="BG19" i="27" s="1"/>
  <c r="V10" i="76"/>
  <c r="V12" i="76" s="1"/>
  <c r="IN18" i="27" l="1"/>
  <c r="IN19" i="27" s="1"/>
  <c r="IO6" i="27"/>
  <c r="AD14" i="65"/>
  <c r="AD15" i="65" s="1"/>
  <c r="AD16" i="65" s="1"/>
  <c r="S8" i="81"/>
  <c r="S9" i="81" s="1"/>
  <c r="S10" i="81" s="1"/>
  <c r="IO18" i="27" l="1"/>
  <c r="IO19" i="27" s="1"/>
  <c r="IP6" i="27"/>
  <c r="O8" i="83"/>
  <c r="O9" i="83" s="1"/>
  <c r="O10" i="83" s="1"/>
  <c r="BF12" i="27"/>
  <c r="BF11" i="27"/>
  <c r="HL20" i="27"/>
  <c r="HL17" i="27"/>
  <c r="HL18" i="27" s="1"/>
  <c r="HL19" i="27" s="1"/>
  <c r="HL16" i="27"/>
  <c r="U9" i="76"/>
  <c r="U8" i="76"/>
  <c r="CS11" i="76"/>
  <c r="CS10" i="76"/>
  <c r="BF20" i="22"/>
  <c r="BF18" i="22"/>
  <c r="GO26" i="22"/>
  <c r="GO22" i="22"/>
  <c r="GO23" i="22" s="1"/>
  <c r="GO24" i="22" s="1"/>
  <c r="GO19" i="22"/>
  <c r="GO13" i="22"/>
  <c r="GO12" i="22"/>
  <c r="GO11" i="22"/>
  <c r="GO10" i="22"/>
  <c r="EJ19" i="69"/>
  <c r="EJ14" i="69"/>
  <c r="EJ15" i="69" s="1"/>
  <c r="EJ16" i="69" s="1"/>
  <c r="EJ11" i="69"/>
  <c r="EJ9" i="69"/>
  <c r="EJ14" i="65"/>
  <c r="EJ15" i="65" s="1"/>
  <c r="EJ16" i="65" s="1"/>
  <c r="EJ10" i="65"/>
  <c r="CC8" i="81"/>
  <c r="CC9" i="81" s="1"/>
  <c r="CC10" i="81" s="1"/>
  <c r="IP18" i="27" l="1"/>
  <c r="IP19" i="27" s="1"/>
  <c r="IQ6" i="27"/>
  <c r="CS12" i="76"/>
  <c r="BX8" i="83"/>
  <c r="BX9" i="83" s="1"/>
  <c r="BX10" i="83" s="1"/>
  <c r="HK20" i="27"/>
  <c r="HK17" i="27"/>
  <c r="HK18" i="27" s="1"/>
  <c r="HK19" i="27" s="1"/>
  <c r="HK16" i="27"/>
  <c r="CR11" i="76"/>
  <c r="CR10" i="76"/>
  <c r="GN26" i="22"/>
  <c r="GN22" i="22"/>
  <c r="GN23" i="22" s="1"/>
  <c r="GN24" i="22" s="1"/>
  <c r="GN19" i="22"/>
  <c r="GN13" i="22"/>
  <c r="GN12" i="22"/>
  <c r="GN11" i="22"/>
  <c r="GN10" i="22"/>
  <c r="EI19" i="69"/>
  <c r="EI14" i="69"/>
  <c r="EI15" i="69" s="1"/>
  <c r="EI16" i="69" s="1"/>
  <c r="EI11" i="69"/>
  <c r="EI9" i="69"/>
  <c r="EI14" i="65"/>
  <c r="EI15" i="65" s="1"/>
  <c r="EI16" i="65" s="1"/>
  <c r="EI10" i="65"/>
  <c r="CB8" i="81"/>
  <c r="CB9" i="81" s="1"/>
  <c r="CB10" i="81" s="1"/>
  <c r="BW8" i="83"/>
  <c r="BW9" i="83" s="1"/>
  <c r="BW10" i="83" s="1"/>
  <c r="GD17" i="27"/>
  <c r="GE17" i="27"/>
  <c r="GF17" i="27"/>
  <c r="GG17" i="27"/>
  <c r="GH17" i="27"/>
  <c r="GI17" i="27"/>
  <c r="GJ17" i="27"/>
  <c r="GK17" i="27"/>
  <c r="GL17" i="27"/>
  <c r="GM17" i="27"/>
  <c r="GN17" i="27"/>
  <c r="GO17" i="27"/>
  <c r="GP17" i="27"/>
  <c r="GQ17" i="27"/>
  <c r="GR17" i="27"/>
  <c r="GS17" i="27"/>
  <c r="GT17" i="27"/>
  <c r="GU17" i="27"/>
  <c r="GV17" i="27"/>
  <c r="GW17" i="27"/>
  <c r="GX17" i="27"/>
  <c r="GY17" i="27"/>
  <c r="GZ17" i="27"/>
  <c r="HA17" i="27"/>
  <c r="HB17" i="27"/>
  <c r="HC17" i="27"/>
  <c r="HD17" i="27"/>
  <c r="HE17" i="27"/>
  <c r="HF17" i="27"/>
  <c r="HG17" i="27"/>
  <c r="HH17" i="27"/>
  <c r="HH18" i="27" s="1"/>
  <c r="HH19" i="27" s="1"/>
  <c r="HI17" i="27"/>
  <c r="HI18" i="27" s="1"/>
  <c r="HI19" i="27" s="1"/>
  <c r="HJ17" i="27"/>
  <c r="HJ18" i="27" s="1"/>
  <c r="HJ19" i="27" s="1"/>
  <c r="BF14" i="27"/>
  <c r="BF16" i="27" s="1"/>
  <c r="HJ20" i="27"/>
  <c r="HJ16" i="27"/>
  <c r="U11" i="76"/>
  <c r="CQ11" i="76"/>
  <c r="CP11" i="76"/>
  <c r="CQ10" i="76"/>
  <c r="CP10" i="76"/>
  <c r="BF21" i="22"/>
  <c r="BF23" i="22" s="1"/>
  <c r="BF24" i="22" s="1"/>
  <c r="BF25" i="22" s="1"/>
  <c r="GM22" i="22"/>
  <c r="GM26" i="22"/>
  <c r="GM23" i="22"/>
  <c r="GM24" i="22" s="1"/>
  <c r="GM19" i="22"/>
  <c r="GM13" i="22"/>
  <c r="GM12" i="22"/>
  <c r="GM11" i="22"/>
  <c r="GM10" i="22"/>
  <c r="GL26" i="22"/>
  <c r="GL22" i="22"/>
  <c r="GL23" i="22" s="1"/>
  <c r="GL24" i="22" s="1"/>
  <c r="GL19" i="22"/>
  <c r="GL13" i="22"/>
  <c r="GL12" i="22"/>
  <c r="GL11" i="22"/>
  <c r="GL10" i="22"/>
  <c r="AC13" i="69"/>
  <c r="AC14" i="69" s="1"/>
  <c r="AC15" i="69" s="1"/>
  <c r="AC16" i="69" s="1"/>
  <c r="EH19" i="69"/>
  <c r="EH14" i="69"/>
  <c r="EH15" i="69" s="1"/>
  <c r="EH16" i="69" s="1"/>
  <c r="EH11" i="69"/>
  <c r="EH9" i="69"/>
  <c r="EG19" i="69"/>
  <c r="EG14" i="69"/>
  <c r="EG15" i="69" s="1"/>
  <c r="EG16" i="69" s="1"/>
  <c r="EG11" i="69"/>
  <c r="EG9" i="69"/>
  <c r="AC13" i="65"/>
  <c r="AC14" i="65" s="1"/>
  <c r="AC15" i="65" s="1"/>
  <c r="AC16" i="65" s="1"/>
  <c r="EH14" i="65"/>
  <c r="EH15" i="65" s="1"/>
  <c r="EH16" i="65" s="1"/>
  <c r="EG14" i="65"/>
  <c r="EG15" i="65" s="1"/>
  <c r="EG16" i="65" s="1"/>
  <c r="EH10" i="65"/>
  <c r="EG10" i="65"/>
  <c r="R7" i="81"/>
  <c r="R8" i="81" s="1"/>
  <c r="R9" i="81" s="1"/>
  <c r="R10" i="81" s="1"/>
  <c r="CA8" i="81"/>
  <c r="CA9" i="81" s="1"/>
  <c r="CA10" i="81" s="1"/>
  <c r="BZ8" i="81"/>
  <c r="BZ9" i="81" s="1"/>
  <c r="BZ10" i="81" s="1"/>
  <c r="N7" i="83"/>
  <c r="N8" i="83" s="1"/>
  <c r="N9" i="83" s="1"/>
  <c r="N10" i="83" s="1"/>
  <c r="BV8" i="83"/>
  <c r="BV9" i="83" s="1"/>
  <c r="BV10" i="83" s="1"/>
  <c r="BU8" i="83"/>
  <c r="BU9" i="83" s="1"/>
  <c r="BU10" i="83" s="1"/>
  <c r="HI20" i="27"/>
  <c r="HI16" i="27"/>
  <c r="HH20" i="27"/>
  <c r="HH16" i="27"/>
  <c r="U6" i="76"/>
  <c r="V6" i="76" s="1"/>
  <c r="W6" i="76" s="1"/>
  <c r="X6" i="76" s="1"/>
  <c r="Y6" i="76" s="1"/>
  <c r="Z6" i="76" s="1"/>
  <c r="AA6" i="76" s="1"/>
  <c r="AB6" i="76" s="1"/>
  <c r="AC6" i="76" s="1"/>
  <c r="AD6" i="76" s="1"/>
  <c r="AE6" i="76" s="1"/>
  <c r="CO11" i="76"/>
  <c r="CO10" i="76"/>
  <c r="BF28" i="22"/>
  <c r="BF27" i="22"/>
  <c r="BF13" i="22"/>
  <c r="BF10" i="22"/>
  <c r="BF7" i="22"/>
  <c r="BF12" i="22" s="1"/>
  <c r="GK26" i="22"/>
  <c r="GK22" i="22"/>
  <c r="GK23" i="22" s="1"/>
  <c r="GK24" i="22" s="1"/>
  <c r="GK19" i="22"/>
  <c r="GK13" i="22"/>
  <c r="GK12" i="22"/>
  <c r="GK11" i="22"/>
  <c r="GK10" i="22"/>
  <c r="AC11" i="69"/>
  <c r="AC9" i="69"/>
  <c r="EF19" i="69"/>
  <c r="EF14" i="69"/>
  <c r="EF15" i="69" s="1"/>
  <c r="EF16" i="69" s="1"/>
  <c r="EF11" i="69"/>
  <c r="EF9" i="69"/>
  <c r="EF14" i="65"/>
  <c r="EF15" i="65" s="1"/>
  <c r="EF16" i="65" s="1"/>
  <c r="EF10" i="65"/>
  <c r="BY8" i="81"/>
  <c r="BY9" i="81" s="1"/>
  <c r="BY10" i="81" s="1"/>
  <c r="AE7" i="76" l="1"/>
  <c r="AE11" i="76" s="1"/>
  <c r="AE12" i="76" s="1"/>
  <c r="AF6" i="76"/>
  <c r="IR6" i="27"/>
  <c r="IQ18" i="27"/>
  <c r="IQ19" i="27" s="1"/>
  <c r="CO12" i="76"/>
  <c r="BF19" i="22"/>
  <c r="CR12" i="76"/>
  <c r="CP12" i="76"/>
  <c r="CQ12" i="76"/>
  <c r="BF17" i="27"/>
  <c r="BF18" i="27" s="1"/>
  <c r="BF19" i="27" s="1"/>
  <c r="U10" i="76"/>
  <c r="U12" i="76" s="1"/>
  <c r="AF7" i="76" l="1"/>
  <c r="AF11" i="76" s="1"/>
  <c r="AF12" i="76" s="1"/>
  <c r="AG6" i="76"/>
  <c r="IS6" i="27"/>
  <c r="IR18" i="27"/>
  <c r="IR19" i="27" s="1"/>
  <c r="BT8" i="83"/>
  <c r="BT9" i="83" s="1"/>
  <c r="BT10" i="83" s="1"/>
  <c r="HG20" i="27"/>
  <c r="HG18" i="27"/>
  <c r="HG19" i="27" s="1"/>
  <c r="HG16" i="27"/>
  <c r="CN11" i="76"/>
  <c r="CN10" i="76"/>
  <c r="GJ26" i="22"/>
  <c r="GJ22" i="22"/>
  <c r="GJ23" i="22" s="1"/>
  <c r="GJ24" i="22" s="1"/>
  <c r="GJ19" i="22"/>
  <c r="GJ13" i="22"/>
  <c r="GJ12" i="22"/>
  <c r="GJ11" i="22"/>
  <c r="GJ10" i="22"/>
  <c r="EE19" i="69"/>
  <c r="EE14" i="69"/>
  <c r="EE15" i="69" s="1"/>
  <c r="EE16" i="69" s="1"/>
  <c r="EE11" i="69"/>
  <c r="EE9" i="69"/>
  <c r="EE14" i="65"/>
  <c r="EE15" i="65" s="1"/>
  <c r="EE16" i="65" s="1"/>
  <c r="EE10" i="65"/>
  <c r="AG7" i="76" l="1"/>
  <c r="AG11" i="76" s="1"/>
  <c r="AG12" i="76" s="1"/>
  <c r="AH7" i="76"/>
  <c r="AH11" i="76" s="1"/>
  <c r="AH12" i="76" s="1"/>
  <c r="IT6" i="27"/>
  <c r="IS18" i="27"/>
  <c r="IS19" i="27" s="1"/>
  <c r="CN12" i="76"/>
  <c r="BX8" i="81"/>
  <c r="BX9" i="81" s="1"/>
  <c r="BX10" i="81" s="1"/>
  <c r="BS8" i="83"/>
  <c r="BS9" i="83" s="1"/>
  <c r="BS10" i="83" s="1"/>
  <c r="HF20" i="27"/>
  <c r="HF18" i="27"/>
  <c r="HF19" i="27" s="1"/>
  <c r="HF16" i="27"/>
  <c r="CM11" i="76"/>
  <c r="CM10" i="76"/>
  <c r="GI26" i="22"/>
  <c r="GI22" i="22"/>
  <c r="GI23" i="22" s="1"/>
  <c r="GI24" i="22" s="1"/>
  <c r="GI19" i="22"/>
  <c r="GI13" i="22"/>
  <c r="GI12" i="22"/>
  <c r="GI11" i="22"/>
  <c r="GI10" i="22"/>
  <c r="ED19" i="69"/>
  <c r="ED14" i="69"/>
  <c r="ED15" i="69" s="1"/>
  <c r="ED16" i="69" s="1"/>
  <c r="ED11" i="69"/>
  <c r="ED9" i="69"/>
  <c r="ED14" i="65"/>
  <c r="ED15" i="65" s="1"/>
  <c r="ED16" i="65" s="1"/>
  <c r="ED10" i="65"/>
  <c r="BW8" i="81"/>
  <c r="BW9" i="81" s="1"/>
  <c r="BW10" i="81" s="1"/>
  <c r="BR8" i="83"/>
  <c r="BR9" i="83" s="1"/>
  <c r="BR10" i="83" s="1"/>
  <c r="BE14" i="27"/>
  <c r="BE17" i="27" s="1"/>
  <c r="BE18" i="27" s="1"/>
  <c r="BE19" i="27" s="1"/>
  <c r="BE12" i="27"/>
  <c r="BE11" i="27"/>
  <c r="HE20" i="27"/>
  <c r="HE18" i="27"/>
  <c r="HE19" i="27" s="1"/>
  <c r="HE16" i="27"/>
  <c r="T9" i="76"/>
  <c r="T11" i="76" s="1"/>
  <c r="T8" i="76"/>
  <c r="CL11" i="76"/>
  <c r="CL10" i="76"/>
  <c r="BE20" i="22"/>
  <c r="BE21" i="22" s="1"/>
  <c r="BE23" i="22" s="1"/>
  <c r="BE24" i="22" s="1"/>
  <c r="BE25" i="22" s="1"/>
  <c r="BE18" i="22"/>
  <c r="GH26" i="22"/>
  <c r="GH22" i="22"/>
  <c r="GH23" i="22" s="1"/>
  <c r="GH24" i="22" s="1"/>
  <c r="GH19" i="22"/>
  <c r="GH13" i="22"/>
  <c r="GH12" i="22"/>
  <c r="GH11" i="22"/>
  <c r="GH10" i="22"/>
  <c r="AB13" i="69"/>
  <c r="AB14" i="69" s="1"/>
  <c r="AB15" i="69" s="1"/>
  <c r="AB16" i="69" s="1"/>
  <c r="EC19" i="69"/>
  <c r="EC14" i="69"/>
  <c r="EC15" i="69" s="1"/>
  <c r="EC16" i="69" s="1"/>
  <c r="EC11" i="69"/>
  <c r="EC9" i="69"/>
  <c r="AB13" i="65"/>
  <c r="AB14" i="65" s="1"/>
  <c r="AB15" i="65" s="1"/>
  <c r="AB16" i="65" s="1"/>
  <c r="EC14" i="65"/>
  <c r="EC15" i="65" s="1"/>
  <c r="EC16" i="65" s="1"/>
  <c r="EC10" i="65"/>
  <c r="Q7" i="81"/>
  <c r="Q8" i="81" s="1"/>
  <c r="Q9" i="81" s="1"/>
  <c r="Q10" i="81" s="1"/>
  <c r="BV8" i="81"/>
  <c r="BV9" i="81" s="1"/>
  <c r="BV10" i="81" s="1"/>
  <c r="L7" i="83"/>
  <c r="M7" i="83"/>
  <c r="M8" i="83" s="1"/>
  <c r="M9" i="83" s="1"/>
  <c r="M10" i="83" s="1"/>
  <c r="BQ8" i="83"/>
  <c r="BQ9" i="83" s="1"/>
  <c r="BQ10" i="83" s="1"/>
  <c r="HD20" i="27"/>
  <c r="HD18" i="27"/>
  <c r="HD19" i="27" s="1"/>
  <c r="HD16" i="27"/>
  <c r="T6" i="76"/>
  <c r="CK11" i="76"/>
  <c r="CK10" i="76"/>
  <c r="BE28" i="22"/>
  <c r="BE27" i="22"/>
  <c r="BE13" i="22"/>
  <c r="BE10" i="22"/>
  <c r="BE7" i="22"/>
  <c r="BE12" i="22" s="1"/>
  <c r="GG26" i="22"/>
  <c r="GG22" i="22"/>
  <c r="GG23" i="22" s="1"/>
  <c r="GG24" i="22" s="1"/>
  <c r="GG19" i="22"/>
  <c r="GG13" i="22"/>
  <c r="GG12" i="22"/>
  <c r="GG11" i="22"/>
  <c r="GG10" i="22"/>
  <c r="AB11" i="69"/>
  <c r="AB9" i="69"/>
  <c r="EB19" i="69"/>
  <c r="EB14" i="69"/>
  <c r="EB15" i="69" s="1"/>
  <c r="EB16" i="69" s="1"/>
  <c r="EB11" i="69"/>
  <c r="EB9" i="69"/>
  <c r="EB14" i="65"/>
  <c r="EB15" i="65" s="1"/>
  <c r="EB16" i="65" s="1"/>
  <c r="EB10" i="65"/>
  <c r="BU8" i="81"/>
  <c r="BU9" i="81" s="1"/>
  <c r="BU10" i="81" s="1"/>
  <c r="BP8" i="83"/>
  <c r="BP9" i="83" s="1"/>
  <c r="BP10" i="83" s="1"/>
  <c r="CL12" i="76" l="1"/>
  <c r="IU6" i="27"/>
  <c r="IT18" i="27"/>
  <c r="IT19" i="27" s="1"/>
  <c r="BE19" i="22"/>
  <c r="CM12" i="76"/>
  <c r="BE16" i="27"/>
  <c r="T10" i="76"/>
  <c r="T12" i="76" s="1"/>
  <c r="CK12" i="76"/>
  <c r="IU18" i="27" l="1"/>
  <c r="IU19" i="27" s="1"/>
  <c r="BD12" i="27"/>
  <c r="BD11" i="27"/>
  <c r="BD14" i="27"/>
  <c r="HC20" i="27"/>
  <c r="HC18" i="27"/>
  <c r="HC19" i="27" s="1"/>
  <c r="HC16" i="27"/>
  <c r="HB20" i="27"/>
  <c r="HB18" i="27"/>
  <c r="HB19" i="27" s="1"/>
  <c r="HB16" i="27"/>
  <c r="S9" i="76"/>
  <c r="S8" i="76"/>
  <c r="CJ11" i="76"/>
  <c r="CJ10" i="76"/>
  <c r="CI11" i="76"/>
  <c r="CI10" i="76"/>
  <c r="BD18" i="22"/>
  <c r="GF19" i="22"/>
  <c r="GE19" i="22"/>
  <c r="GD19" i="22"/>
  <c r="BD20" i="22"/>
  <c r="GF26" i="22"/>
  <c r="GE26" i="22"/>
  <c r="GF22" i="22"/>
  <c r="GF23" i="22" s="1"/>
  <c r="GF24" i="22" s="1"/>
  <c r="GE22" i="22"/>
  <c r="GE23" i="22" s="1"/>
  <c r="GE24" i="22" s="1"/>
  <c r="GF13" i="22"/>
  <c r="GE13" i="22"/>
  <c r="GF12" i="22"/>
  <c r="GE12" i="22"/>
  <c r="GF11" i="22"/>
  <c r="GE11" i="22"/>
  <c r="GF10" i="22"/>
  <c r="GE10" i="22"/>
  <c r="AA13" i="69"/>
  <c r="DY19" i="69"/>
  <c r="DZ19" i="69"/>
  <c r="EA19" i="69"/>
  <c r="EA14" i="69"/>
  <c r="EA15" i="69" s="1"/>
  <c r="EA16" i="69" s="1"/>
  <c r="EA11" i="69"/>
  <c r="EA9" i="69"/>
  <c r="DZ14" i="69"/>
  <c r="DZ15" i="69" s="1"/>
  <c r="DZ16" i="69" s="1"/>
  <c r="DZ11" i="69"/>
  <c r="DZ9" i="69"/>
  <c r="DY14" i="69"/>
  <c r="DY15" i="69" s="1"/>
  <c r="DY16" i="69" s="1"/>
  <c r="DY11" i="69"/>
  <c r="DY9" i="69"/>
  <c r="BD19" i="22" l="1"/>
  <c r="IV18" i="27"/>
  <c r="IV19" i="27" s="1"/>
  <c r="CI12" i="76"/>
  <c r="CJ12" i="76"/>
  <c r="EA14" i="65"/>
  <c r="EA15" i="65" s="1"/>
  <c r="EA16" i="65" s="1"/>
  <c r="EA10" i="65"/>
  <c r="BT8" i="81"/>
  <c r="BT9" i="81" s="1"/>
  <c r="BT10" i="81" s="1"/>
  <c r="BO8" i="83"/>
  <c r="BO9" i="83" s="1"/>
  <c r="BO10" i="83" s="1"/>
  <c r="AA13" i="65"/>
  <c r="DZ14" i="65"/>
  <c r="DZ15" i="65" s="1"/>
  <c r="DZ16" i="65" s="1"/>
  <c r="DZ10" i="65"/>
  <c r="BS8" i="81"/>
  <c r="BS9" i="81" s="1"/>
  <c r="BS10" i="81" s="1"/>
  <c r="BN8" i="83"/>
  <c r="BN9" i="83" s="1"/>
  <c r="BN10" i="83" s="1"/>
  <c r="R8" i="76"/>
  <c r="DY10" i="65"/>
  <c r="HA20" i="27"/>
  <c r="GZ20" i="27"/>
  <c r="HA18" i="27"/>
  <c r="HA19" i="27" s="1"/>
  <c r="GZ18" i="27"/>
  <c r="GZ19" i="27" s="1"/>
  <c r="HA16" i="27"/>
  <c r="GZ16" i="27"/>
  <c r="GZ8" i="27"/>
  <c r="CH11" i="76"/>
  <c r="CH10" i="76"/>
  <c r="CG11" i="76"/>
  <c r="CG10" i="76"/>
  <c r="S6" i="76"/>
  <c r="GD26" i="22"/>
  <c r="GC26" i="22"/>
  <c r="GD22" i="22"/>
  <c r="GD23" i="22" s="1"/>
  <c r="GD24" i="22" s="1"/>
  <c r="GC22" i="22"/>
  <c r="GC23" i="22" s="1"/>
  <c r="GC24" i="22" s="1"/>
  <c r="GC19" i="22"/>
  <c r="GD13" i="22"/>
  <c r="GC13" i="22"/>
  <c r="GD12" i="22"/>
  <c r="GC12" i="22"/>
  <c r="GD11" i="22"/>
  <c r="GC11" i="22"/>
  <c r="GD10" i="22"/>
  <c r="GC10" i="22"/>
  <c r="AA11" i="69"/>
  <c r="AA9" i="69"/>
  <c r="DX19" i="69"/>
  <c r="DX14" i="69"/>
  <c r="DX15" i="69" s="1"/>
  <c r="DX16" i="69" s="1"/>
  <c r="DX11" i="69"/>
  <c r="DX9" i="69"/>
  <c r="IW18" i="27" l="1"/>
  <c r="IW19" i="27" s="1"/>
  <c r="CG12" i="76"/>
  <c r="CH12" i="76"/>
  <c r="DY14" i="65"/>
  <c r="DY15" i="65" s="1"/>
  <c r="DY16" i="65" s="1"/>
  <c r="DX14" i="65"/>
  <c r="DX15" i="65" s="1"/>
  <c r="DX16" i="65" s="1"/>
  <c r="DX10" i="65"/>
  <c r="P7" i="81"/>
  <c r="BR8" i="81"/>
  <c r="BR9" i="81" s="1"/>
  <c r="BR10" i="81" s="1"/>
  <c r="BQ8" i="81"/>
  <c r="BQ9" i="81" s="1"/>
  <c r="BQ10" i="81" s="1"/>
  <c r="BM8" i="83"/>
  <c r="BM9" i="83" s="1"/>
  <c r="BM10" i="83" s="1"/>
  <c r="BL8" i="83"/>
  <c r="BL9" i="83" s="1"/>
  <c r="BL10" i="83" s="1"/>
  <c r="IX18" i="27" l="1"/>
  <c r="IX19" i="27" s="1"/>
  <c r="P8" i="81"/>
  <c r="P9" i="81" s="1"/>
  <c r="P10" i="81" s="1"/>
  <c r="L8" i="83"/>
  <c r="L9" i="83" s="1"/>
  <c r="L10" i="83" s="1"/>
  <c r="IY18" i="27" l="1"/>
  <c r="IY19" i="27" s="1"/>
  <c r="BD28" i="22"/>
  <c r="BD27" i="22"/>
  <c r="BD21" i="22"/>
  <c r="BD23" i="22" s="1"/>
  <c r="BD24" i="22" s="1"/>
  <c r="BD25" i="22" s="1"/>
  <c r="BD13" i="22"/>
  <c r="BD10" i="22"/>
  <c r="BD7" i="22"/>
  <c r="BD12" i="22" s="1"/>
  <c r="IZ18" i="27" l="1"/>
  <c r="IZ19" i="27" s="1"/>
  <c r="BD17" i="27"/>
  <c r="BD18" i="27" s="1"/>
  <c r="BD19" i="27" s="1"/>
  <c r="BD16" i="27"/>
  <c r="GY20" i="27"/>
  <c r="GY18" i="27"/>
  <c r="GY19" i="27" s="1"/>
  <c r="GY16" i="27"/>
  <c r="GY8" i="27"/>
  <c r="S11" i="76"/>
  <c r="CF11" i="76"/>
  <c r="CF10" i="76"/>
  <c r="JA18" i="27" l="1"/>
  <c r="JA19" i="27" s="1"/>
  <c r="CF12" i="76"/>
  <c r="S10" i="76"/>
  <c r="S12" i="76" s="1"/>
  <c r="JB18" i="27" l="1"/>
  <c r="JB19" i="27" s="1"/>
  <c r="GB26" i="22"/>
  <c r="GB22" i="22"/>
  <c r="GB23" i="22" s="1"/>
  <c r="GB24" i="22" s="1"/>
  <c r="GB19" i="22"/>
  <c r="GB13" i="22"/>
  <c r="GB12" i="22"/>
  <c r="GB11" i="22"/>
  <c r="GB10" i="22"/>
  <c r="AA14" i="69"/>
  <c r="AA15" i="69" s="1"/>
  <c r="AA16" i="69" s="1"/>
  <c r="DW19" i="69"/>
  <c r="DW14" i="69"/>
  <c r="DW15" i="69" s="1"/>
  <c r="DW16" i="69" s="1"/>
  <c r="DW11" i="69"/>
  <c r="DW9" i="69"/>
  <c r="DW14" i="65"/>
  <c r="DW15" i="65" s="1"/>
  <c r="DW16" i="65" s="1"/>
  <c r="DW10" i="65"/>
  <c r="AA14" i="65"/>
  <c r="BP8" i="81"/>
  <c r="BP9" i="81" s="1"/>
  <c r="BP10" i="81" s="1"/>
  <c r="BK8" i="83"/>
  <c r="BK9" i="83" s="1"/>
  <c r="BK10" i="83" s="1"/>
  <c r="GK18" i="27"/>
  <c r="GL18" i="27"/>
  <c r="GM18" i="27"/>
  <c r="GN18" i="27"/>
  <c r="GO18" i="27"/>
  <c r="GP18" i="27"/>
  <c r="GQ18" i="27"/>
  <c r="GR18" i="27"/>
  <c r="GS18" i="27"/>
  <c r="GT18" i="27"/>
  <c r="GU18" i="27"/>
  <c r="GV18" i="27"/>
  <c r="GV19" i="27" s="1"/>
  <c r="GW18" i="27"/>
  <c r="GW19" i="27" s="1"/>
  <c r="GX18" i="27"/>
  <c r="GX19" i="27" s="1"/>
  <c r="GG18" i="27"/>
  <c r="GH18" i="27"/>
  <c r="GI18" i="27"/>
  <c r="GJ18" i="27"/>
  <c r="GX20" i="27"/>
  <c r="GX16" i="27"/>
  <c r="GX8" i="27"/>
  <c r="CE11" i="76"/>
  <c r="CE10" i="76"/>
  <c r="GA26" i="22"/>
  <c r="GA22" i="22"/>
  <c r="GA23" i="22" s="1"/>
  <c r="GA24" i="22" s="1"/>
  <c r="GA19" i="22"/>
  <c r="GA13" i="22"/>
  <c r="GA12" i="22"/>
  <c r="GA11" i="22"/>
  <c r="GA10" i="22"/>
  <c r="DV19" i="69"/>
  <c r="DV14" i="69"/>
  <c r="DV15" i="69" s="1"/>
  <c r="DV16" i="69" s="1"/>
  <c r="DV11" i="69"/>
  <c r="DV9" i="69"/>
  <c r="DV14" i="65"/>
  <c r="DV15" i="65" s="1"/>
  <c r="DV16" i="65" s="1"/>
  <c r="DV10" i="65"/>
  <c r="Z9" i="65"/>
  <c r="BO8" i="81"/>
  <c r="BO9" i="81" s="1"/>
  <c r="BO10" i="81" s="1"/>
  <c r="K7" i="83"/>
  <c r="K8" i="83" s="1"/>
  <c r="K9" i="83" s="1"/>
  <c r="K10" i="83" s="1"/>
  <c r="BJ8" i="83"/>
  <c r="BJ9" i="83" s="1"/>
  <c r="BJ10" i="83" s="1"/>
  <c r="BC12" i="27"/>
  <c r="BC11" i="27"/>
  <c r="BC14" i="27"/>
  <c r="GW20" i="27"/>
  <c r="GW16" i="27"/>
  <c r="GW8" i="27"/>
  <c r="R9" i="76"/>
  <c r="R11" i="76" s="1"/>
  <c r="R6" i="76"/>
  <c r="CD11" i="76"/>
  <c r="CD10" i="76"/>
  <c r="BC18" i="22"/>
  <c r="BC20" i="22"/>
  <c r="FZ26" i="22"/>
  <c r="FZ22" i="22"/>
  <c r="FZ23" i="22" s="1"/>
  <c r="FZ24" i="22" s="1"/>
  <c r="FZ19" i="22"/>
  <c r="FZ13" i="22"/>
  <c r="FZ12" i="22"/>
  <c r="FZ11" i="22"/>
  <c r="FZ10" i="22"/>
  <c r="Z13" i="69"/>
  <c r="Z14" i="69" s="1"/>
  <c r="Z15" i="69" s="1"/>
  <c r="Z16" i="69" s="1"/>
  <c r="DU19" i="69"/>
  <c r="DU14" i="69"/>
  <c r="DU15" i="69" s="1"/>
  <c r="DU16" i="69" s="1"/>
  <c r="DU11" i="69"/>
  <c r="DU9" i="69"/>
  <c r="Z11" i="69"/>
  <c r="Z9" i="69"/>
  <c r="Z13" i="65"/>
  <c r="DU14" i="65"/>
  <c r="DU15" i="65" s="1"/>
  <c r="DU16" i="65" s="1"/>
  <c r="DU10" i="65"/>
  <c r="O7" i="81"/>
  <c r="O8" i="81" s="1"/>
  <c r="O9" i="81" s="1"/>
  <c r="O10" i="81" s="1"/>
  <c r="BN8" i="81"/>
  <c r="BN9" i="81" s="1"/>
  <c r="BN10" i="81" s="1"/>
  <c r="BI8" i="83"/>
  <c r="BI9" i="83" s="1"/>
  <c r="BI10" i="83" s="1"/>
  <c r="GV20" i="27"/>
  <c r="GV16" i="27"/>
  <c r="GV8" i="27"/>
  <c r="CC11" i="76"/>
  <c r="CC10" i="76"/>
  <c r="FY26" i="22"/>
  <c r="FY22" i="22"/>
  <c r="FY23" i="22" s="1"/>
  <c r="FY24" i="22" s="1"/>
  <c r="FY19" i="22"/>
  <c r="FY13" i="22"/>
  <c r="FY12" i="22"/>
  <c r="FY11" i="22"/>
  <c r="FY10" i="22"/>
  <c r="DT19" i="69"/>
  <c r="DT14" i="69"/>
  <c r="DT15" i="69" s="1"/>
  <c r="DT16" i="69" s="1"/>
  <c r="DT11" i="69"/>
  <c r="DT9" i="69"/>
  <c r="DT14" i="65"/>
  <c r="DT15" i="65" s="1"/>
  <c r="DT16" i="65" s="1"/>
  <c r="DT10" i="65"/>
  <c r="JD18" i="27" l="1"/>
  <c r="JD19" i="27" s="1"/>
  <c r="JC18" i="27"/>
  <c r="JC19" i="27" s="1"/>
  <c r="CD12" i="76"/>
  <c r="Z10" i="65"/>
  <c r="CE12" i="76"/>
  <c r="BC19" i="22"/>
  <c r="AA15" i="65"/>
  <c r="AA16" i="65" s="1"/>
  <c r="R10" i="76"/>
  <c r="R12" i="76" s="1"/>
  <c r="CC12" i="76"/>
  <c r="BM8" i="81"/>
  <c r="BM9" i="81" s="1"/>
  <c r="BM10" i="81" s="1"/>
  <c r="BH8" i="83" l="1"/>
  <c r="BH9" i="83" s="1"/>
  <c r="BH10" i="83" s="1"/>
  <c r="Z14" i="65"/>
  <c r="CB11" i="76"/>
  <c r="CB10" i="76"/>
  <c r="CB12" i="76" l="1"/>
  <c r="Z15" i="65"/>
  <c r="Z16" i="65" s="1"/>
  <c r="BC17" i="27"/>
  <c r="GU20" i="27"/>
  <c r="GU19" i="27"/>
  <c r="GU16" i="27"/>
  <c r="GU8" i="27"/>
  <c r="BC28" i="22"/>
  <c r="BC27" i="22"/>
  <c r="BC21" i="22"/>
  <c r="BC23" i="22" s="1"/>
  <c r="BC24" i="22" s="1"/>
  <c r="BC25" i="22" s="1"/>
  <c r="BC13" i="22"/>
  <c r="BC10" i="22"/>
  <c r="BC7" i="22"/>
  <c r="BC12" i="22" s="1"/>
  <c r="FX26" i="22"/>
  <c r="FX22" i="22"/>
  <c r="FX23" i="22" s="1"/>
  <c r="FX24" i="22" s="1"/>
  <c r="FX19" i="22"/>
  <c r="FX13" i="22"/>
  <c r="FX12" i="22"/>
  <c r="FX11" i="22"/>
  <c r="FX10" i="22"/>
  <c r="DS19" i="69"/>
  <c r="DS14" i="69"/>
  <c r="DS15" i="69" s="1"/>
  <c r="DS16" i="69" s="1"/>
  <c r="DS11" i="69"/>
  <c r="DS9" i="69"/>
  <c r="Y9" i="65"/>
  <c r="Y13" i="65"/>
  <c r="DS14" i="65"/>
  <c r="DS15" i="65" s="1"/>
  <c r="DS16" i="65" s="1"/>
  <c r="DS10" i="65"/>
  <c r="BL8" i="81"/>
  <c r="BL9" i="81" s="1"/>
  <c r="BL10" i="81" s="1"/>
  <c r="W7" i="27"/>
  <c r="W8" i="27" s="1"/>
  <c r="W9" i="27" s="1"/>
  <c r="X7" i="27"/>
  <c r="X8" i="27" s="1"/>
  <c r="X9" i="27" s="1"/>
  <c r="Y7" i="27"/>
  <c r="Y8" i="27" s="1"/>
  <c r="Y9" i="27" s="1"/>
  <c r="Z7" i="27"/>
  <c r="Z8" i="27" s="1"/>
  <c r="Z9" i="27" s="1"/>
  <c r="AA7" i="27"/>
  <c r="AA8" i="27" s="1"/>
  <c r="AC7" i="27"/>
  <c r="AK7" i="27"/>
  <c r="DA7" i="27"/>
  <c r="DB7" i="27"/>
  <c r="DC7" i="27"/>
  <c r="DD7" i="27"/>
  <c r="DE7" i="27"/>
  <c r="DF7" i="27"/>
  <c r="DG7" i="27"/>
  <c r="DH7" i="27"/>
  <c r="DI7" i="27"/>
  <c r="DJ7" i="27"/>
  <c r="DK7" i="27"/>
  <c r="DL7" i="27"/>
  <c r="DM7" i="27"/>
  <c r="DN7" i="27"/>
  <c r="DO7" i="27"/>
  <c r="DP7" i="27"/>
  <c r="ED7" i="27"/>
  <c r="EE7" i="27"/>
  <c r="EF7" i="27"/>
  <c r="EG7" i="27"/>
  <c r="EH7" i="27"/>
  <c r="EI7" i="27"/>
  <c r="EJ7" i="27"/>
  <c r="EK7" i="27"/>
  <c r="EK8" i="27" s="1"/>
  <c r="AM8" i="27" s="1"/>
  <c r="AM9" i="27" s="1"/>
  <c r="EL7" i="27"/>
  <c r="EM7" i="27"/>
  <c r="EM8" i="27" s="1"/>
  <c r="EN7" i="27"/>
  <c r="EN8" i="27" s="1"/>
  <c r="EO7" i="27"/>
  <c r="EO8" i="27" s="1"/>
  <c r="EP7" i="27"/>
  <c r="EQ7" i="27"/>
  <c r="EQ8" i="27" s="1"/>
  <c r="ER7" i="27"/>
  <c r="ER8" i="27" s="1"/>
  <c r="ES7" i="27"/>
  <c r="ES8" i="27" s="1"/>
  <c r="ET7" i="27"/>
  <c r="ET8" i="27" s="1"/>
  <c r="EU7" i="27"/>
  <c r="EU8" i="27" s="1"/>
  <c r="EV7" i="27"/>
  <c r="EV8" i="27" s="1"/>
  <c r="EW7" i="27"/>
  <c r="EW8" i="27" s="1"/>
  <c r="EX7" i="27"/>
  <c r="EX8" i="27" s="1"/>
  <c r="EY7" i="27"/>
  <c r="EZ7" i="27"/>
  <c r="EZ8" i="27" s="1"/>
  <c r="FA7" i="27"/>
  <c r="FA8" i="27" s="1"/>
  <c r="FB7" i="27"/>
  <c r="FB8" i="27" s="1"/>
  <c r="FC7" i="27"/>
  <c r="FD7" i="27"/>
  <c r="FD8" i="27" s="1"/>
  <c r="FE7" i="27"/>
  <c r="FE8" i="27" s="1"/>
  <c r="FF7" i="27"/>
  <c r="FF8" i="27" s="1"/>
  <c r="FG7" i="27"/>
  <c r="FH7" i="27"/>
  <c r="FH8" i="27" s="1"/>
  <c r="FI7" i="27"/>
  <c r="FI8" i="27" s="1"/>
  <c r="FJ7" i="27"/>
  <c r="FJ8" i="27" s="1"/>
  <c r="FK7" i="27"/>
  <c r="FK8" i="27" s="1"/>
  <c r="FL7" i="27"/>
  <c r="FL8" i="27" s="1"/>
  <c r="AT8" i="27" s="1"/>
  <c r="FM7" i="27"/>
  <c r="FM8" i="27" s="1"/>
  <c r="AU8" i="27" s="1"/>
  <c r="FN7" i="27"/>
  <c r="FN8" i="27" s="1"/>
  <c r="AV8" i="27" s="1"/>
  <c r="FO7" i="27"/>
  <c r="FO8" i="27" s="1"/>
  <c r="AW8" i="27" s="1"/>
  <c r="FP7" i="27"/>
  <c r="FP8" i="27" s="1"/>
  <c r="AX8" i="27" s="1"/>
  <c r="FQ7" i="27"/>
  <c r="FQ8" i="27" s="1"/>
  <c r="AY8" i="27" s="1"/>
  <c r="FR7" i="27"/>
  <c r="FR8" i="27" s="1"/>
  <c r="AZ8" i="27" s="1"/>
  <c r="FS7" i="27"/>
  <c r="FS8" i="27" s="1"/>
  <c r="BA8" i="27" s="1"/>
  <c r="FT7" i="27"/>
  <c r="FT8" i="27" s="1"/>
  <c r="BB8" i="27" s="1"/>
  <c r="FU7" i="27"/>
  <c r="FU8" i="27" s="1"/>
  <c r="BC8" i="27" s="1"/>
  <c r="FV7" i="27"/>
  <c r="FV8" i="27" s="1"/>
  <c r="BD8" i="27" s="1"/>
  <c r="FW7" i="27"/>
  <c r="FW8" i="27" s="1"/>
  <c r="BE8" i="27" s="1"/>
  <c r="FX7" i="27"/>
  <c r="FX8" i="27" s="1"/>
  <c r="BF8" i="27" s="1"/>
  <c r="FY7" i="27"/>
  <c r="FY8" i="27" s="1"/>
  <c r="BG8" i="27" s="1"/>
  <c r="FZ7" i="27"/>
  <c r="FZ8" i="27" s="1"/>
  <c r="BH8" i="27" s="1"/>
  <c r="GA7" i="27"/>
  <c r="GA8" i="27" s="1"/>
  <c r="BI8" i="27" s="1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V9" i="27" s="1"/>
  <c r="AD8" i="27"/>
  <c r="AD9" i="27" s="1"/>
  <c r="AE8" i="27"/>
  <c r="AE9" i="27" s="1"/>
  <c r="AF8" i="27"/>
  <c r="AF9" i="27" s="1"/>
  <c r="AG8" i="27"/>
  <c r="AG9" i="27" s="1"/>
  <c r="AH8" i="27"/>
  <c r="AH9" i="27" s="1"/>
  <c r="AI8" i="27"/>
  <c r="AI9" i="27" s="1"/>
  <c r="AJ8" i="27"/>
  <c r="AJ9" i="27" s="1"/>
  <c r="AK8" i="27"/>
  <c r="AK9" i="27" s="1"/>
  <c r="AL8" i="27"/>
  <c r="AL9" i="27" s="1"/>
  <c r="DQ8" i="27"/>
  <c r="DQ9" i="27" s="1"/>
  <c r="DR8" i="27"/>
  <c r="DR9" i="27" s="1"/>
  <c r="DS8" i="27"/>
  <c r="DS9" i="27" s="1"/>
  <c r="DT8" i="27"/>
  <c r="DT9" i="27" s="1"/>
  <c r="GB8" i="27"/>
  <c r="BJ8" i="27" s="1"/>
  <c r="GC8" i="27"/>
  <c r="BK8" i="27" s="1"/>
  <c r="GD8" i="27"/>
  <c r="BL8" i="27" s="1"/>
  <c r="GE8" i="27"/>
  <c r="BM8" i="27" s="1"/>
  <c r="GF8" i="27"/>
  <c r="BN8" i="27" s="1"/>
  <c r="GG8" i="27"/>
  <c r="BO8" i="27" s="1"/>
  <c r="GH8" i="27"/>
  <c r="BP8" i="27" s="1"/>
  <c r="GI8" i="27"/>
  <c r="BQ8" i="27" s="1"/>
  <c r="GJ8" i="27"/>
  <c r="BR8" i="27" s="1"/>
  <c r="GK8" i="27"/>
  <c r="BS8" i="27" s="1"/>
  <c r="GL8" i="27"/>
  <c r="BT8" i="27" s="1"/>
  <c r="GM8" i="27"/>
  <c r="BU8" i="27" s="1"/>
  <c r="GN8" i="27"/>
  <c r="BV8" i="27" s="1"/>
  <c r="GO8" i="27"/>
  <c r="BW8" i="27" s="1"/>
  <c r="GP8" i="27"/>
  <c r="BX8" i="27" s="1"/>
  <c r="GQ8" i="27"/>
  <c r="BY8" i="27" s="1"/>
  <c r="GR8" i="27"/>
  <c r="GS8" i="27"/>
  <c r="GT8" i="27"/>
  <c r="AC9" i="27"/>
  <c r="FA9" i="27"/>
  <c r="BC18" i="27" l="1"/>
  <c r="BC19" i="27" s="1"/>
  <c r="AZ7" i="27"/>
  <c r="AY7" i="27"/>
  <c r="AX7" i="27"/>
  <c r="AL7" i="27"/>
  <c r="AW7" i="27"/>
  <c r="AU7" i="27"/>
  <c r="AT7" i="27"/>
  <c r="BC16" i="27"/>
  <c r="AV7" i="27"/>
  <c r="AM7" i="27"/>
  <c r="AP8" i="27"/>
  <c r="AS7" i="27"/>
  <c r="AR7" i="27"/>
  <c r="AN7" i="27"/>
  <c r="AQ7" i="27"/>
  <c r="AP7" i="27"/>
  <c r="AO7" i="27"/>
  <c r="BA7" i="27"/>
  <c r="FG8" i="27"/>
  <c r="AS8" i="27" s="1"/>
  <c r="EP8" i="27"/>
  <c r="AO8" i="27" s="1"/>
  <c r="FC8" i="27"/>
  <c r="AR8" i="27" s="1"/>
  <c r="EL8" i="27"/>
  <c r="AN8" i="27" s="1"/>
  <c r="EY8" i="27"/>
  <c r="AQ8" i="27" s="1"/>
  <c r="BG8" i="83" l="1"/>
  <c r="BG9" i="83" s="1"/>
  <c r="BG10" i="83" s="1"/>
  <c r="ED17" i="27"/>
  <c r="GT20" i="27"/>
  <c r="GT19" i="27"/>
  <c r="GT16" i="27"/>
  <c r="CA11" i="76"/>
  <c r="CA10" i="76"/>
  <c r="FW26" i="22"/>
  <c r="FW22" i="22"/>
  <c r="FW23" i="22" s="1"/>
  <c r="FW24" i="22" s="1"/>
  <c r="FW19" i="22"/>
  <c r="FW13" i="22"/>
  <c r="FW12" i="22"/>
  <c r="FW11" i="22"/>
  <c r="FW10" i="22"/>
  <c r="DP11" i="69"/>
  <c r="DQ11" i="69"/>
  <c r="DR11" i="69"/>
  <c r="DR19" i="69"/>
  <c r="DR14" i="69"/>
  <c r="DR15" i="69" s="1"/>
  <c r="DR16" i="69" s="1"/>
  <c r="DR9" i="69"/>
  <c r="DR14" i="65"/>
  <c r="DR15" i="65" s="1"/>
  <c r="DR16" i="65" s="1"/>
  <c r="DR10" i="65"/>
  <c r="BK8" i="81"/>
  <c r="BK9" i="81" s="1"/>
  <c r="BK10" i="81" s="1"/>
  <c r="BF8" i="83"/>
  <c r="BF9" i="83" s="1"/>
  <c r="BF10" i="83" s="1"/>
  <c r="GS20" i="27"/>
  <c r="GS19" i="27"/>
  <c r="GS16" i="27"/>
  <c r="BZ11" i="76"/>
  <c r="BZ10" i="76"/>
  <c r="FV19" i="22"/>
  <c r="FV26" i="22"/>
  <c r="FV22" i="22"/>
  <c r="FV23" i="22" s="1"/>
  <c r="FV24" i="22" s="1"/>
  <c r="FV13" i="22"/>
  <c r="FV12" i="22"/>
  <c r="FV11" i="22"/>
  <c r="FV10" i="22"/>
  <c r="DQ19" i="69"/>
  <c r="DQ14" i="69"/>
  <c r="DQ15" i="69" s="1"/>
  <c r="DQ16" i="69" s="1"/>
  <c r="DQ9" i="69"/>
  <c r="DQ14" i="65"/>
  <c r="DQ15" i="65" s="1"/>
  <c r="DQ16" i="65" s="1"/>
  <c r="DQ10" i="65"/>
  <c r="BJ8" i="81"/>
  <c r="BJ9" i="81" s="1"/>
  <c r="BJ10" i="81" s="1"/>
  <c r="BE8" i="83"/>
  <c r="BE9" i="83" s="1"/>
  <c r="BE10" i="83" s="1"/>
  <c r="FU19" i="22"/>
  <c r="GQ16" i="27"/>
  <c r="CA12" i="76" l="1"/>
  <c r="BZ12" i="76"/>
  <c r="BB14" i="27"/>
  <c r="BB16" i="27" s="1"/>
  <c r="BB12" i="27"/>
  <c r="BB11" i="27"/>
  <c r="BA11" i="27"/>
  <c r="GR20" i="27"/>
  <c r="GR19" i="27"/>
  <c r="GR16" i="27"/>
  <c r="BB17" i="27" l="1"/>
  <c r="Q9" i="76"/>
  <c r="Q8" i="76"/>
  <c r="P8" i="76"/>
  <c r="BY11" i="76"/>
  <c r="BY10" i="76"/>
  <c r="BB28" i="22"/>
  <c r="BB27" i="22"/>
  <c r="BB17" i="22"/>
  <c r="BB18" i="22"/>
  <c r="BB19" i="22"/>
  <c r="BB20" i="22"/>
  <c r="BB21" i="22" s="1"/>
  <c r="BB23" i="22" s="1"/>
  <c r="BB24" i="22" s="1"/>
  <c r="BB25" i="22" s="1"/>
  <c r="BB16" i="22"/>
  <c r="BA16" i="22"/>
  <c r="FU26" i="22"/>
  <c r="FU22" i="22"/>
  <c r="FU23" i="22" s="1"/>
  <c r="FU24" i="22" s="1"/>
  <c r="Y13" i="69"/>
  <c r="Y14" i="69" s="1"/>
  <c r="Y15" i="69" s="1"/>
  <c r="Y16" i="69" s="1"/>
  <c r="Y11" i="69"/>
  <c r="Y9" i="69"/>
  <c r="DP19" i="69"/>
  <c r="DP14" i="69"/>
  <c r="DP15" i="69" s="1"/>
  <c r="DP16" i="69" s="1"/>
  <c r="Y14" i="65"/>
  <c r="Y15" i="65" s="1"/>
  <c r="Y16" i="65" s="1"/>
  <c r="DP14" i="65"/>
  <c r="DP15" i="65" s="1"/>
  <c r="DP16" i="65" s="1"/>
  <c r="N7" i="81"/>
  <c r="N8" i="81" s="1"/>
  <c r="N9" i="81" s="1"/>
  <c r="N10" i="81" s="1"/>
  <c r="BI8" i="81"/>
  <c r="BI9" i="81" s="1"/>
  <c r="BI10" i="81" s="1"/>
  <c r="BD8" i="83"/>
  <c r="BD9" i="83" s="1"/>
  <c r="BD10" i="83" s="1"/>
  <c r="J7" i="83"/>
  <c r="J8" i="83" s="1"/>
  <c r="J9" i="83" s="1"/>
  <c r="J10" i="83" s="1"/>
  <c r="FS26" i="22"/>
  <c r="FR26" i="22"/>
  <c r="BB18" i="27" l="1"/>
  <c r="BB19" i="27" s="1"/>
  <c r="Q10" i="76"/>
  <c r="Q11" i="76"/>
  <c r="BY12" i="76"/>
  <c r="DP10" i="65"/>
  <c r="Y10" i="65" s="1"/>
  <c r="DP9" i="69"/>
  <c r="BB13" i="22"/>
  <c r="BB10" i="22"/>
  <c r="BB7" i="22"/>
  <c r="BB12" i="22" s="1"/>
  <c r="Q12" i="76" l="1"/>
  <c r="FU13" i="22"/>
  <c r="FU12" i="22"/>
  <c r="FU11" i="22"/>
  <c r="FU10" i="22"/>
  <c r="Q6" i="76"/>
  <c r="FT19" i="22" l="1"/>
  <c r="FS19" i="22" l="1"/>
  <c r="BA14" i="27"/>
  <c r="BA12" i="27"/>
  <c r="GQ22" i="27"/>
  <c r="GQ20" i="27"/>
  <c r="GQ19" i="27"/>
  <c r="GP22" i="27"/>
  <c r="GP20" i="27"/>
  <c r="GP19" i="27"/>
  <c r="GP16" i="27"/>
  <c r="GO22" i="27"/>
  <c r="GO20" i="27"/>
  <c r="GO19" i="27"/>
  <c r="GO16" i="27"/>
  <c r="P9" i="76"/>
  <c r="BX11" i="76"/>
  <c r="BX10" i="76"/>
  <c r="BW11" i="76"/>
  <c r="BW10" i="76"/>
  <c r="BV11" i="76"/>
  <c r="BV10" i="76"/>
  <c r="BA17" i="22"/>
  <c r="BA18" i="22"/>
  <c r="BA20" i="22"/>
  <c r="FT26" i="22"/>
  <c r="FT22" i="22"/>
  <c r="FT23" i="22" s="1"/>
  <c r="FT24" i="22" s="1"/>
  <c r="FT13" i="22"/>
  <c r="FT11" i="22"/>
  <c r="FT10" i="22"/>
  <c r="FT7" i="22"/>
  <c r="FT12" i="22" s="1"/>
  <c r="FS22" i="22"/>
  <c r="FS23" i="22" s="1"/>
  <c r="FS24" i="22" s="1"/>
  <c r="FS13" i="22"/>
  <c r="FS11" i="22"/>
  <c r="FS10" i="22"/>
  <c r="FS7" i="22"/>
  <c r="FS12" i="22" s="1"/>
  <c r="FR22" i="22"/>
  <c r="FR23" i="22" s="1"/>
  <c r="FR24" i="22" s="1"/>
  <c r="FR19" i="22"/>
  <c r="FR13" i="22"/>
  <c r="FR11" i="22"/>
  <c r="FR10" i="22"/>
  <c r="FR7" i="22"/>
  <c r="FR12" i="22" s="1"/>
  <c r="X13" i="69"/>
  <c r="DO19" i="69"/>
  <c r="DO14" i="69"/>
  <c r="DO15" i="69" s="1"/>
  <c r="DO16" i="69" s="1"/>
  <c r="DO11" i="69"/>
  <c r="DO9" i="69"/>
  <c r="DN19" i="69"/>
  <c r="DN14" i="69"/>
  <c r="DN15" i="69" s="1"/>
  <c r="DN16" i="69" s="1"/>
  <c r="DN11" i="69"/>
  <c r="DN9" i="69"/>
  <c r="DM19" i="69"/>
  <c r="DM14" i="69"/>
  <c r="DM15" i="69" s="1"/>
  <c r="DM16" i="69" s="1"/>
  <c r="DM11" i="69"/>
  <c r="DM9" i="69"/>
  <c r="X13" i="65"/>
  <c r="X14" i="65" s="1"/>
  <c r="X9" i="65"/>
  <c r="DO14" i="65"/>
  <c r="DO15" i="65" s="1"/>
  <c r="DO16" i="65" s="1"/>
  <c r="DO10" i="65"/>
  <c r="DN14" i="65"/>
  <c r="DN15" i="65" s="1"/>
  <c r="DN16" i="65" s="1"/>
  <c r="DN10" i="65"/>
  <c r="DM14" i="65"/>
  <c r="DM15" i="65" s="1"/>
  <c r="DM16" i="65" s="1"/>
  <c r="DM10" i="65"/>
  <c r="M7" i="81"/>
  <c r="BH8" i="81"/>
  <c r="BH9" i="81" s="1"/>
  <c r="BH10" i="81" s="1"/>
  <c r="BG8" i="81"/>
  <c r="BG9" i="81" s="1"/>
  <c r="BG10" i="81" s="1"/>
  <c r="BF8" i="81"/>
  <c r="BF9" i="81" s="1"/>
  <c r="BF10" i="81" s="1"/>
  <c r="I7" i="83"/>
  <c r="BC8" i="83"/>
  <c r="BC9" i="83" s="1"/>
  <c r="BC10" i="83" s="1"/>
  <c r="BB8" i="83"/>
  <c r="BB9" i="83" s="1"/>
  <c r="BB10" i="83" s="1"/>
  <c r="BA8" i="83"/>
  <c r="BA9" i="83" s="1"/>
  <c r="BA10" i="83" s="1"/>
  <c r="BX12" i="76" l="1"/>
  <c r="BV12" i="76"/>
  <c r="BW12" i="76"/>
  <c r="BU11" i="76"/>
  <c r="BU10" i="76"/>
  <c r="BU12" i="76" l="1"/>
  <c r="M8" i="81"/>
  <c r="M9" i="81" s="1"/>
  <c r="M10" i="81" s="1"/>
  <c r="BE8" i="81"/>
  <c r="BE9" i="81" s="1"/>
  <c r="BE10" i="81" s="1"/>
  <c r="I8" i="83"/>
  <c r="I9" i="83" s="1"/>
  <c r="I10" i="83" s="1"/>
  <c r="AZ8" i="83"/>
  <c r="AZ9" i="83" s="1"/>
  <c r="AZ10" i="83" s="1"/>
  <c r="AZ14" i="27" l="1"/>
  <c r="AZ12" i="27"/>
  <c r="AZ11" i="27"/>
  <c r="BA16" i="27"/>
  <c r="GN22" i="27"/>
  <c r="GN20" i="27"/>
  <c r="GN19" i="27"/>
  <c r="GN16" i="27"/>
  <c r="P11" i="76"/>
  <c r="P6" i="76"/>
  <c r="P10" i="76" l="1"/>
  <c r="P12" i="76" s="1"/>
  <c r="BA17" i="27"/>
  <c r="BA18" i="27" s="1"/>
  <c r="BA21" i="22" l="1"/>
  <c r="BA23" i="22" s="1"/>
  <c r="BA24" i="22" s="1"/>
  <c r="BA25" i="22" s="1"/>
  <c r="BA28" i="22"/>
  <c r="BA27" i="22"/>
  <c r="BA13" i="22"/>
  <c r="BA10" i="22"/>
  <c r="BA7" i="22"/>
  <c r="BA12" i="22" s="1"/>
  <c r="FQ22" i="22"/>
  <c r="FQ23" i="22" s="1"/>
  <c r="FQ24" i="22" s="1"/>
  <c r="FQ19" i="22"/>
  <c r="BA19" i="22" s="1"/>
  <c r="FQ13" i="22"/>
  <c r="FQ11" i="22"/>
  <c r="FQ10" i="22"/>
  <c r="FQ7" i="22"/>
  <c r="FQ12" i="22" s="1"/>
  <c r="X14" i="69"/>
  <c r="X15" i="69" s="1"/>
  <c r="X16" i="69" s="1"/>
  <c r="DL19" i="69"/>
  <c r="DL14" i="69"/>
  <c r="DL15" i="69" s="1"/>
  <c r="DL16" i="69" s="1"/>
  <c r="DL11" i="69"/>
  <c r="DL9" i="69"/>
  <c r="X11" i="69"/>
  <c r="X9" i="69"/>
  <c r="DL14" i="65"/>
  <c r="DL15" i="65" s="1"/>
  <c r="DL16" i="65" s="1"/>
  <c r="DL10" i="65"/>
  <c r="X10" i="65" s="1"/>
  <c r="GM22" i="27"/>
  <c r="GM20" i="27"/>
  <c r="GM19" i="27"/>
  <c r="GM16" i="27"/>
  <c r="O9" i="76"/>
  <c r="O8" i="76"/>
  <c r="BT11" i="76"/>
  <c r="BT10" i="76"/>
  <c r="FP11" i="22"/>
  <c r="FP10" i="22"/>
  <c r="FP7" i="22"/>
  <c r="FP12" i="22" s="1"/>
  <c r="FP13" i="22"/>
  <c r="AZ17" i="22"/>
  <c r="AZ18" i="22"/>
  <c r="AZ20" i="22"/>
  <c r="AZ16" i="22"/>
  <c r="FP22" i="22"/>
  <c r="FP23" i="22" s="1"/>
  <c r="FP24" i="22" s="1"/>
  <c r="FP19" i="22"/>
  <c r="DK14" i="69"/>
  <c r="DK15" i="69" s="1"/>
  <c r="DK16" i="69" s="1"/>
  <c r="DK19" i="69"/>
  <c r="W13" i="69"/>
  <c r="DK11" i="69"/>
  <c r="DK9" i="69"/>
  <c r="W13" i="65"/>
  <c r="W12" i="65"/>
  <c r="W11" i="65"/>
  <c r="W9" i="65"/>
  <c r="DK14" i="65"/>
  <c r="DK15" i="65" s="1"/>
  <c r="DK16" i="65" s="1"/>
  <c r="DK10" i="65"/>
  <c r="BD8" i="81"/>
  <c r="BD9" i="81" s="1"/>
  <c r="BD10" i="81" s="1"/>
  <c r="L7" i="81"/>
  <c r="AY8" i="83"/>
  <c r="AY9" i="83" s="1"/>
  <c r="AY10" i="83" s="1"/>
  <c r="H7" i="83"/>
  <c r="GL22" i="27"/>
  <c r="GL20" i="27"/>
  <c r="GL19" i="27"/>
  <c r="GL16" i="27"/>
  <c r="BS11" i="76"/>
  <c r="BS10" i="76"/>
  <c r="BT12" i="76" l="1"/>
  <c r="X15" i="65"/>
  <c r="X16" i="65" s="1"/>
  <c r="BS12" i="76"/>
  <c r="FO22" i="22"/>
  <c r="FO23" i="22" s="1"/>
  <c r="FO24" i="22" s="1"/>
  <c r="FO19" i="22"/>
  <c r="FO13" i="22"/>
  <c r="FO11" i="22"/>
  <c r="FO10" i="22"/>
  <c r="FO7" i="22"/>
  <c r="FO12" i="22" s="1"/>
  <c r="DJ19" i="69"/>
  <c r="DJ14" i="69"/>
  <c r="DJ15" i="69" s="1"/>
  <c r="DJ16" i="69" s="1"/>
  <c r="DJ11" i="69"/>
  <c r="DJ9" i="69"/>
  <c r="DJ18" i="65"/>
  <c r="DJ14" i="65"/>
  <c r="DJ15" i="65" s="1"/>
  <c r="DJ16" i="65" s="1"/>
  <c r="DJ10" i="65"/>
  <c r="BC8" i="81"/>
  <c r="BC9" i="81" s="1"/>
  <c r="BC10" i="81" s="1"/>
  <c r="AX8" i="83"/>
  <c r="AX9" i="83" s="1"/>
  <c r="AX10" i="83" s="1"/>
  <c r="GK22" i="27"/>
  <c r="GK20" i="27"/>
  <c r="GK19" i="27"/>
  <c r="GK16" i="27"/>
  <c r="O11" i="76"/>
  <c r="BR11" i="76"/>
  <c r="BR10" i="76"/>
  <c r="FN22" i="22"/>
  <c r="FN23" i="22" s="1"/>
  <c r="FN24" i="22" s="1"/>
  <c r="FN19" i="22"/>
  <c r="FN13" i="22"/>
  <c r="FN11" i="22"/>
  <c r="FN10" i="22"/>
  <c r="FN7" i="22"/>
  <c r="FN12" i="22" s="1"/>
  <c r="DI19" i="69"/>
  <c r="DI14" i="69"/>
  <c r="DI15" i="69" s="1"/>
  <c r="DI16" i="69" s="1"/>
  <c r="DI11" i="69"/>
  <c r="DI9" i="69"/>
  <c r="DI18" i="65"/>
  <c r="DI14" i="65"/>
  <c r="DI15" i="65" s="1"/>
  <c r="DI16" i="65" s="1"/>
  <c r="DI10" i="65"/>
  <c r="BB8" i="81"/>
  <c r="BB9" i="81" s="1"/>
  <c r="BB10" i="81" s="1"/>
  <c r="AW8" i="83"/>
  <c r="AW9" i="83" s="1"/>
  <c r="AW10" i="83" s="1"/>
  <c r="AY14" i="27"/>
  <c r="AY12" i="27"/>
  <c r="AY11" i="27"/>
  <c r="N9" i="76"/>
  <c r="N11" i="76" s="1"/>
  <c r="N8" i="76"/>
  <c r="O6" i="76"/>
  <c r="BQ11" i="76"/>
  <c r="BP11" i="76"/>
  <c r="BQ10" i="76"/>
  <c r="BP10" i="76"/>
  <c r="GJ22" i="27"/>
  <c r="GI22" i="27"/>
  <c r="GJ20" i="27"/>
  <c r="GI20" i="27"/>
  <c r="GJ19" i="27"/>
  <c r="GI19" i="27"/>
  <c r="GJ16" i="27"/>
  <c r="GI16" i="27"/>
  <c r="AY17" i="22"/>
  <c r="AY18" i="22"/>
  <c r="AY20" i="22"/>
  <c r="AY16" i="22"/>
  <c r="FM22" i="22"/>
  <c r="FM23" i="22" s="1"/>
  <c r="FM24" i="22" s="1"/>
  <c r="FL22" i="22"/>
  <c r="FL23" i="22" s="1"/>
  <c r="FL24" i="22" s="1"/>
  <c r="FM19" i="22"/>
  <c r="FL19" i="22"/>
  <c r="FM13" i="22"/>
  <c r="FL13" i="22"/>
  <c r="FM11" i="22"/>
  <c r="FL11" i="22"/>
  <c r="FM10" i="22"/>
  <c r="FL10" i="22"/>
  <c r="FM7" i="22"/>
  <c r="FM12" i="22" s="1"/>
  <c r="FL7" i="22"/>
  <c r="FL12" i="22" s="1"/>
  <c r="V13" i="69"/>
  <c r="BQ12" i="76" l="1"/>
  <c r="AZ19" i="22"/>
  <c r="BR12" i="76"/>
  <c r="BP12" i="76"/>
  <c r="O10" i="76"/>
  <c r="O12" i="76" s="1"/>
  <c r="DB19" i="69"/>
  <c r="DC19" i="69"/>
  <c r="DD19" i="69"/>
  <c r="DE19" i="69"/>
  <c r="DF19" i="69"/>
  <c r="DG19" i="69"/>
  <c r="DH19" i="69"/>
  <c r="DA19" i="69"/>
  <c r="DH14" i="69"/>
  <c r="DH15" i="69" s="1"/>
  <c r="DH16" i="69" s="1"/>
  <c r="DH11" i="69"/>
  <c r="DH9" i="69"/>
  <c r="DG22" i="69"/>
  <c r="DG14" i="69"/>
  <c r="DG15" i="69" s="1"/>
  <c r="DG16" i="69" s="1"/>
  <c r="DG11" i="69"/>
  <c r="DG9" i="69"/>
  <c r="DF18" i="65"/>
  <c r="DG18" i="65"/>
  <c r="DH18" i="65"/>
  <c r="DE18" i="65"/>
  <c r="V13" i="65"/>
  <c r="V12" i="65"/>
  <c r="V11" i="65"/>
  <c r="V9" i="65"/>
  <c r="DH14" i="65"/>
  <c r="DH15" i="65" s="1"/>
  <c r="DH16" i="65" s="1"/>
  <c r="DG14" i="65"/>
  <c r="DG15" i="65" s="1"/>
  <c r="DG16" i="65" s="1"/>
  <c r="DH10" i="65"/>
  <c r="W10" i="65" s="1"/>
  <c r="DG10" i="65"/>
  <c r="L8" i="81"/>
  <c r="L9" i="81" s="1"/>
  <c r="L10" i="81" s="1"/>
  <c r="K7" i="81"/>
  <c r="BA8" i="81"/>
  <c r="BA9" i="81" s="1"/>
  <c r="BA10" i="81" s="1"/>
  <c r="AZ8" i="81"/>
  <c r="AZ9" i="81" s="1"/>
  <c r="AZ10" i="81" s="1"/>
  <c r="H8" i="83"/>
  <c r="H9" i="83" s="1"/>
  <c r="H10" i="83" s="1"/>
  <c r="G7" i="83"/>
  <c r="AV8" i="83"/>
  <c r="AV9" i="83" s="1"/>
  <c r="AV10" i="83" s="1"/>
  <c r="AU8" i="83"/>
  <c r="AU9" i="83" s="1"/>
  <c r="AU10" i="83" s="1"/>
  <c r="W14" i="65" l="1"/>
  <c r="W14" i="69"/>
  <c r="W15" i="69" s="1"/>
  <c r="W16" i="69" s="1"/>
  <c r="W11" i="69"/>
  <c r="W9" i="69"/>
  <c r="AZ28" i="22"/>
  <c r="AZ27" i="22"/>
  <c r="AZ21" i="22"/>
  <c r="AZ23" i="22" s="1"/>
  <c r="AZ24" i="22" s="1"/>
  <c r="AZ25" i="22" s="1"/>
  <c r="AZ13" i="22"/>
  <c r="AZ10" i="22"/>
  <c r="AZ7" i="22"/>
  <c r="AZ12" i="22" s="1"/>
  <c r="AZ17" i="27"/>
  <c r="AZ18" i="27" s="1"/>
  <c r="GH22" i="27"/>
  <c r="GH20" i="27"/>
  <c r="GH19" i="27"/>
  <c r="GH16" i="27"/>
  <c r="BO11" i="76"/>
  <c r="BO10" i="76"/>
  <c r="W15" i="65" l="1"/>
  <c r="W16" i="65" s="1"/>
  <c r="AZ16" i="27"/>
  <c r="BO12" i="76"/>
  <c r="FK22" i="22" l="1"/>
  <c r="FK23" i="22" s="1"/>
  <c r="FK24" i="22" s="1"/>
  <c r="FK19" i="22"/>
  <c r="FK13" i="22"/>
  <c r="FK11" i="22"/>
  <c r="FK10" i="22"/>
  <c r="FK7" i="22"/>
  <c r="FK12" i="22" s="1"/>
  <c r="DF22" i="69"/>
  <c r="DF14" i="69"/>
  <c r="DF15" i="69" s="1"/>
  <c r="DF16" i="69" s="1"/>
  <c r="DF11" i="69"/>
  <c r="DF9" i="69"/>
  <c r="DF14" i="65"/>
  <c r="DF15" i="65" s="1"/>
  <c r="DF16" i="65" s="1"/>
  <c r="DF10" i="65"/>
  <c r="AY8" i="81"/>
  <c r="AY9" i="81" s="1"/>
  <c r="AY10" i="81" s="1"/>
  <c r="AT8" i="83"/>
  <c r="AT9" i="83" s="1"/>
  <c r="AT10" i="83" s="1"/>
  <c r="DH10" i="22" l="1"/>
  <c r="DI10" i="22"/>
  <c r="DJ10" i="22"/>
  <c r="DK10" i="22"/>
  <c r="DL10" i="22"/>
  <c r="DM10" i="22"/>
  <c r="DN10" i="22"/>
  <c r="DO10" i="22"/>
  <c r="DP10" i="22"/>
  <c r="DQ10" i="22"/>
  <c r="DR10" i="22"/>
  <c r="DS10" i="22"/>
  <c r="DT10" i="22"/>
  <c r="DU10" i="22"/>
  <c r="DV10" i="22"/>
  <c r="DW10" i="22"/>
  <c r="DX10" i="22"/>
  <c r="DY10" i="22"/>
  <c r="DZ10" i="22"/>
  <c r="EA10" i="22"/>
  <c r="EB10" i="22"/>
  <c r="EC10" i="22"/>
  <c r="ED10" i="22"/>
  <c r="EE10" i="22"/>
  <c r="EF10" i="22"/>
  <c r="EG10" i="22"/>
  <c r="EH10" i="22"/>
  <c r="EI10" i="22"/>
  <c r="EJ10" i="22"/>
  <c r="EK10" i="22"/>
  <c r="EL10" i="22"/>
  <c r="EM10" i="22"/>
  <c r="EN10" i="22"/>
  <c r="EO10" i="22"/>
  <c r="EP10" i="22"/>
  <c r="EQ10" i="22"/>
  <c r="ER10" i="22"/>
  <c r="ES10" i="22"/>
  <c r="ET10" i="22"/>
  <c r="EU10" i="22"/>
  <c r="EV10" i="22"/>
  <c r="EW10" i="22"/>
  <c r="EX10" i="22"/>
  <c r="EY10" i="22"/>
  <c r="EZ10" i="22"/>
  <c r="FA10" i="22"/>
  <c r="FB10" i="22"/>
  <c r="FC10" i="22"/>
  <c r="FD10" i="22"/>
  <c r="FE10" i="22"/>
  <c r="FF10" i="22"/>
  <c r="FG10" i="22"/>
  <c r="FH10" i="22"/>
  <c r="FI10" i="22"/>
  <c r="FJ10" i="22"/>
  <c r="DG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L10" i="22"/>
  <c r="AY21" i="22"/>
  <c r="AY23" i="22" s="1"/>
  <c r="AY24" i="22" s="1"/>
  <c r="AY25" i="22" s="1"/>
  <c r="FJ22" i="22"/>
  <c r="FJ23" i="22" s="1"/>
  <c r="FJ24" i="22" s="1"/>
  <c r="FJ19" i="22"/>
  <c r="AY19" i="22" s="1"/>
  <c r="FJ13" i="22"/>
  <c r="FJ11" i="22"/>
  <c r="FJ7" i="22"/>
  <c r="FJ12" i="22" s="1"/>
  <c r="AY28" i="22"/>
  <c r="AY27" i="22"/>
  <c r="AY13" i="22"/>
  <c r="AY7" i="22"/>
  <c r="AY12" i="22" s="1"/>
  <c r="N6" i="76"/>
  <c r="GG22" i="27"/>
  <c r="GG20" i="27"/>
  <c r="GG16" i="27"/>
  <c r="AY17" i="27"/>
  <c r="AY18" i="27" s="1"/>
  <c r="BN6" i="76"/>
  <c r="N10" i="76"/>
  <c r="N12" i="76" s="1"/>
  <c r="BN11" i="76"/>
  <c r="BN10" i="76"/>
  <c r="AT11" i="76"/>
  <c r="AU11" i="76"/>
  <c r="AV11" i="76"/>
  <c r="AW11" i="76"/>
  <c r="AX11" i="76"/>
  <c r="AY11" i="76"/>
  <c r="AZ11" i="76"/>
  <c r="BA11" i="76"/>
  <c r="BB11" i="76"/>
  <c r="BC11" i="76"/>
  <c r="BD11" i="76"/>
  <c r="BE11" i="76"/>
  <c r="BF11" i="76"/>
  <c r="BG11" i="76"/>
  <c r="BH11" i="76"/>
  <c r="BI11" i="76"/>
  <c r="BJ11" i="76"/>
  <c r="BK11" i="76"/>
  <c r="BL11" i="76"/>
  <c r="BM11" i="76"/>
  <c r="AS11" i="76"/>
  <c r="AS10" i="76"/>
  <c r="AY16" i="27" l="1"/>
  <c r="BN12" i="76"/>
  <c r="DD22" i="69" l="1"/>
  <c r="DE22" i="69"/>
  <c r="V14" i="69"/>
  <c r="V15" i="69" s="1"/>
  <c r="V16" i="69" s="1"/>
  <c r="V11" i="69"/>
  <c r="V9" i="69"/>
  <c r="DE14" i="69"/>
  <c r="DE15" i="69" s="1"/>
  <c r="DE16" i="69" s="1"/>
  <c r="DE11" i="69"/>
  <c r="DE9" i="69"/>
  <c r="V14" i="65"/>
  <c r="DE14" i="65"/>
  <c r="DE15" i="65" s="1"/>
  <c r="DE16" i="65" s="1"/>
  <c r="DE10" i="65"/>
  <c r="V10" i="65" s="1"/>
  <c r="K8" i="81"/>
  <c r="K9" i="81" s="1"/>
  <c r="K10" i="81" s="1"/>
  <c r="AX8" i="81"/>
  <c r="AX9" i="81" s="1"/>
  <c r="AX10" i="81" s="1"/>
  <c r="AS8" i="83"/>
  <c r="AS9" i="83" s="1"/>
  <c r="AS10" i="83" s="1"/>
  <c r="V15" i="65" l="1"/>
  <c r="V16" i="65" s="1"/>
  <c r="G8" i="83" l="1"/>
  <c r="G9" i="83" s="1"/>
  <c r="G10" i="83" s="1"/>
  <c r="AT6" i="76"/>
  <c r="AU6" i="76"/>
  <c r="AV6" i="76"/>
  <c r="AW6" i="76"/>
  <c r="AX6" i="76"/>
  <c r="AY6" i="76"/>
  <c r="AZ6" i="76"/>
  <c r="BA6" i="76"/>
  <c r="BB6" i="76"/>
  <c r="BC6" i="76"/>
  <c r="BD6" i="76"/>
  <c r="BE6" i="76"/>
  <c r="BF6" i="76"/>
  <c r="BG6" i="76"/>
  <c r="BH6" i="76"/>
  <c r="BI6" i="76"/>
  <c r="BJ6" i="76"/>
  <c r="BK6" i="76"/>
  <c r="BL6" i="76"/>
  <c r="BM6" i="76"/>
  <c r="AS6" i="76"/>
  <c r="K6" i="76"/>
  <c r="L6" i="76"/>
  <c r="M6" i="76"/>
  <c r="J6" i="76"/>
  <c r="GG19" i="27"/>
  <c r="AX14" i="27"/>
  <c r="AX12" i="27"/>
  <c r="AX11" i="27"/>
  <c r="GF22" i="27"/>
  <c r="GF20" i="27"/>
  <c r="GF16" i="27"/>
  <c r="M9" i="76"/>
  <c r="M11" i="76" s="1"/>
  <c r="M8" i="76"/>
  <c r="BM10" i="76"/>
  <c r="BM12" i="76" s="1"/>
  <c r="FI22" i="22"/>
  <c r="FI23" i="22" s="1"/>
  <c r="FI24" i="22" s="1"/>
  <c r="FI19" i="22"/>
  <c r="FI13" i="22"/>
  <c r="FI11" i="22"/>
  <c r="FI7" i="22"/>
  <c r="FI12" i="22" s="1"/>
  <c r="U13" i="69"/>
  <c r="DD14" i="69"/>
  <c r="DD15" i="69" s="1"/>
  <c r="DD16" i="69" s="1"/>
  <c r="DD11" i="69"/>
  <c r="DD9" i="69"/>
  <c r="U13" i="65"/>
  <c r="U12" i="65"/>
  <c r="U11" i="65"/>
  <c r="U9" i="65"/>
  <c r="GF18" i="27" l="1"/>
  <c r="GF19" i="27" s="1"/>
  <c r="DD14" i="65"/>
  <c r="DD15" i="65" s="1"/>
  <c r="DD16" i="65" s="1"/>
  <c r="DD10" i="65"/>
  <c r="J7" i="81"/>
  <c r="AW8" i="81"/>
  <c r="AW9" i="81" s="1"/>
  <c r="AW10" i="81" s="1"/>
  <c r="F7" i="83"/>
  <c r="AR8" i="83"/>
  <c r="AR9" i="83" s="1"/>
  <c r="AR10" i="83" s="1"/>
  <c r="GE22" i="27"/>
  <c r="GE20" i="27"/>
  <c r="GE16" i="27"/>
  <c r="BL10" i="76"/>
  <c r="AX20" i="22"/>
  <c r="AX18" i="22"/>
  <c r="AX16" i="22"/>
  <c r="AX17" i="22"/>
  <c r="FH22" i="22"/>
  <c r="FH23" i="22" s="1"/>
  <c r="FH24" i="22" s="1"/>
  <c r="FH19" i="22"/>
  <c r="FH13" i="22"/>
  <c r="FH11" i="22"/>
  <c r="FH7" i="22"/>
  <c r="FH12" i="22" s="1"/>
  <c r="DC14" i="69"/>
  <c r="DC15" i="69" s="1"/>
  <c r="DC16" i="69" s="1"/>
  <c r="DC11" i="69"/>
  <c r="DC9" i="69"/>
  <c r="DC14" i="65"/>
  <c r="DC15" i="65" s="1"/>
  <c r="DC16" i="65" s="1"/>
  <c r="DC10" i="65"/>
  <c r="AV8" i="81"/>
  <c r="AV9" i="81" s="1"/>
  <c r="AV10" i="81" s="1"/>
  <c r="AQ8" i="83"/>
  <c r="AQ9" i="83" s="1"/>
  <c r="AQ10" i="83" s="1"/>
  <c r="GD22" i="27"/>
  <c r="GD20" i="27"/>
  <c r="GD16" i="27"/>
  <c r="BK10" i="76"/>
  <c r="GD18" i="27" l="1"/>
  <c r="GD19" i="27" s="1"/>
  <c r="GE18" i="27"/>
  <c r="GE19" i="27" s="1"/>
  <c r="BL12" i="76"/>
  <c r="BK12" i="76"/>
  <c r="FG22" i="22"/>
  <c r="FG23" i="22" s="1"/>
  <c r="FG24" i="22" s="1"/>
  <c r="FG19" i="22"/>
  <c r="FG13" i="22"/>
  <c r="FG11" i="22"/>
  <c r="FG7" i="22"/>
  <c r="FG12" i="22" s="1"/>
  <c r="DB14" i="69"/>
  <c r="DB15" i="69" s="1"/>
  <c r="DB16" i="69" s="1"/>
  <c r="DB11" i="69"/>
  <c r="DB9" i="69"/>
  <c r="U14" i="65"/>
  <c r="DB14" i="65"/>
  <c r="DB15" i="65" s="1"/>
  <c r="DB16" i="65" s="1"/>
  <c r="DB10" i="65"/>
  <c r="AU8" i="81"/>
  <c r="AU9" i="81" s="1"/>
  <c r="AU10" i="81" s="1"/>
  <c r="F8" i="83"/>
  <c r="F9" i="83" s="1"/>
  <c r="F10" i="83" s="1"/>
  <c r="AP8" i="83"/>
  <c r="AP9" i="83" s="1"/>
  <c r="AP10" i="83" s="1"/>
  <c r="AX17" i="27"/>
  <c r="AX18" i="27" s="1"/>
  <c r="GC22" i="27"/>
  <c r="GC20" i="27"/>
  <c r="GC17" i="27"/>
  <c r="GC16" i="27"/>
  <c r="BJ10" i="76"/>
  <c r="AX21" i="22"/>
  <c r="AX23" i="22" s="1"/>
  <c r="AX24" i="22" s="1"/>
  <c r="AX25" i="22" s="1"/>
  <c r="FF7" i="22"/>
  <c r="FF12" i="22" s="1"/>
  <c r="AX28" i="22"/>
  <c r="AX27" i="22"/>
  <c r="AX13" i="22"/>
  <c r="AX7" i="22"/>
  <c r="AX12" i="22" s="1"/>
  <c r="FF19" i="22"/>
  <c r="FF22" i="22"/>
  <c r="FF23" i="22" s="1"/>
  <c r="FF24" i="22" s="1"/>
  <c r="FF13" i="22"/>
  <c r="FF11" i="22"/>
  <c r="U14" i="69"/>
  <c r="U15" i="69" s="1"/>
  <c r="U16" i="69" s="1"/>
  <c r="U11" i="69"/>
  <c r="U9" i="69"/>
  <c r="DA14" i="69"/>
  <c r="DA15" i="69" s="1"/>
  <c r="DA16" i="69" s="1"/>
  <c r="DA11" i="69"/>
  <c r="DA9" i="69"/>
  <c r="DA14" i="65"/>
  <c r="DA15" i="65" s="1"/>
  <c r="DA16" i="65" s="1"/>
  <c r="DA10" i="65"/>
  <c r="J8" i="81"/>
  <c r="J9" i="81" s="1"/>
  <c r="J10" i="81" s="1"/>
  <c r="AT8" i="81"/>
  <c r="AT9" i="81" s="1"/>
  <c r="AT10" i="81" s="1"/>
  <c r="AO8" i="83"/>
  <c r="AO9" i="83" s="1"/>
  <c r="AO10" i="83" s="1"/>
  <c r="AW14" i="27"/>
  <c r="AW17" i="27" s="1"/>
  <c r="AW18" i="27" s="1"/>
  <c r="AW12" i="27"/>
  <c r="AW11" i="27"/>
  <c r="GB22" i="27"/>
  <c r="GB20" i="27"/>
  <c r="GB17" i="27"/>
  <c r="GB18" i="27" s="1"/>
  <c r="GB19" i="27" s="1"/>
  <c r="GB16" i="27"/>
  <c r="BI10" i="76"/>
  <c r="AW17" i="22"/>
  <c r="AW18" i="22"/>
  <c r="AW20" i="22"/>
  <c r="AW21" i="22" s="1"/>
  <c r="AW23" i="22" s="1"/>
  <c r="AW24" i="22" s="1"/>
  <c r="AW25" i="22" s="1"/>
  <c r="AW16" i="22"/>
  <c r="FE26" i="22"/>
  <c r="FE22" i="22"/>
  <c r="FE23" i="22" s="1"/>
  <c r="FE24" i="22" s="1"/>
  <c r="FE19" i="22"/>
  <c r="FE13" i="22"/>
  <c r="FE11" i="22"/>
  <c r="FE7" i="22"/>
  <c r="FE12" i="22" s="1"/>
  <c r="T13" i="69"/>
  <c r="T14" i="69" s="1"/>
  <c r="T15" i="69" s="1"/>
  <c r="T16" i="69" s="1"/>
  <c r="T12" i="69"/>
  <c r="CZ14" i="69"/>
  <c r="CZ15" i="69" s="1"/>
  <c r="CZ16" i="69" s="1"/>
  <c r="CZ11" i="69"/>
  <c r="CZ9" i="69"/>
  <c r="T12" i="65"/>
  <c r="T13" i="65"/>
  <c r="T14" i="65" s="1"/>
  <c r="T11" i="65"/>
  <c r="T9" i="65"/>
  <c r="CZ14" i="65"/>
  <c r="CZ15" i="65" s="1"/>
  <c r="CZ16" i="65" s="1"/>
  <c r="CZ10" i="65"/>
  <c r="I7" i="81"/>
  <c r="I8" i="81" s="1"/>
  <c r="AS8" i="81"/>
  <c r="AS9" i="81" s="1"/>
  <c r="AS10" i="81" s="1"/>
  <c r="E7" i="83"/>
  <c r="E8" i="83" s="1"/>
  <c r="E9" i="83" s="1"/>
  <c r="E10" i="83" s="1"/>
  <c r="AN8" i="83"/>
  <c r="AN9" i="83" s="1"/>
  <c r="AN10" i="83" s="1"/>
  <c r="AM8" i="83"/>
  <c r="AM9" i="83" s="1"/>
  <c r="AM10" i="83" s="1"/>
  <c r="AL8" i="83"/>
  <c r="AL9" i="83" s="1"/>
  <c r="AL10" i="83" s="1"/>
  <c r="AK8" i="83"/>
  <c r="AK9" i="83" s="1"/>
  <c r="AK10" i="83" s="1"/>
  <c r="AJ8" i="83"/>
  <c r="AJ9" i="83" s="1"/>
  <c r="AJ10" i="83" s="1"/>
  <c r="AR8" i="81"/>
  <c r="AR9" i="81" s="1"/>
  <c r="AR10" i="81" s="1"/>
  <c r="AQ8" i="81"/>
  <c r="AQ9" i="81" s="1"/>
  <c r="AQ10" i="81" s="1"/>
  <c r="AP8" i="81"/>
  <c r="AP9" i="81" s="1"/>
  <c r="AP10" i="81" s="1"/>
  <c r="AO8" i="81"/>
  <c r="AO9" i="81" s="1"/>
  <c r="AO10" i="81" s="1"/>
  <c r="FZ22" i="27"/>
  <c r="GA22" i="27"/>
  <c r="FY22" i="27"/>
  <c r="GA20" i="27"/>
  <c r="GA17" i="27"/>
  <c r="GA16" i="27"/>
  <c r="L9" i="76"/>
  <c r="L8" i="76"/>
  <c r="BH10" i="76"/>
  <c r="FD26" i="22"/>
  <c r="FD22" i="22"/>
  <c r="FD23" i="22" s="1"/>
  <c r="FD24" i="22" s="1"/>
  <c r="FD19" i="22"/>
  <c r="FD13" i="22"/>
  <c r="FD11" i="22"/>
  <c r="FD7" i="22"/>
  <c r="FD12" i="22" s="1"/>
  <c r="CY14" i="69"/>
  <c r="CY15" i="69" s="1"/>
  <c r="CY16" i="69" s="1"/>
  <c r="CY11" i="69"/>
  <c r="CY9" i="69"/>
  <c r="CY14" i="65"/>
  <c r="CY15" i="65" s="1"/>
  <c r="CY16" i="65" s="1"/>
  <c r="CY10" i="65"/>
  <c r="CX14" i="65"/>
  <c r="CX15" i="65" s="1"/>
  <c r="CX16" i="65" s="1"/>
  <c r="CX10" i="65"/>
  <c r="CX14" i="69"/>
  <c r="CX15" i="69" s="1"/>
  <c r="CX16" i="69" s="1"/>
  <c r="CX11" i="69"/>
  <c r="CX9" i="69"/>
  <c r="FC26" i="22"/>
  <c r="FC22" i="22"/>
  <c r="FC23" i="22" s="1"/>
  <c r="FC24" i="22" s="1"/>
  <c r="FC19" i="22"/>
  <c r="FC13" i="22"/>
  <c r="FC11" i="22"/>
  <c r="FC7" i="22"/>
  <c r="FC12" i="22" s="1"/>
  <c r="BG10" i="76"/>
  <c r="FZ20" i="27"/>
  <c r="FZ17" i="27"/>
  <c r="FZ16" i="27"/>
  <c r="FY20" i="27"/>
  <c r="FY17" i="27"/>
  <c r="FY16" i="27"/>
  <c r="BF10" i="76"/>
  <c r="FB26" i="22"/>
  <c r="FB22" i="22"/>
  <c r="FB23" i="22" s="1"/>
  <c r="FB24" i="22" s="1"/>
  <c r="FB19" i="22"/>
  <c r="FB13" i="22"/>
  <c r="FB11" i="22"/>
  <c r="FB7" i="22"/>
  <c r="FB12" i="22" s="1"/>
  <c r="CW14" i="69"/>
  <c r="CW15" i="69" s="1"/>
  <c r="CW16" i="69" s="1"/>
  <c r="CW11" i="69"/>
  <c r="CW9" i="69"/>
  <c r="CW14" i="65"/>
  <c r="CW15" i="65" s="1"/>
  <c r="CW16" i="65" s="1"/>
  <c r="CW10" i="65"/>
  <c r="FX22" i="27"/>
  <c r="FX20" i="27"/>
  <c r="FX17" i="27"/>
  <c r="FX16" i="27"/>
  <c r="BE10" i="76"/>
  <c r="AW28" i="22"/>
  <c r="AW27" i="22"/>
  <c r="AW13" i="22"/>
  <c r="AW7" i="22"/>
  <c r="AW12" i="22" s="1"/>
  <c r="FA26" i="22"/>
  <c r="FA22" i="22"/>
  <c r="FA23" i="22" s="1"/>
  <c r="FA24" i="22" s="1"/>
  <c r="FA19" i="22"/>
  <c r="FA13" i="22"/>
  <c r="FA11" i="22"/>
  <c r="FA7" i="22"/>
  <c r="FA12" i="22" s="1"/>
  <c r="T11" i="69"/>
  <c r="T9" i="69"/>
  <c r="CV14" i="69"/>
  <c r="CV15" i="69" s="1"/>
  <c r="CV16" i="69" s="1"/>
  <c r="CV11" i="69"/>
  <c r="CV9" i="69"/>
  <c r="CV14" i="65"/>
  <c r="CV15" i="65" s="1"/>
  <c r="CV16" i="65" s="1"/>
  <c r="CV10" i="65"/>
  <c r="AV14" i="27"/>
  <c r="AV12" i="27"/>
  <c r="AV11" i="27"/>
  <c r="FW22" i="27"/>
  <c r="FW20" i="27"/>
  <c r="FW17" i="27"/>
  <c r="FW16" i="27"/>
  <c r="K8" i="76"/>
  <c r="BD10" i="76"/>
  <c r="AV17" i="22"/>
  <c r="AV18" i="22"/>
  <c r="AV20" i="22"/>
  <c r="AV16" i="22"/>
  <c r="EZ26" i="22"/>
  <c r="EZ22" i="22"/>
  <c r="EZ23" i="22" s="1"/>
  <c r="EZ24" i="22" s="1"/>
  <c r="EZ19" i="22"/>
  <c r="EZ13" i="22"/>
  <c r="EZ11" i="22"/>
  <c r="EZ7" i="22"/>
  <c r="EZ12" i="22" s="1"/>
  <c r="S13" i="69"/>
  <c r="S12" i="69"/>
  <c r="CU14" i="69"/>
  <c r="CU15" i="69" s="1"/>
  <c r="CU16" i="69" s="1"/>
  <c r="CU11" i="69"/>
  <c r="CU9" i="69"/>
  <c r="S12" i="65"/>
  <c r="S13" i="65"/>
  <c r="S11" i="65"/>
  <c r="CU14" i="65"/>
  <c r="CU15" i="65" s="1"/>
  <c r="CU16" i="65" s="1"/>
  <c r="CU10" i="65"/>
  <c r="FV22" i="27"/>
  <c r="FV20" i="27"/>
  <c r="FV17" i="27"/>
  <c r="FV16" i="27"/>
  <c r="K9" i="76"/>
  <c r="K11" i="76" s="1"/>
  <c r="BC10" i="76"/>
  <c r="GC18" i="27" l="1"/>
  <c r="GC19" i="27" s="1"/>
  <c r="U10" i="65"/>
  <c r="FY18" i="27"/>
  <c r="FY19" i="27" s="1"/>
  <c r="FZ18" i="27"/>
  <c r="FZ19" i="27" s="1"/>
  <c r="L10" i="76"/>
  <c r="L11" i="76"/>
  <c r="AX19" i="22"/>
  <c r="GA18" i="27"/>
  <c r="GA19" i="27" s="1"/>
  <c r="BI12" i="76"/>
  <c r="BJ12" i="76"/>
  <c r="BH12" i="76"/>
  <c r="BG12" i="76"/>
  <c r="FV18" i="27"/>
  <c r="FV19" i="27" s="1"/>
  <c r="FW18" i="27"/>
  <c r="FW19" i="27" s="1"/>
  <c r="T10" i="65"/>
  <c r="AW19" i="22"/>
  <c r="U15" i="65"/>
  <c r="U16" i="65" s="1"/>
  <c r="AX16" i="27"/>
  <c r="M10" i="76"/>
  <c r="BC12" i="76"/>
  <c r="I9" i="81"/>
  <c r="I10" i="81" s="1"/>
  <c r="BF12" i="76"/>
  <c r="AW16" i="27"/>
  <c r="BD12" i="76"/>
  <c r="BE12" i="76"/>
  <c r="FX18" i="27"/>
  <c r="FX19" i="27" s="1"/>
  <c r="T15" i="65"/>
  <c r="T16" i="65" s="1"/>
  <c r="EY26" i="22" l="1"/>
  <c r="EY22" i="22"/>
  <c r="EY23" i="22" s="1"/>
  <c r="EY24" i="22" s="1"/>
  <c r="EY19" i="22"/>
  <c r="EY13" i="22"/>
  <c r="EY11" i="22"/>
  <c r="EY7" i="22"/>
  <c r="EY12" i="22" s="1"/>
  <c r="CT14" i="69"/>
  <c r="CT15" i="69" s="1"/>
  <c r="CT16" i="69" s="1"/>
  <c r="CT11" i="69"/>
  <c r="CT9" i="69"/>
  <c r="S9" i="65"/>
  <c r="CT14" i="65" l="1"/>
  <c r="CT15" i="65" s="1"/>
  <c r="CT16" i="65" s="1"/>
  <c r="CT10" i="65"/>
  <c r="FU22" i="27"/>
  <c r="FU20" i="27"/>
  <c r="FU17" i="27"/>
  <c r="FU16" i="27"/>
  <c r="BB10" i="76"/>
  <c r="EX26" i="22"/>
  <c r="EX22" i="22"/>
  <c r="EX23" i="22" s="1"/>
  <c r="EX24" i="22" s="1"/>
  <c r="EX19" i="22"/>
  <c r="EX13" i="22"/>
  <c r="EX11" i="22"/>
  <c r="EX7" i="22"/>
  <c r="EX12" i="22" s="1"/>
  <c r="CS14" i="69"/>
  <c r="CS15" i="69" s="1"/>
  <c r="CS16" i="69" s="1"/>
  <c r="CS11" i="69"/>
  <c r="CS9" i="69"/>
  <c r="CS14" i="65"/>
  <c r="CS15" i="65" s="1"/>
  <c r="CS16" i="65" s="1"/>
  <c r="CS10" i="65"/>
  <c r="FU18" i="27" l="1"/>
  <c r="FU19" i="27" s="1"/>
  <c r="BB12" i="76"/>
  <c r="AU11" i="27"/>
  <c r="FT22" i="27"/>
  <c r="FT20" i="27"/>
  <c r="FT17" i="27"/>
  <c r="FT16" i="27"/>
  <c r="J8" i="76"/>
  <c r="BA10" i="76"/>
  <c r="AU16" i="22"/>
  <c r="EW19" i="22"/>
  <c r="AV19" i="22" s="1"/>
  <c r="EW22" i="22"/>
  <c r="EW23" i="22" s="1"/>
  <c r="EW24" i="22" s="1"/>
  <c r="AS27" i="22"/>
  <c r="AT27" i="22"/>
  <c r="AV27" i="22"/>
  <c r="AU27" i="22"/>
  <c r="EW26" i="22"/>
  <c r="EW13" i="22"/>
  <c r="EW11" i="22"/>
  <c r="EW7" i="22"/>
  <c r="EW12" i="22" s="1"/>
  <c r="R12" i="69"/>
  <c r="CR14" i="69"/>
  <c r="CR15" i="69" s="1"/>
  <c r="CR16" i="69" s="1"/>
  <c r="CR11" i="69"/>
  <c r="CR9" i="69"/>
  <c r="AV28" i="22"/>
  <c r="R11" i="65"/>
  <c r="CR14" i="65"/>
  <c r="CR15" i="65" s="1"/>
  <c r="CR16" i="65" s="1"/>
  <c r="CR10" i="65"/>
  <c r="EF22" i="27"/>
  <c r="EG22" i="27"/>
  <c r="EH22" i="27"/>
  <c r="EI22" i="27"/>
  <c r="EJ22" i="27"/>
  <c r="EK22" i="27"/>
  <c r="EL22" i="27"/>
  <c r="EM22" i="27"/>
  <c r="EN22" i="27"/>
  <c r="EO22" i="27"/>
  <c r="EP22" i="27"/>
  <c r="EQ22" i="27"/>
  <c r="ER22" i="27"/>
  <c r="ES22" i="27"/>
  <c r="ET22" i="27"/>
  <c r="EU22" i="27"/>
  <c r="EV22" i="27"/>
  <c r="EW22" i="27"/>
  <c r="EX22" i="27"/>
  <c r="EY22" i="27"/>
  <c r="EZ22" i="27"/>
  <c r="FA22" i="27"/>
  <c r="FB22" i="27"/>
  <c r="FC22" i="27"/>
  <c r="FD22" i="27"/>
  <c r="FE22" i="27"/>
  <c r="FF22" i="27"/>
  <c r="FG22" i="27"/>
  <c r="FH22" i="27"/>
  <c r="FI22" i="27"/>
  <c r="FJ22" i="27"/>
  <c r="FK22" i="27"/>
  <c r="FL22" i="27"/>
  <c r="FM22" i="27"/>
  <c r="FN22" i="27"/>
  <c r="FO22" i="27"/>
  <c r="FP22" i="27"/>
  <c r="FQ22" i="27"/>
  <c r="FR22" i="27"/>
  <c r="FS22" i="27"/>
  <c r="EE22" i="27"/>
  <c r="ED22" i="27"/>
  <c r="BA12" i="76" l="1"/>
  <c r="FT18" i="27"/>
  <c r="FT19" i="27" s="1"/>
  <c r="S14" i="69"/>
  <c r="S15" i="69" s="1"/>
  <c r="S16" i="69" s="1"/>
  <c r="S9" i="69"/>
  <c r="S11" i="69"/>
  <c r="AV21" i="22"/>
  <c r="AV23" i="22" s="1"/>
  <c r="AV24" i="22" s="1"/>
  <c r="AV25" i="22" s="1"/>
  <c r="AV7" i="22"/>
  <c r="AV12" i="22" s="1"/>
  <c r="AV13" i="22"/>
  <c r="K10" i="76"/>
  <c r="AV16" i="27"/>
  <c r="AV17" i="27"/>
  <c r="AV18" i="27" s="1"/>
  <c r="S14" i="65"/>
  <c r="AU14" i="27"/>
  <c r="AU12" i="27"/>
  <c r="FS20" i="27"/>
  <c r="FS17" i="27"/>
  <c r="FS16" i="27"/>
  <c r="J9" i="76"/>
  <c r="AZ10" i="76"/>
  <c r="AU17" i="22"/>
  <c r="AU18" i="22"/>
  <c r="AU20" i="22"/>
  <c r="BA19" i="27" l="1"/>
  <c r="J10" i="76"/>
  <c r="J11" i="76"/>
  <c r="FS18" i="27"/>
  <c r="FS19" i="27" s="1"/>
  <c r="S15" i="65"/>
  <c r="S16" i="65" s="1"/>
  <c r="AZ12" i="76"/>
  <c r="EV26" i="22" l="1"/>
  <c r="EV22" i="22"/>
  <c r="EV19" i="22"/>
  <c r="EV13" i="22"/>
  <c r="EV11" i="22"/>
  <c r="EV7" i="22"/>
  <c r="EV12" i="22" s="1"/>
  <c r="R13" i="69"/>
  <c r="R14" i="69" s="1"/>
  <c r="R15" i="69" s="1"/>
  <c r="R16" i="69" s="1"/>
  <c r="CQ14" i="69"/>
  <c r="CQ15" i="69" s="1"/>
  <c r="CQ16" i="69" s="1"/>
  <c r="CQ11" i="69"/>
  <c r="CQ9" i="69"/>
  <c r="R12" i="65"/>
  <c r="R13" i="65"/>
  <c r="R14" i="65" s="1"/>
  <c r="CQ14" i="65"/>
  <c r="CQ15" i="65" s="1"/>
  <c r="CQ16" i="65" s="1"/>
  <c r="CQ10" i="65"/>
  <c r="CP14" i="65"/>
  <c r="CP15" i="65" s="1"/>
  <c r="CP16" i="65" s="1"/>
  <c r="CP10" i="65"/>
  <c r="CP14" i="69"/>
  <c r="CP15" i="69" s="1"/>
  <c r="CP16" i="69" s="1"/>
  <c r="CP11" i="69"/>
  <c r="CP9" i="69"/>
  <c r="EU26" i="22"/>
  <c r="EU22" i="22"/>
  <c r="EU23" i="22" s="1"/>
  <c r="EU24" i="22" s="1"/>
  <c r="EU19" i="22"/>
  <c r="EU13" i="22"/>
  <c r="EU11" i="22"/>
  <c r="EU7" i="22"/>
  <c r="EU12" i="22" s="1"/>
  <c r="AY10" i="76"/>
  <c r="FR20" i="27"/>
  <c r="FR17" i="27"/>
  <c r="FR16" i="27"/>
  <c r="AR28" i="22"/>
  <c r="AS28" i="22"/>
  <c r="AT28" i="22"/>
  <c r="AU28" i="22"/>
  <c r="AQ28" i="22"/>
  <c r="FQ20" i="27"/>
  <c r="FQ17" i="27"/>
  <c r="FQ16" i="27"/>
  <c r="AX10" i="76"/>
  <c r="ET26" i="22"/>
  <c r="ET22" i="22"/>
  <c r="ET23" i="22" s="1"/>
  <c r="ET24" i="22" s="1"/>
  <c r="ET19" i="22"/>
  <c r="ET13" i="22"/>
  <c r="ET11" i="22"/>
  <c r="ET7" i="22"/>
  <c r="ET12" i="22" s="1"/>
  <c r="CO14" i="69"/>
  <c r="CO15" i="69" s="1"/>
  <c r="CO16" i="69" s="1"/>
  <c r="CO11" i="69"/>
  <c r="CO9" i="69"/>
  <c r="R9" i="65"/>
  <c r="CO14" i="65"/>
  <c r="CO15" i="65" s="1"/>
  <c r="CO16" i="65" s="1"/>
  <c r="CO10" i="65"/>
  <c r="FP20" i="27"/>
  <c r="FP17" i="27"/>
  <c r="FP16" i="27"/>
  <c r="AX19" i="27"/>
  <c r="AW10" i="76"/>
  <c r="AU13" i="22"/>
  <c r="AU7" i="22"/>
  <c r="AU12" i="22" s="1"/>
  <c r="ES26" i="22"/>
  <c r="ES22" i="22"/>
  <c r="ES23" i="22" s="1"/>
  <c r="ES24" i="22" s="1"/>
  <c r="ES19" i="22"/>
  <c r="ES13" i="22"/>
  <c r="ES11" i="22"/>
  <c r="ES7" i="22"/>
  <c r="ES12" i="22" s="1"/>
  <c r="Q12" i="69"/>
  <c r="R11" i="69"/>
  <c r="CN11" i="69"/>
  <c r="CN9" i="69"/>
  <c r="CN14" i="69"/>
  <c r="CN15" i="69" s="1"/>
  <c r="CN16" i="69" s="1"/>
  <c r="Q9" i="65"/>
  <c r="P9" i="65"/>
  <c r="CN14" i="65"/>
  <c r="CN15" i="65" s="1"/>
  <c r="CN16" i="65" s="1"/>
  <c r="CN10" i="65"/>
  <c r="AT14" i="27"/>
  <c r="AT16" i="27" s="1"/>
  <c r="AT12" i="27"/>
  <c r="FO20" i="27"/>
  <c r="FO17" i="27"/>
  <c r="FO16" i="27"/>
  <c r="AW19" i="27"/>
  <c r="I9" i="76"/>
  <c r="I8" i="76"/>
  <c r="AV10" i="76"/>
  <c r="L12" i="76"/>
  <c r="AT17" i="22"/>
  <c r="AT18" i="22"/>
  <c r="AT20" i="22"/>
  <c r="AT16" i="22"/>
  <c r="AZ19" i="27" l="1"/>
  <c r="AY19" i="27"/>
  <c r="AW12" i="76"/>
  <c r="M12" i="76"/>
  <c r="S10" i="65"/>
  <c r="AU19" i="22"/>
  <c r="FP18" i="27"/>
  <c r="FP19" i="27" s="1"/>
  <c r="EV23" i="22"/>
  <c r="EV24" i="22" s="1"/>
  <c r="R10" i="65"/>
  <c r="FR18" i="27"/>
  <c r="FR19" i="27" s="1"/>
  <c r="AX12" i="76"/>
  <c r="AY12" i="76"/>
  <c r="AV12" i="76"/>
  <c r="FQ18" i="27"/>
  <c r="FQ19" i="27" s="1"/>
  <c r="FO18" i="27"/>
  <c r="FO19" i="27" s="1"/>
  <c r="AU16" i="27"/>
  <c r="AU17" i="27"/>
  <c r="AU18" i="27" s="1"/>
  <c r="ER26" i="22"/>
  <c r="ER22" i="22"/>
  <c r="ER23" i="22" s="1"/>
  <c r="ER24" i="22" s="1"/>
  <c r="ER19" i="22"/>
  <c r="ER13" i="22"/>
  <c r="ER11" i="22"/>
  <c r="ER7" i="22"/>
  <c r="ER12" i="22" s="1"/>
  <c r="Q13" i="69"/>
  <c r="CM14" i="69"/>
  <c r="CM15" i="69" s="1"/>
  <c r="CM16" i="69" s="1"/>
  <c r="CM11" i="69"/>
  <c r="CM9" i="69"/>
  <c r="Q12" i="65"/>
  <c r="Q13" i="65"/>
  <c r="Q11" i="65"/>
  <c r="CM14" i="65"/>
  <c r="CM15" i="65" s="1"/>
  <c r="CM16" i="65" s="1"/>
  <c r="CM10" i="65"/>
  <c r="FN20" i="27"/>
  <c r="FN17" i="27"/>
  <c r="FN16" i="27"/>
  <c r="FN11" i="27"/>
  <c r="AU10" i="76"/>
  <c r="K12" i="76"/>
  <c r="EQ26" i="22"/>
  <c r="EQ22" i="22"/>
  <c r="EQ23" i="22" s="1"/>
  <c r="EQ24" i="22" s="1"/>
  <c r="EQ19" i="22"/>
  <c r="EQ13" i="22"/>
  <c r="EQ11" i="22"/>
  <c r="EQ7" i="22"/>
  <c r="EQ12" i="22" s="1"/>
  <c r="CL14" i="69"/>
  <c r="CL15" i="69" s="1"/>
  <c r="CL16" i="69" s="1"/>
  <c r="CL11" i="69"/>
  <c r="CL9" i="69"/>
  <c r="AV19" i="27" l="1"/>
  <c r="FN18" i="27"/>
  <c r="FN19" i="27" s="1"/>
  <c r="AU12" i="76"/>
  <c r="CL14" i="65"/>
  <c r="CL15" i="65" s="1"/>
  <c r="CL16" i="65" s="1"/>
  <c r="CL10" i="65"/>
  <c r="AT10" i="76" l="1"/>
  <c r="W4" i="27"/>
  <c r="X4" i="27" s="1"/>
  <c r="Y4" i="27" s="1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AD6" i="27"/>
  <c r="AD7" i="27" s="1"/>
  <c r="AE6" i="27"/>
  <c r="AE7" i="27" s="1"/>
  <c r="AF6" i="27"/>
  <c r="AF7" i="27" s="1"/>
  <c r="AG6" i="27"/>
  <c r="AG7" i="27" s="1"/>
  <c r="AH6" i="27"/>
  <c r="AH7" i="27" s="1"/>
  <c r="AI6" i="27"/>
  <c r="AI7" i="27" s="1"/>
  <c r="AJ6" i="27"/>
  <c r="AJ7" i="27" s="1"/>
  <c r="AI11" i="27"/>
  <c r="U16" i="27"/>
  <c r="V16" i="27"/>
  <c r="W16" i="27"/>
  <c r="X16" i="27"/>
  <c r="Y16" i="27"/>
  <c r="Z16" i="27"/>
  <c r="AA16" i="27"/>
  <c r="AB16" i="27"/>
  <c r="AC16" i="27"/>
  <c r="AD16" i="27"/>
  <c r="AE16" i="27"/>
  <c r="AF16" i="27"/>
  <c r="AG16" i="27"/>
  <c r="AH16" i="27"/>
  <c r="AI16" i="27"/>
  <c r="AJ16" i="27"/>
  <c r="X17" i="27"/>
  <c r="Y17" i="27"/>
  <c r="Z17" i="27"/>
  <c r="AA17" i="27"/>
  <c r="AB17" i="27"/>
  <c r="AB18" i="27" s="1"/>
  <c r="AB19" i="27" s="1"/>
  <c r="AC17" i="27"/>
  <c r="AD17" i="27"/>
  <c r="AE17" i="27"/>
  <c r="AF17" i="27"/>
  <c r="AG17" i="27"/>
  <c r="AH17" i="27"/>
  <c r="AI17" i="27"/>
  <c r="AJ17" i="27"/>
  <c r="AL6" i="27"/>
  <c r="AM6" i="27"/>
  <c r="AN6" i="27"/>
  <c r="AO6" i="27"/>
  <c r="AP6" i="27"/>
  <c r="AQ6" i="27"/>
  <c r="AR6" i="27"/>
  <c r="AS6" i="27"/>
  <c r="AL12" i="27"/>
  <c r="AM12" i="27"/>
  <c r="AN12" i="27"/>
  <c r="AO12" i="27"/>
  <c r="AP12" i="27"/>
  <c r="AQ12" i="27"/>
  <c r="AR12" i="27"/>
  <c r="AS12" i="27"/>
  <c r="AL13" i="27"/>
  <c r="AM13" i="27"/>
  <c r="AN13" i="27"/>
  <c r="AL14" i="27"/>
  <c r="AL17" i="27" s="1"/>
  <c r="AM14" i="27"/>
  <c r="AM17" i="27" s="1"/>
  <c r="AN14" i="27"/>
  <c r="AN16" i="27" s="1"/>
  <c r="AO14" i="27"/>
  <c r="AO16" i="27" s="1"/>
  <c r="AP14" i="27"/>
  <c r="AP16" i="27" s="1"/>
  <c r="AQ14" i="27"/>
  <c r="AR14" i="27"/>
  <c r="AR17" i="27" s="1"/>
  <c r="AS14" i="27"/>
  <c r="AS17" i="27" s="1"/>
  <c r="CE5" i="27"/>
  <c r="CF5" i="27" s="1"/>
  <c r="CG5" i="27" s="1"/>
  <c r="CH5" i="27" s="1"/>
  <c r="CI5" i="27" s="1"/>
  <c r="CJ5" i="27" s="1"/>
  <c r="CK5" i="27" s="1"/>
  <c r="CL5" i="27" s="1"/>
  <c r="CM5" i="27" s="1"/>
  <c r="CN5" i="27" s="1"/>
  <c r="CO5" i="27" s="1"/>
  <c r="CP5" i="27" s="1"/>
  <c r="CQ5" i="27" s="1"/>
  <c r="CR5" i="27" s="1"/>
  <c r="CS5" i="27" s="1"/>
  <c r="CT5" i="27" s="1"/>
  <c r="CU5" i="27" s="1"/>
  <c r="CV5" i="27" s="1"/>
  <c r="CW5" i="27" s="1"/>
  <c r="CX5" i="27" s="1"/>
  <c r="CY5" i="27" s="1"/>
  <c r="CZ5" i="27" s="1"/>
  <c r="DQ6" i="27"/>
  <c r="DQ7" i="27" s="1"/>
  <c r="DR6" i="27"/>
  <c r="DR7" i="27" s="1"/>
  <c r="DS6" i="27"/>
  <c r="DS7" i="27" s="1"/>
  <c r="DT6" i="27"/>
  <c r="DT7" i="27" s="1"/>
  <c r="DA11" i="27"/>
  <c r="DB11" i="27"/>
  <c r="DC11" i="27"/>
  <c r="DD11" i="27"/>
  <c r="DE11" i="27"/>
  <c r="DF11" i="27"/>
  <c r="DG11" i="27"/>
  <c r="DH11" i="27"/>
  <c r="DI11" i="27"/>
  <c r="DJ11" i="27"/>
  <c r="DK11" i="27"/>
  <c r="DL11" i="27"/>
  <c r="DM11" i="27"/>
  <c r="DN11" i="27"/>
  <c r="DO11" i="27"/>
  <c r="DP11" i="27"/>
  <c r="DT11" i="27"/>
  <c r="DW11" i="27"/>
  <c r="DX11" i="27"/>
  <c r="DY11" i="27"/>
  <c r="DZ11" i="27"/>
  <c r="EA11" i="27"/>
  <c r="EB11" i="27"/>
  <c r="EC11" i="27"/>
  <c r="DA14" i="27"/>
  <c r="DB14" i="27"/>
  <c r="DC14" i="27"/>
  <c r="DD14" i="27"/>
  <c r="DE14" i="27"/>
  <c r="DF14" i="27"/>
  <c r="DG14" i="27"/>
  <c r="DH14" i="27"/>
  <c r="DI14" i="27"/>
  <c r="DJ14" i="27"/>
  <c r="DK14" i="27"/>
  <c r="DL14" i="27"/>
  <c r="DM14" i="27"/>
  <c r="DN14" i="27"/>
  <c r="DO14" i="27"/>
  <c r="DP14" i="27"/>
  <c r="DW14" i="27"/>
  <c r="DW20" i="27" s="1"/>
  <c r="DX14" i="27"/>
  <c r="DX17" i="27" s="1"/>
  <c r="DX18" i="27" s="1"/>
  <c r="DX19" i="27" s="1"/>
  <c r="DY14" i="27"/>
  <c r="DY20" i="27" s="1"/>
  <c r="DZ14" i="27"/>
  <c r="EA14" i="27"/>
  <c r="EA20" i="27" s="1"/>
  <c r="EB14" i="27"/>
  <c r="EB17" i="27" s="1"/>
  <c r="EB18" i="27" s="1"/>
  <c r="EB19" i="27" s="1"/>
  <c r="EC14" i="27"/>
  <c r="EC20" i="27" s="1"/>
  <c r="DO16" i="27"/>
  <c r="DP16" i="27"/>
  <c r="DQ16" i="27"/>
  <c r="DR16" i="27"/>
  <c r="DS16" i="27"/>
  <c r="DT16" i="27"/>
  <c r="DU16" i="27"/>
  <c r="DV16" i="27"/>
  <c r="DW16" i="27"/>
  <c r="DX16" i="27"/>
  <c r="DY16" i="27"/>
  <c r="DZ16" i="27"/>
  <c r="EA16" i="27"/>
  <c r="EB16" i="27"/>
  <c r="EC16" i="27"/>
  <c r="DQ17" i="27"/>
  <c r="DR17" i="27"/>
  <c r="DS17" i="27"/>
  <c r="DT17" i="27"/>
  <c r="DU17" i="27"/>
  <c r="DU18" i="27" s="1"/>
  <c r="DU19" i="27" s="1"/>
  <c r="DV17" i="27"/>
  <c r="DV18" i="27" s="1"/>
  <c r="DV19" i="27" s="1"/>
  <c r="DQ20" i="27"/>
  <c r="DR20" i="27"/>
  <c r="DS20" i="27"/>
  <c r="DT20" i="27"/>
  <c r="DU20" i="27"/>
  <c r="DV20" i="27"/>
  <c r="ED18" i="27"/>
  <c r="ED19" i="27" s="1"/>
  <c r="ED11" i="27"/>
  <c r="EE11" i="27"/>
  <c r="EF11" i="27"/>
  <c r="EG11" i="27"/>
  <c r="EH11" i="27"/>
  <c r="EI11" i="27"/>
  <c r="EJ11" i="27"/>
  <c r="EK11" i="27"/>
  <c r="EL11" i="27"/>
  <c r="EM11" i="27"/>
  <c r="EN11" i="27"/>
  <c r="EO11" i="27"/>
  <c r="EP11" i="27"/>
  <c r="EQ11" i="27"/>
  <c r="ER11" i="27"/>
  <c r="ES11" i="27"/>
  <c r="ET11" i="27"/>
  <c r="EU11" i="27"/>
  <c r="EV11" i="27"/>
  <c r="EW11" i="27"/>
  <c r="EX11" i="27"/>
  <c r="EY11" i="27"/>
  <c r="EZ11" i="27"/>
  <c r="FA11" i="27"/>
  <c r="FB11" i="27"/>
  <c r="FC11" i="27"/>
  <c r="FD11" i="27"/>
  <c r="FE11" i="27"/>
  <c r="FF11" i="27"/>
  <c r="FG11" i="27"/>
  <c r="FH11" i="27"/>
  <c r="FI11" i="27"/>
  <c r="FJ11" i="27"/>
  <c r="FK11" i="27"/>
  <c r="ED16" i="27"/>
  <c r="EE16" i="27"/>
  <c r="EF16" i="27"/>
  <c r="EG16" i="27"/>
  <c r="EH16" i="27"/>
  <c r="EI16" i="27"/>
  <c r="EJ16" i="27"/>
  <c r="EK16" i="27"/>
  <c r="EL16" i="27"/>
  <c r="EM16" i="27"/>
  <c r="EN16" i="27"/>
  <c r="EO16" i="27"/>
  <c r="EP16" i="27"/>
  <c r="EQ16" i="27"/>
  <c r="ER16" i="27"/>
  <c r="ES16" i="27"/>
  <c r="ET16" i="27"/>
  <c r="EU16" i="27"/>
  <c r="EV16" i="27"/>
  <c r="EW16" i="27"/>
  <c r="EX16" i="27"/>
  <c r="EY16" i="27"/>
  <c r="EZ16" i="27"/>
  <c r="FA16" i="27"/>
  <c r="FB16" i="27"/>
  <c r="FC16" i="27"/>
  <c r="FD16" i="27"/>
  <c r="FE16" i="27"/>
  <c r="FF16" i="27"/>
  <c r="FG16" i="27"/>
  <c r="FH16" i="27"/>
  <c r="FI16" i="27"/>
  <c r="FJ16" i="27"/>
  <c r="FK16" i="27"/>
  <c r="EE17" i="27"/>
  <c r="EF17" i="27"/>
  <c r="EG17" i="27"/>
  <c r="EH17" i="27"/>
  <c r="EI17" i="27"/>
  <c r="EJ17" i="27"/>
  <c r="EK17" i="27"/>
  <c r="EL17" i="27"/>
  <c r="EM17" i="27"/>
  <c r="EN17" i="27"/>
  <c r="EO17" i="27"/>
  <c r="EP17" i="27"/>
  <c r="EQ17" i="27"/>
  <c r="ER17" i="27"/>
  <c r="ES17" i="27"/>
  <c r="ET17" i="27"/>
  <c r="EU17" i="27"/>
  <c r="EV17" i="27"/>
  <c r="EW17" i="27"/>
  <c r="EX17" i="27"/>
  <c r="EY17" i="27"/>
  <c r="EZ17" i="27"/>
  <c r="FA17" i="27"/>
  <c r="FB17" i="27"/>
  <c r="FC17" i="27"/>
  <c r="FD17" i="27"/>
  <c r="FE17" i="27"/>
  <c r="FF17" i="27"/>
  <c r="FG17" i="27"/>
  <c r="FH17" i="27"/>
  <c r="FI17" i="27"/>
  <c r="FJ17" i="27"/>
  <c r="FK17" i="27"/>
  <c r="ED20" i="27"/>
  <c r="EE20" i="27"/>
  <c r="EF20" i="27"/>
  <c r="EG20" i="27"/>
  <c r="EH20" i="27"/>
  <c r="EI20" i="27"/>
  <c r="EJ20" i="27"/>
  <c r="EK20" i="27"/>
  <c r="EL20" i="27"/>
  <c r="EM20" i="27"/>
  <c r="EN20" i="27"/>
  <c r="EO20" i="27"/>
  <c r="EP20" i="27"/>
  <c r="EQ20" i="27"/>
  <c r="ER20" i="27"/>
  <c r="ES20" i="27"/>
  <c r="ET20" i="27"/>
  <c r="EU20" i="27"/>
  <c r="EV20" i="27"/>
  <c r="EW20" i="27"/>
  <c r="EX20" i="27"/>
  <c r="EY20" i="27"/>
  <c r="EZ20" i="27"/>
  <c r="FA20" i="27"/>
  <c r="FB20" i="27"/>
  <c r="FC20" i="27"/>
  <c r="FD20" i="27"/>
  <c r="FE20" i="27"/>
  <c r="FF20" i="27"/>
  <c r="FG20" i="27"/>
  <c r="FH20" i="27"/>
  <c r="FI20" i="27"/>
  <c r="FJ20" i="27"/>
  <c r="FK20" i="27"/>
  <c r="ED23" i="27"/>
  <c r="EE23" i="27"/>
  <c r="EF23" i="27"/>
  <c r="EG23" i="27"/>
  <c r="EH23" i="27"/>
  <c r="EI23" i="27"/>
  <c r="EJ23" i="27"/>
  <c r="EK23" i="27"/>
  <c r="EL23" i="27"/>
  <c r="EM23" i="27"/>
  <c r="EN23" i="27"/>
  <c r="EO23" i="27"/>
  <c r="EP23" i="27"/>
  <c r="EQ23" i="27"/>
  <c r="ER23" i="27"/>
  <c r="ES23" i="27"/>
  <c r="ET23" i="27"/>
  <c r="EU23" i="27"/>
  <c r="EV23" i="27"/>
  <c r="EW23" i="27"/>
  <c r="EX23" i="27"/>
  <c r="EY23" i="27"/>
  <c r="EZ23" i="27"/>
  <c r="FA23" i="27"/>
  <c r="FB23" i="27"/>
  <c r="FC23" i="27"/>
  <c r="FD23" i="27"/>
  <c r="FE23" i="27"/>
  <c r="FF23" i="27"/>
  <c r="FG23" i="27"/>
  <c r="FH23" i="27"/>
  <c r="FI23" i="27"/>
  <c r="FJ23" i="27"/>
  <c r="AT17" i="27"/>
  <c r="AT18" i="27" s="1"/>
  <c r="FM20" i="27"/>
  <c r="FM17" i="27"/>
  <c r="FM16" i="27"/>
  <c r="FM11" i="27"/>
  <c r="AU19" i="27"/>
  <c r="AT13" i="22"/>
  <c r="AT21" i="22"/>
  <c r="AT23" i="22" s="1"/>
  <c r="AT24" i="22" s="1"/>
  <c r="AT25" i="22" s="1"/>
  <c r="EP26" i="22"/>
  <c r="EP22" i="22"/>
  <c r="EP23" i="22" s="1"/>
  <c r="EP24" i="22" s="1"/>
  <c r="EP19" i="22"/>
  <c r="EP13" i="22"/>
  <c r="EP11" i="22"/>
  <c r="EP7" i="22"/>
  <c r="EP12" i="22" s="1"/>
  <c r="Q14" i="69"/>
  <c r="P12" i="69"/>
  <c r="CK14" i="69"/>
  <c r="CK15" i="69" s="1"/>
  <c r="CK16" i="69" s="1"/>
  <c r="CK11" i="69"/>
  <c r="CK9" i="69"/>
  <c r="CK14" i="65"/>
  <c r="CK15" i="65" s="1"/>
  <c r="CK16" i="65" s="1"/>
  <c r="P11" i="65"/>
  <c r="CK10" i="65"/>
  <c r="BC10" i="65"/>
  <c r="BD10" i="65"/>
  <c r="BE10" i="65"/>
  <c r="BF10" i="65"/>
  <c r="BG10" i="65"/>
  <c r="BH10" i="65"/>
  <c r="BI10" i="65"/>
  <c r="BJ10" i="65"/>
  <c r="BK10" i="65"/>
  <c r="BL10" i="65"/>
  <c r="BM10" i="65"/>
  <c r="BN10" i="65"/>
  <c r="BO10" i="65"/>
  <c r="BP10" i="65"/>
  <c r="BQ10" i="65"/>
  <c r="BR10" i="65"/>
  <c r="BS10" i="65"/>
  <c r="BT10" i="65"/>
  <c r="BU10" i="65"/>
  <c r="BV10" i="65"/>
  <c r="BW10" i="65"/>
  <c r="BX10" i="65"/>
  <c r="BY10" i="65"/>
  <c r="BZ10" i="65"/>
  <c r="CA10" i="65"/>
  <c r="CB10" i="65"/>
  <c r="CC10" i="65"/>
  <c r="CD10" i="65"/>
  <c r="CE10" i="65"/>
  <c r="CF10" i="65"/>
  <c r="CG10" i="65"/>
  <c r="CH10" i="65"/>
  <c r="CI10" i="65"/>
  <c r="CJ10" i="65"/>
  <c r="BB10" i="65"/>
  <c r="FL11" i="27"/>
  <c r="FL20" i="27"/>
  <c r="FL17" i="27"/>
  <c r="FL16" i="27"/>
  <c r="AT7" i="22"/>
  <c r="AT12" i="22" s="1"/>
  <c r="AS20" i="22"/>
  <c r="AS21" i="22" s="1"/>
  <c r="EO26" i="22"/>
  <c r="EO22" i="22"/>
  <c r="EO23" i="22" s="1"/>
  <c r="EO24" i="22" s="1"/>
  <c r="EO19" i="22"/>
  <c r="EO13" i="22"/>
  <c r="EO11" i="22"/>
  <c r="EO7" i="22"/>
  <c r="EO12" i="22" s="1"/>
  <c r="Q10" i="69"/>
  <c r="Q7" i="69"/>
  <c r="AS18" i="27" l="1"/>
  <c r="AR18" i="27"/>
  <c r="AM18" i="27"/>
  <c r="AL18" i="27"/>
  <c r="AL16" i="27"/>
  <c r="DZ17" i="27"/>
  <c r="DZ18" i="27" s="1"/>
  <c r="DZ19" i="27" s="1"/>
  <c r="AK14" i="27"/>
  <c r="DZ20" i="27"/>
  <c r="Q10" i="65"/>
  <c r="DY17" i="27"/>
  <c r="DY18" i="27" s="1"/>
  <c r="DY19" i="27" s="1"/>
  <c r="J12" i="76"/>
  <c r="AT11" i="27"/>
  <c r="AS16" i="27"/>
  <c r="AA18" i="27"/>
  <c r="AA19" i="27" s="1"/>
  <c r="AT19" i="22"/>
  <c r="AN17" i="27"/>
  <c r="AN18" i="27" s="1"/>
  <c r="Z18" i="27"/>
  <c r="Z19" i="27" s="1"/>
  <c r="Q15" i="69"/>
  <c r="Q16" i="69" s="1"/>
  <c r="AH18" i="27"/>
  <c r="AH19" i="27" s="1"/>
  <c r="AI18" i="27"/>
  <c r="AI19" i="27" s="1"/>
  <c r="AF18" i="27"/>
  <c r="AF19" i="27" s="1"/>
  <c r="AM16" i="27"/>
  <c r="AD18" i="27"/>
  <c r="AD19" i="27" s="1"/>
  <c r="AN11" i="27"/>
  <c r="EQ18" i="27"/>
  <c r="EQ19" i="27" s="1"/>
  <c r="EI18" i="27"/>
  <c r="EI19" i="27" s="1"/>
  <c r="AE18" i="27"/>
  <c r="AE19" i="27" s="1"/>
  <c r="AL11" i="27"/>
  <c r="FI18" i="27"/>
  <c r="FI19" i="27" s="1"/>
  <c r="AR16" i="27"/>
  <c r="AO11" i="27"/>
  <c r="AM11" i="27"/>
  <c r="AJ18" i="27"/>
  <c r="AJ19" i="27" s="1"/>
  <c r="FA18" i="27"/>
  <c r="FA19" i="27" s="1"/>
  <c r="ES18" i="27"/>
  <c r="ES19" i="27" s="1"/>
  <c r="EK18" i="27"/>
  <c r="EK19" i="27" s="1"/>
  <c r="AR11" i="27"/>
  <c r="I10" i="76"/>
  <c r="AS12" i="76"/>
  <c r="AT12" i="76"/>
  <c r="AQ17" i="27"/>
  <c r="AQ18" i="27" s="1"/>
  <c r="AQ16" i="27"/>
  <c r="AG18" i="27"/>
  <c r="AG19" i="27" s="1"/>
  <c r="AL19" i="27"/>
  <c r="AP17" i="27"/>
  <c r="AP18" i="27" s="1"/>
  <c r="AR19" i="27"/>
  <c r="Y18" i="27"/>
  <c r="Y19" i="27" s="1"/>
  <c r="AP11" i="27"/>
  <c r="AO17" i="27"/>
  <c r="AO18" i="27" s="1"/>
  <c r="X18" i="27"/>
  <c r="X19" i="27" s="1"/>
  <c r="DX20" i="27"/>
  <c r="FF18" i="27"/>
  <c r="FF19" i="27" s="1"/>
  <c r="EX18" i="27"/>
  <c r="EX19" i="27" s="1"/>
  <c r="EP18" i="27"/>
  <c r="EP19" i="27" s="1"/>
  <c r="EH18" i="27"/>
  <c r="EH19" i="27" s="1"/>
  <c r="AC18" i="27"/>
  <c r="AC19" i="27" s="1"/>
  <c r="AS11" i="27"/>
  <c r="AQ11" i="27"/>
  <c r="AM19" i="27"/>
  <c r="DT18" i="27"/>
  <c r="DT19" i="27" s="1"/>
  <c r="DQ18" i="27"/>
  <c r="DQ19" i="27" s="1"/>
  <c r="DS18" i="27"/>
  <c r="DS19" i="27" s="1"/>
  <c r="EB20" i="27"/>
  <c r="EA17" i="27"/>
  <c r="EA18" i="27" s="1"/>
  <c r="EA19" i="27" s="1"/>
  <c r="DR18" i="27"/>
  <c r="DR19" i="27" s="1"/>
  <c r="ER18" i="27"/>
  <c r="ER19" i="27" s="1"/>
  <c r="EJ18" i="27"/>
  <c r="EJ19" i="27" s="1"/>
  <c r="AS19" i="27"/>
  <c r="EZ18" i="27"/>
  <c r="EZ19" i="27" s="1"/>
  <c r="EY18" i="27"/>
  <c r="EY19" i="27" s="1"/>
  <c r="EW18" i="27"/>
  <c r="EW19" i="27" s="1"/>
  <c r="EG18" i="27"/>
  <c r="EG19" i="27" s="1"/>
  <c r="EF18" i="27"/>
  <c r="EF19" i="27" s="1"/>
  <c r="DW17" i="27"/>
  <c r="DW18" i="27" s="1"/>
  <c r="DW19" i="27" s="1"/>
  <c r="EE18" i="27"/>
  <c r="EE19" i="27" s="1"/>
  <c r="FH18" i="27"/>
  <c r="FH19" i="27" s="1"/>
  <c r="FJ18" i="27"/>
  <c r="FJ19" i="27" s="1"/>
  <c r="FB18" i="27"/>
  <c r="FB19" i="27" s="1"/>
  <c r="ET18" i="27"/>
  <c r="ET19" i="27" s="1"/>
  <c r="EL18" i="27"/>
  <c r="EL19" i="27" s="1"/>
  <c r="EC17" i="27"/>
  <c r="EC18" i="27" s="1"/>
  <c r="EC19" i="27" s="1"/>
  <c r="FG18" i="27"/>
  <c r="FG19" i="27" s="1"/>
  <c r="FE18" i="27"/>
  <c r="FE19" i="27" s="1"/>
  <c r="EO18" i="27"/>
  <c r="EO19" i="27" s="1"/>
  <c r="FD18" i="27"/>
  <c r="FD19" i="27" s="1"/>
  <c r="EV18" i="27"/>
  <c r="EV19" i="27" s="1"/>
  <c r="EN18" i="27"/>
  <c r="EN19" i="27" s="1"/>
  <c r="FK18" i="27"/>
  <c r="FK19" i="27" s="1"/>
  <c r="FC18" i="27"/>
  <c r="FC19" i="27" s="1"/>
  <c r="EU18" i="27"/>
  <c r="EU19" i="27" s="1"/>
  <c r="EM18" i="27"/>
  <c r="EM19" i="27" s="1"/>
  <c r="FM18" i="27"/>
  <c r="FM19" i="27" s="1"/>
  <c r="AT19" i="27"/>
  <c r="FL18" i="27"/>
  <c r="FL19" i="27" s="1"/>
  <c r="CJ14" i="69"/>
  <c r="CJ15" i="69" s="1"/>
  <c r="CJ16" i="69" s="1"/>
  <c r="CJ11" i="69"/>
  <c r="CJ9" i="69"/>
  <c r="Q14" i="65"/>
  <c r="Q15" i="65" s="1"/>
  <c r="Q16" i="65" s="1"/>
  <c r="AQ19" i="27" l="1"/>
  <c r="AN19" i="27"/>
  <c r="AP19" i="27"/>
  <c r="I11" i="76"/>
  <c r="I12" i="76" s="1"/>
  <c r="AO19" i="27"/>
  <c r="AK17" i="27"/>
  <c r="AK18" i="27" s="1"/>
  <c r="AK19" i="27" s="1"/>
  <c r="AK16" i="27"/>
  <c r="CJ14" i="65"/>
  <c r="CJ15" i="65" s="1"/>
  <c r="CJ16" i="65" s="1"/>
  <c r="EN19" i="22"/>
  <c r="AS17" i="22"/>
  <c r="AS18" i="22"/>
  <c r="EN26" i="22"/>
  <c r="EN22" i="22"/>
  <c r="EN23" i="22" s="1"/>
  <c r="EN24" i="22" s="1"/>
  <c r="EN13" i="22"/>
  <c r="EN11" i="22"/>
  <c r="EN7" i="22"/>
  <c r="EN12" i="22" s="1"/>
  <c r="P13" i="69"/>
  <c r="P14" i="69" s="1"/>
  <c r="CI14" i="69"/>
  <c r="CI15" i="69" s="1"/>
  <c r="CI16" i="69" s="1"/>
  <c r="CI11" i="69"/>
  <c r="CI9" i="69"/>
  <c r="P12" i="65"/>
  <c r="P13" i="65"/>
  <c r="P14" i="65" s="1"/>
  <c r="CI14" i="65"/>
  <c r="CI15" i="65" s="1"/>
  <c r="CI16" i="65" s="1"/>
  <c r="AU21" i="22"/>
  <c r="AU23" i="22" s="1"/>
  <c r="AU24" i="22" s="1"/>
  <c r="AU25" i="22" s="1"/>
  <c r="R15" i="65"/>
  <c r="R16" i="65" s="1"/>
  <c r="EM26" i="22"/>
  <c r="EL26" i="22"/>
  <c r="EM7" i="22" l="1"/>
  <c r="EM22" i="22" l="1"/>
  <c r="EM23" i="22" s="1"/>
  <c r="EM24" i="22" s="1"/>
  <c r="EM19" i="22"/>
  <c r="EM11" i="22"/>
  <c r="EM13" i="22"/>
  <c r="EM12" i="22"/>
  <c r="CH14" i="69"/>
  <c r="CH15" i="69" s="1"/>
  <c r="CH16" i="69" s="1"/>
  <c r="CH11" i="69"/>
  <c r="CH9" i="69"/>
  <c r="CH14" i="65"/>
  <c r="CH15" i="65" s="1"/>
  <c r="CH16" i="65" s="1"/>
  <c r="EL19" i="22"/>
  <c r="EL16" i="22"/>
  <c r="EK16" i="22"/>
  <c r="EL22" i="22"/>
  <c r="EL23" i="22" s="1"/>
  <c r="EL24" i="22" s="1"/>
  <c r="EL13" i="22"/>
  <c r="EL11" i="22"/>
  <c r="EL7" i="22"/>
  <c r="EL12" i="22" s="1"/>
  <c r="P18" i="69"/>
  <c r="CG14" i="69"/>
  <c r="CG15" i="69" s="1"/>
  <c r="CG16" i="69" s="1"/>
  <c r="CG11" i="69"/>
  <c r="CG9" i="69"/>
  <c r="O9" i="65"/>
  <c r="CG14" i="65"/>
  <c r="CG15" i="65" s="1"/>
  <c r="CG16" i="65" s="1"/>
  <c r="EK26" i="22"/>
  <c r="EK22" i="22"/>
  <c r="EK23" i="22" s="1"/>
  <c r="EK24" i="22" s="1"/>
  <c r="EK19" i="22"/>
  <c r="EJ16" i="22"/>
  <c r="EK13" i="22"/>
  <c r="EK11" i="22"/>
  <c r="EK7" i="22"/>
  <c r="EK12" i="22" s="1"/>
  <c r="O12" i="69"/>
  <c r="CF14" i="69"/>
  <c r="CF15" i="69" s="1"/>
  <c r="CF16" i="69" s="1"/>
  <c r="CF11" i="69"/>
  <c r="CF9" i="69"/>
  <c r="O11" i="65"/>
  <c r="CF14" i="65"/>
  <c r="CF15" i="65" s="1"/>
  <c r="CF16" i="65" s="1"/>
  <c r="AS16" i="22" l="1"/>
  <c r="P15" i="65"/>
  <c r="P16" i="65" s="1"/>
  <c r="CE14" i="65"/>
  <c r="CE15" i="65" s="1"/>
  <c r="CE16" i="65" s="1"/>
  <c r="P10" i="65"/>
  <c r="O18" i="69"/>
  <c r="P10" i="69"/>
  <c r="P7" i="69"/>
  <c r="CE14" i="69"/>
  <c r="CE15" i="69" s="1"/>
  <c r="CE16" i="69" s="1"/>
  <c r="CE11" i="69"/>
  <c r="CE9" i="69"/>
  <c r="AS23" i="22"/>
  <c r="AS24" i="22" s="1"/>
  <c r="AS25" i="22" s="1"/>
  <c r="EI16" i="22"/>
  <c r="EJ19" i="22"/>
  <c r="AS19" i="22" s="1"/>
  <c r="EJ26" i="22"/>
  <c r="EJ22" i="22"/>
  <c r="EJ23" i="22" s="1"/>
  <c r="EJ24" i="22" s="1"/>
  <c r="EJ13" i="22"/>
  <c r="EJ11" i="22"/>
  <c r="EJ7" i="22"/>
  <c r="EJ12" i="22" s="1"/>
  <c r="AS13" i="22"/>
  <c r="P15" i="69" l="1"/>
  <c r="P16" i="69" s="1"/>
  <c r="AS7" i="22"/>
  <c r="AS12" i="22" s="1"/>
  <c r="EG22" i="22"/>
  <c r="ED26" i="22"/>
  <c r="EE26" i="22"/>
  <c r="EF26" i="22"/>
  <c r="EG26" i="22"/>
  <c r="EH26" i="22"/>
  <c r="EI26" i="22"/>
  <c r="EC26" i="22"/>
  <c r="EI19" i="22" l="1"/>
  <c r="AR20" i="22" l="1"/>
  <c r="AR21" i="22" s="1"/>
  <c r="AR18" i="22"/>
  <c r="AR17" i="22"/>
  <c r="EH16" i="22"/>
  <c r="EI22" i="22"/>
  <c r="EI23" i="22" s="1"/>
  <c r="EI24" i="22" s="1"/>
  <c r="EI13" i="22"/>
  <c r="EI11" i="22"/>
  <c r="EI7" i="22"/>
  <c r="EI12" i="22" s="1"/>
  <c r="O13" i="69"/>
  <c r="CD14" i="69"/>
  <c r="CD15" i="69" s="1"/>
  <c r="CD16" i="69" s="1"/>
  <c r="CD11" i="69"/>
  <c r="CD9" i="69"/>
  <c r="O13" i="65"/>
  <c r="O12" i="65"/>
  <c r="CD14" i="65"/>
  <c r="CD15" i="65" s="1"/>
  <c r="CD16" i="65" s="1"/>
  <c r="DH13" i="22"/>
  <c r="DI13" i="22"/>
  <c r="DJ13" i="22"/>
  <c r="DK13" i="22"/>
  <c r="DL13" i="22"/>
  <c r="DM13" i="22"/>
  <c r="DN13" i="22"/>
  <c r="DO13" i="22"/>
  <c r="DP13" i="22"/>
  <c r="DQ13" i="22"/>
  <c r="DR13" i="22"/>
  <c r="DS13" i="22"/>
  <c r="DT13" i="22"/>
  <c r="DU13" i="22"/>
  <c r="DV13" i="22"/>
  <c r="DW13" i="22"/>
  <c r="DX13" i="22"/>
  <c r="DY13" i="22"/>
  <c r="DZ13" i="22"/>
  <c r="EA13" i="22"/>
  <c r="EB13" i="22"/>
  <c r="EC13" i="22"/>
  <c r="ED13" i="22"/>
  <c r="EE13" i="22"/>
  <c r="EF13" i="22"/>
  <c r="EG13" i="22"/>
  <c r="EH13" i="22"/>
  <c r="DG13" i="22"/>
  <c r="CC14" i="65" l="1"/>
  <c r="CC15" i="65" s="1"/>
  <c r="CC16" i="65" s="1"/>
  <c r="CB14" i="65"/>
  <c r="CB15" i="65" s="1"/>
  <c r="CB16" i="65" s="1"/>
  <c r="CA14" i="65"/>
  <c r="CA15" i="65" s="1"/>
  <c r="CA16" i="65" s="1"/>
  <c r="BZ14" i="65"/>
  <c r="BZ15" i="65" s="1"/>
  <c r="BZ16" i="65" s="1"/>
  <c r="BY14" i="65"/>
  <c r="BY15" i="65" s="1"/>
  <c r="BY16" i="65" s="1"/>
  <c r="BX14" i="65"/>
  <c r="BX15" i="65" s="1"/>
  <c r="BX16" i="65" s="1"/>
  <c r="BW14" i="65"/>
  <c r="BW15" i="65" s="1"/>
  <c r="BW16" i="65" s="1"/>
  <c r="BV14" i="65"/>
  <c r="BV15" i="65" s="1"/>
  <c r="BV16" i="65" s="1"/>
  <c r="BU14" i="65"/>
  <c r="BU15" i="65" s="1"/>
  <c r="BU16" i="65" s="1"/>
  <c r="BT14" i="65"/>
  <c r="BT15" i="65" s="1"/>
  <c r="BT16" i="65" s="1"/>
  <c r="BS14" i="65"/>
  <c r="BS15" i="65" s="1"/>
  <c r="BS16" i="65" s="1"/>
  <c r="BR14" i="65"/>
  <c r="BR15" i="65" s="1"/>
  <c r="BR16" i="65" s="1"/>
  <c r="BQ14" i="65"/>
  <c r="BQ15" i="65" s="1"/>
  <c r="BQ16" i="65" s="1"/>
  <c r="BP14" i="65"/>
  <c r="BP15" i="65" s="1"/>
  <c r="BP16" i="65" s="1"/>
  <c r="BO14" i="65"/>
  <c r="BO15" i="65" s="1"/>
  <c r="BO16" i="65" s="1"/>
  <c r="BN14" i="65"/>
  <c r="BN15" i="65" s="1"/>
  <c r="BN16" i="65" s="1"/>
  <c r="BM14" i="65"/>
  <c r="BM15" i="65" s="1"/>
  <c r="BM16" i="65" s="1"/>
  <c r="BL14" i="65"/>
  <c r="BL15" i="65" s="1"/>
  <c r="BL16" i="65" s="1"/>
  <c r="BK14" i="65"/>
  <c r="BK15" i="65" s="1"/>
  <c r="BK16" i="65" s="1"/>
  <c r="BJ14" i="65"/>
  <c r="BJ15" i="65" s="1"/>
  <c r="BJ16" i="65" s="1"/>
  <c r="BI14" i="65"/>
  <c r="BI15" i="65" s="1"/>
  <c r="BI16" i="65" s="1"/>
  <c r="BH14" i="65"/>
  <c r="BH15" i="65" s="1"/>
  <c r="BH16" i="65" s="1"/>
  <c r="BG14" i="65"/>
  <c r="BG15" i="65" s="1"/>
  <c r="BG16" i="65" s="1"/>
  <c r="BF14" i="65"/>
  <c r="BF15" i="65" s="1"/>
  <c r="BF16" i="65" s="1"/>
  <c r="BE14" i="65"/>
  <c r="BE15" i="65" s="1"/>
  <c r="BE16" i="65" s="1"/>
  <c r="BD14" i="65"/>
  <c r="BD15" i="65" s="1"/>
  <c r="BD16" i="65" s="1"/>
  <c r="BC14" i="65"/>
  <c r="BC15" i="65" s="1"/>
  <c r="BC16" i="65" s="1"/>
  <c r="BA14" i="65"/>
  <c r="BA15" i="65" s="1"/>
  <c r="BA16" i="65" s="1"/>
  <c r="BB13" i="65"/>
  <c r="BB14" i="65" s="1"/>
  <c r="BB15" i="65" s="1"/>
  <c r="BB16" i="65" s="1"/>
  <c r="O14" i="65"/>
  <c r="O15" i="65" s="1"/>
  <c r="O16" i="65" s="1"/>
  <c r="N13" i="65"/>
  <c r="N14" i="65" s="1"/>
  <c r="M13" i="65"/>
  <c r="M14" i="65" s="1"/>
  <c r="L13" i="65"/>
  <c r="L14" i="65" s="1"/>
  <c r="K13" i="65"/>
  <c r="K14" i="65" s="1"/>
  <c r="J13" i="65"/>
  <c r="J14" i="65" s="1"/>
  <c r="H13" i="65"/>
  <c r="BA12" i="65"/>
  <c r="N12" i="65"/>
  <c r="M12" i="65"/>
  <c r="L12" i="65"/>
  <c r="K12" i="65"/>
  <c r="J12" i="65"/>
  <c r="I12" i="65"/>
  <c r="H12" i="65"/>
  <c r="AZ12" i="65" s="1"/>
  <c r="BA11" i="65"/>
  <c r="N11" i="65"/>
  <c r="M11" i="65"/>
  <c r="L11" i="65"/>
  <c r="K11" i="65"/>
  <c r="J11" i="65"/>
  <c r="I11" i="65"/>
  <c r="H11" i="65"/>
  <c r="AZ11" i="65" s="1"/>
  <c r="BA10" i="65"/>
  <c r="N9" i="65"/>
  <c r="M9" i="65"/>
  <c r="L9" i="65"/>
  <c r="K9" i="65"/>
  <c r="J9" i="65"/>
  <c r="I9" i="65"/>
  <c r="AZ8" i="65"/>
  <c r="H8" i="65"/>
  <c r="AZ7" i="65"/>
  <c r="K7" i="65"/>
  <c r="J7" i="65"/>
  <c r="I7" i="65"/>
  <c r="H7" i="65"/>
  <c r="AZ6" i="65"/>
  <c r="H6" i="65"/>
  <c r="CC14" i="69"/>
  <c r="CC15" i="69" s="1"/>
  <c r="CC16" i="69" s="1"/>
  <c r="CB14" i="69"/>
  <c r="CB15" i="69" s="1"/>
  <c r="CB16" i="69" s="1"/>
  <c r="CA14" i="69"/>
  <c r="CA15" i="69" s="1"/>
  <c r="CA16" i="69" s="1"/>
  <c r="BZ14" i="69"/>
  <c r="BZ15" i="69" s="1"/>
  <c r="BZ16" i="69" s="1"/>
  <c r="BY14" i="69"/>
  <c r="BY15" i="69" s="1"/>
  <c r="BY16" i="69" s="1"/>
  <c r="BX14" i="69"/>
  <c r="BX15" i="69" s="1"/>
  <c r="BX16" i="69" s="1"/>
  <c r="BW14" i="69"/>
  <c r="BW15" i="69" s="1"/>
  <c r="BW16" i="69" s="1"/>
  <c r="BV14" i="69"/>
  <c r="BV15" i="69" s="1"/>
  <c r="BV16" i="69" s="1"/>
  <c r="BU14" i="69"/>
  <c r="BU15" i="69" s="1"/>
  <c r="BU16" i="69" s="1"/>
  <c r="BT14" i="69"/>
  <c r="BT15" i="69" s="1"/>
  <c r="BT16" i="69" s="1"/>
  <c r="BS14" i="69"/>
  <c r="BS15" i="69" s="1"/>
  <c r="BS16" i="69" s="1"/>
  <c r="BR14" i="69"/>
  <c r="BR15" i="69" s="1"/>
  <c r="BR16" i="69" s="1"/>
  <c r="BQ14" i="69"/>
  <c r="BQ15" i="69" s="1"/>
  <c r="BQ16" i="69" s="1"/>
  <c r="BP14" i="69"/>
  <c r="BP15" i="69" s="1"/>
  <c r="BP16" i="69" s="1"/>
  <c r="BO14" i="69"/>
  <c r="BO15" i="69" s="1"/>
  <c r="BO16" i="69" s="1"/>
  <c r="BN14" i="69"/>
  <c r="BN15" i="69" s="1"/>
  <c r="BN16" i="69" s="1"/>
  <c r="BM14" i="69"/>
  <c r="BM15" i="69" s="1"/>
  <c r="BM16" i="69" s="1"/>
  <c r="BL14" i="69"/>
  <c r="BL15" i="69" s="1"/>
  <c r="BL16" i="69" s="1"/>
  <c r="BK14" i="69"/>
  <c r="BK15" i="69" s="1"/>
  <c r="BK16" i="69" s="1"/>
  <c r="BJ14" i="69"/>
  <c r="BJ15" i="69" s="1"/>
  <c r="BJ16" i="69" s="1"/>
  <c r="BI14" i="69"/>
  <c r="BI15" i="69" s="1"/>
  <c r="BI16" i="69" s="1"/>
  <c r="BH14" i="69"/>
  <c r="BH15" i="69" s="1"/>
  <c r="BH16" i="69" s="1"/>
  <c r="BG14" i="69"/>
  <c r="BG15" i="69" s="1"/>
  <c r="BG16" i="69" s="1"/>
  <c r="BF14" i="69"/>
  <c r="BF15" i="69" s="1"/>
  <c r="BF16" i="69" s="1"/>
  <c r="BE14" i="69"/>
  <c r="BE15" i="69" s="1"/>
  <c r="BE16" i="69" s="1"/>
  <c r="BD14" i="69"/>
  <c r="BD15" i="69" s="1"/>
  <c r="BD16" i="69" s="1"/>
  <c r="BC14" i="69"/>
  <c r="BC15" i="69" s="1"/>
  <c r="BC16" i="69" s="1"/>
  <c r="BB14" i="69"/>
  <c r="BB15" i="69" s="1"/>
  <c r="BB16" i="69" s="1"/>
  <c r="BA14" i="69"/>
  <c r="BA15" i="69" s="1"/>
  <c r="BA16" i="69" s="1"/>
  <c r="O14" i="69"/>
  <c r="N13" i="69"/>
  <c r="N14" i="69" s="1"/>
  <c r="N15" i="69" s="1"/>
  <c r="N16" i="69" s="1"/>
  <c r="M13" i="69"/>
  <c r="M14" i="69" s="1"/>
  <c r="M15" i="69" s="1"/>
  <c r="M16" i="69" s="1"/>
  <c r="L13" i="69"/>
  <c r="L14" i="69" s="1"/>
  <c r="L15" i="69" s="1"/>
  <c r="L16" i="69" s="1"/>
  <c r="K13" i="69"/>
  <c r="K14" i="69" s="1"/>
  <c r="K15" i="69" s="1"/>
  <c r="K16" i="69" s="1"/>
  <c r="J13" i="69"/>
  <c r="J14" i="69" s="1"/>
  <c r="I13" i="69"/>
  <c r="I14" i="69" s="1"/>
  <c r="H13" i="69"/>
  <c r="AZ13" i="69" s="1"/>
  <c r="BA12" i="69"/>
  <c r="N12" i="69"/>
  <c r="M12" i="69"/>
  <c r="L12" i="69"/>
  <c r="K12" i="69"/>
  <c r="J12" i="69"/>
  <c r="I12" i="69"/>
  <c r="H12" i="69"/>
  <c r="AZ12" i="69" s="1"/>
  <c r="CC11" i="69"/>
  <c r="Q11" i="69" s="1"/>
  <c r="CB11" i="69"/>
  <c r="P11" i="69" s="1"/>
  <c r="CA11" i="69"/>
  <c r="O11" i="69" s="1"/>
  <c r="BZ11" i="69"/>
  <c r="BY11" i="69"/>
  <c r="BX11" i="69"/>
  <c r="BW11" i="69"/>
  <c r="BV11" i="69"/>
  <c r="BU11" i="69"/>
  <c r="BT11" i="69"/>
  <c r="BS11" i="69"/>
  <c r="BR11" i="69"/>
  <c r="BQ11" i="69"/>
  <c r="BP11" i="69"/>
  <c r="BO11" i="69"/>
  <c r="BN11" i="69"/>
  <c r="BM11" i="69"/>
  <c r="BL11" i="69"/>
  <c r="BK11" i="69"/>
  <c r="BJ11" i="69"/>
  <c r="BI11" i="69"/>
  <c r="BH11" i="69"/>
  <c r="BG11" i="69"/>
  <c r="BF11" i="69"/>
  <c r="BE11" i="69"/>
  <c r="BD11" i="69"/>
  <c r="BC11" i="69"/>
  <c r="BB11" i="69"/>
  <c r="N11" i="69"/>
  <c r="M11" i="69"/>
  <c r="L11" i="69"/>
  <c r="K11" i="69"/>
  <c r="O10" i="69"/>
  <c r="CC9" i="69"/>
  <c r="Q9" i="69" s="1"/>
  <c r="CB9" i="69"/>
  <c r="P9" i="69" s="1"/>
  <c r="CA9" i="69"/>
  <c r="O9" i="69" s="1"/>
  <c r="BZ9" i="69"/>
  <c r="BY9" i="69"/>
  <c r="BX9" i="69"/>
  <c r="BW9" i="69"/>
  <c r="BV9" i="69"/>
  <c r="BU9" i="69"/>
  <c r="BT9" i="69"/>
  <c r="BS9" i="69"/>
  <c r="BR9" i="69"/>
  <c r="BQ9" i="69"/>
  <c r="BP9" i="69"/>
  <c r="BO9" i="69"/>
  <c r="BN9" i="69"/>
  <c r="BM9" i="69"/>
  <c r="BL9" i="69"/>
  <c r="BK9" i="69"/>
  <c r="BJ9" i="69"/>
  <c r="BI9" i="69"/>
  <c r="BH9" i="69"/>
  <c r="BG9" i="69"/>
  <c r="BF9" i="69"/>
  <c r="BE9" i="69"/>
  <c r="BD9" i="69"/>
  <c r="BC9" i="69"/>
  <c r="BB9" i="69"/>
  <c r="BA9" i="69"/>
  <c r="N9" i="69"/>
  <c r="M9" i="69"/>
  <c r="L9" i="69"/>
  <c r="K9" i="69"/>
  <c r="O7" i="69"/>
  <c r="J7" i="69"/>
  <c r="I7" i="69"/>
  <c r="AZ6" i="69"/>
  <c r="H6" i="69"/>
  <c r="AI45" i="22"/>
  <c r="AH45" i="22"/>
  <c r="AG45" i="22"/>
  <c r="AF45" i="22"/>
  <c r="AE45" i="22"/>
  <c r="AC45" i="22"/>
  <c r="AB45" i="22"/>
  <c r="AA45" i="22"/>
  <c r="Z45" i="22"/>
  <c r="Y45" i="22"/>
  <c r="X45" i="22"/>
  <c r="W45" i="22"/>
  <c r="V45" i="22"/>
  <c r="U45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EB26" i="22"/>
  <c r="EA26" i="22"/>
  <c r="DZ26" i="22"/>
  <c r="DY26" i="22"/>
  <c r="DX26" i="22"/>
  <c r="DW26" i="22"/>
  <c r="DV26" i="22"/>
  <c r="DU26" i="22"/>
  <c r="DT26" i="22"/>
  <c r="DS26" i="22"/>
  <c r="DR26" i="22"/>
  <c r="DQ26" i="22"/>
  <c r="DP26" i="22"/>
  <c r="DO26" i="22"/>
  <c r="DN26" i="22"/>
  <c r="DM26" i="22"/>
  <c r="DL26" i="22"/>
  <c r="DK26" i="22"/>
  <c r="DJ26" i="22"/>
  <c r="DI26" i="22"/>
  <c r="DH26" i="22"/>
  <c r="DG26" i="22"/>
  <c r="DF26" i="22"/>
  <c r="DE26" i="22"/>
  <c r="DD26" i="22"/>
  <c r="DC26" i="22"/>
  <c r="DB26" i="22"/>
  <c r="DA26" i="22"/>
  <c r="CZ26" i="22"/>
  <c r="CY26" i="22"/>
  <c r="CX26" i="22"/>
  <c r="EH22" i="22"/>
  <c r="EH23" i="22" s="1"/>
  <c r="EH24" i="22" s="1"/>
  <c r="EG23" i="22"/>
  <c r="EG24" i="22" s="1"/>
  <c r="EF22" i="22"/>
  <c r="EF23" i="22" s="1"/>
  <c r="EF24" i="22" s="1"/>
  <c r="EE22" i="22"/>
  <c r="EE23" i="22" s="1"/>
  <c r="EE24" i="22" s="1"/>
  <c r="ED22" i="22"/>
  <c r="ED23" i="22" s="1"/>
  <c r="ED24" i="22" s="1"/>
  <c r="EC22" i="22"/>
  <c r="EC23" i="22" s="1"/>
  <c r="EC24" i="22" s="1"/>
  <c r="EB22" i="22"/>
  <c r="EB23" i="22" s="1"/>
  <c r="EB24" i="22" s="1"/>
  <c r="EA22" i="22"/>
  <c r="EA23" i="22" s="1"/>
  <c r="EA24" i="22" s="1"/>
  <c r="DZ22" i="22"/>
  <c r="DZ23" i="22" s="1"/>
  <c r="DZ24" i="22" s="1"/>
  <c r="DY22" i="22"/>
  <c r="DY23" i="22" s="1"/>
  <c r="DY24" i="22" s="1"/>
  <c r="DX22" i="22"/>
  <c r="DX23" i="22" s="1"/>
  <c r="DX24" i="22" s="1"/>
  <c r="DW22" i="22"/>
  <c r="DW23" i="22" s="1"/>
  <c r="DW24" i="22" s="1"/>
  <c r="DV22" i="22"/>
  <c r="DV23" i="22" s="1"/>
  <c r="DV24" i="22" s="1"/>
  <c r="DU22" i="22"/>
  <c r="DU23" i="22" s="1"/>
  <c r="DU24" i="22" s="1"/>
  <c r="DT22" i="22"/>
  <c r="DT23" i="22" s="1"/>
  <c r="DT24" i="22" s="1"/>
  <c r="DS22" i="22"/>
  <c r="DS23" i="22" s="1"/>
  <c r="DS24" i="22" s="1"/>
  <c r="DR22" i="22"/>
  <c r="DR23" i="22" s="1"/>
  <c r="DR24" i="22" s="1"/>
  <c r="DQ22" i="22"/>
  <c r="DQ23" i="22" s="1"/>
  <c r="DQ24" i="22" s="1"/>
  <c r="DP22" i="22"/>
  <c r="DP23" i="22" s="1"/>
  <c r="DP24" i="22" s="1"/>
  <c r="DO22" i="22"/>
  <c r="DO23" i="22" s="1"/>
  <c r="DO24" i="22" s="1"/>
  <c r="DN22" i="22"/>
  <c r="DN23" i="22" s="1"/>
  <c r="DN24" i="22" s="1"/>
  <c r="DM22" i="22"/>
  <c r="DM23" i="22" s="1"/>
  <c r="DM24" i="22" s="1"/>
  <c r="DL22" i="22"/>
  <c r="DL23" i="22" s="1"/>
  <c r="DL24" i="22" s="1"/>
  <c r="DK22" i="22"/>
  <c r="DK23" i="22" s="1"/>
  <c r="DK24" i="22" s="1"/>
  <c r="DJ22" i="22"/>
  <c r="DJ23" i="22" s="1"/>
  <c r="DJ24" i="22" s="1"/>
  <c r="DI22" i="22"/>
  <c r="DI23" i="22" s="1"/>
  <c r="DI24" i="22" s="1"/>
  <c r="DH22" i="22"/>
  <c r="DH23" i="22" s="1"/>
  <c r="DH24" i="22" s="1"/>
  <c r="DG22" i="22"/>
  <c r="DG23" i="22" s="1"/>
  <c r="DG24" i="22" s="1"/>
  <c r="CX22" i="22"/>
  <c r="CX23" i="22" s="1"/>
  <c r="CX24" i="22" s="1"/>
  <c r="CW22" i="22"/>
  <c r="CW23" i="22" s="1"/>
  <c r="CW24" i="22" s="1"/>
  <c r="CV22" i="22"/>
  <c r="CV23" i="22" s="1"/>
  <c r="CV24" i="22" s="1"/>
  <c r="ED21" i="22"/>
  <c r="EE21" i="22" s="1"/>
  <c r="EF21" i="22" s="1"/>
  <c r="EG21" i="22" s="1"/>
  <c r="EH21" i="22" s="1"/>
  <c r="EI21" i="22" s="1"/>
  <c r="EJ21" i="22" s="1"/>
  <c r="EK21" i="22" s="1"/>
  <c r="EL21" i="22" s="1"/>
  <c r="EM21" i="22" s="1"/>
  <c r="EN21" i="22" s="1"/>
  <c r="EO21" i="22" s="1"/>
  <c r="EP21" i="22" s="1"/>
  <c r="EQ21" i="22" s="1"/>
  <c r="ER21" i="22" s="1"/>
  <c r="ES21" i="22" s="1"/>
  <c r="ET21" i="22" s="1"/>
  <c r="EC21" i="22"/>
  <c r="EB21" i="22"/>
  <c r="EA21" i="22"/>
  <c r="DZ21" i="22"/>
  <c r="DY21" i="22"/>
  <c r="DX21" i="22"/>
  <c r="DW21" i="22"/>
  <c r="DV21" i="22"/>
  <c r="DU21" i="22"/>
  <c r="DT21" i="22"/>
  <c r="DS21" i="22"/>
  <c r="DR21" i="22"/>
  <c r="DQ21" i="22"/>
  <c r="DP21" i="22"/>
  <c r="DO21" i="22"/>
  <c r="DN21" i="22"/>
  <c r="DM21" i="22"/>
  <c r="DL21" i="22"/>
  <c r="DK21" i="22"/>
  <c r="DJ21" i="22"/>
  <c r="DI21" i="22"/>
  <c r="DH21" i="22"/>
  <c r="DG21" i="22"/>
  <c r="CX21" i="22"/>
  <c r="CW21" i="22"/>
  <c r="CV21" i="22"/>
  <c r="CU21" i="22"/>
  <c r="CT21" i="22"/>
  <c r="AJ21" i="22"/>
  <c r="AJ23" i="22" s="1"/>
  <c r="AJ24" i="22" s="1"/>
  <c r="AJ25" i="22" s="1"/>
  <c r="AI21" i="22"/>
  <c r="AI23" i="22" s="1"/>
  <c r="AI24" i="22" s="1"/>
  <c r="AI25" i="22" s="1"/>
  <c r="AH21" i="22"/>
  <c r="AH23" i="22" s="1"/>
  <c r="AH24" i="22" s="1"/>
  <c r="AH25" i="22" s="1"/>
  <c r="AG21" i="22"/>
  <c r="AG23" i="22" s="1"/>
  <c r="AG24" i="22" s="1"/>
  <c r="AG25" i="22" s="1"/>
  <c r="AF21" i="22"/>
  <c r="AF23" i="22" s="1"/>
  <c r="AF24" i="22" s="1"/>
  <c r="AF25" i="22" s="1"/>
  <c r="AE21" i="22"/>
  <c r="AE23" i="22" s="1"/>
  <c r="AE24" i="22" s="1"/>
  <c r="AE25" i="22" s="1"/>
  <c r="AD21" i="22"/>
  <c r="AD23" i="22" s="1"/>
  <c r="AD24" i="22" s="1"/>
  <c r="AD25" i="22" s="1"/>
  <c r="AC21" i="22"/>
  <c r="AC23" i="22" s="1"/>
  <c r="AC24" i="22" s="1"/>
  <c r="AC25" i="22" s="1"/>
  <c r="AB21" i="22"/>
  <c r="AB23" i="22" s="1"/>
  <c r="AB24" i="22" s="1"/>
  <c r="AB25" i="22" s="1"/>
  <c r="AA21" i="22"/>
  <c r="AA23" i="22" s="1"/>
  <c r="AA24" i="22" s="1"/>
  <c r="AA25" i="22" s="1"/>
  <c r="Z21" i="22"/>
  <c r="Z23" i="22" s="1"/>
  <c r="Z24" i="22" s="1"/>
  <c r="Z25" i="22" s="1"/>
  <c r="Y21" i="22"/>
  <c r="Y23" i="22" s="1"/>
  <c r="Y24" i="22" s="1"/>
  <c r="Y25" i="22" s="1"/>
  <c r="X21" i="22"/>
  <c r="X23" i="22" s="1"/>
  <c r="X24" i="22" s="1"/>
  <c r="X25" i="22" s="1"/>
  <c r="W21" i="22"/>
  <c r="W23" i="22" s="1"/>
  <c r="W24" i="22" s="1"/>
  <c r="W25" i="22" s="1"/>
  <c r="V21" i="22"/>
  <c r="V23" i="22" s="1"/>
  <c r="V24" i="22" s="1"/>
  <c r="V25" i="22" s="1"/>
  <c r="U21" i="22"/>
  <c r="U23" i="22" s="1"/>
  <c r="U24" i="22" s="1"/>
  <c r="U25" i="22" s="1"/>
  <c r="DF20" i="22"/>
  <c r="DF22" i="22" s="1"/>
  <c r="DF23" i="22" s="1"/>
  <c r="DF24" i="22" s="1"/>
  <c r="DE20" i="22"/>
  <c r="DE21" i="22" s="1"/>
  <c r="DD20" i="22"/>
  <c r="DD22" i="22" s="1"/>
  <c r="DD23" i="22" s="1"/>
  <c r="DD24" i="22" s="1"/>
  <c r="DC20" i="22"/>
  <c r="DC21" i="22" s="1"/>
  <c r="DB20" i="22"/>
  <c r="DB22" i="22" s="1"/>
  <c r="DB23" i="22" s="1"/>
  <c r="DB24" i="22" s="1"/>
  <c r="DA20" i="22"/>
  <c r="DA21" i="22" s="1"/>
  <c r="CZ20" i="22"/>
  <c r="CZ22" i="22" s="1"/>
  <c r="CZ23" i="22" s="1"/>
  <c r="CZ24" i="22" s="1"/>
  <c r="CY20" i="22"/>
  <c r="CY21" i="22" s="1"/>
  <c r="CS20" i="22"/>
  <c r="CS21" i="22" s="1"/>
  <c r="CR20" i="22"/>
  <c r="CQ20" i="22"/>
  <c r="CP20" i="22"/>
  <c r="CO20" i="22"/>
  <c r="CN20" i="22"/>
  <c r="CM20" i="22"/>
  <c r="CL20" i="22"/>
  <c r="CK20" i="22"/>
  <c r="CJ20" i="22"/>
  <c r="CI20" i="22"/>
  <c r="CH20" i="22"/>
  <c r="CG20" i="22"/>
  <c r="CF20" i="22"/>
  <c r="CE20" i="22"/>
  <c r="CD20" i="22"/>
  <c r="AQ20" i="22"/>
  <c r="AP20" i="22"/>
  <c r="AP21" i="22" s="1"/>
  <c r="AP23" i="22" s="1"/>
  <c r="AP24" i="22" s="1"/>
  <c r="AP25" i="22" s="1"/>
  <c r="AO20" i="22"/>
  <c r="AO21" i="22" s="1"/>
  <c r="AO23" i="22" s="1"/>
  <c r="AO24" i="22" s="1"/>
  <c r="AO25" i="22" s="1"/>
  <c r="AN20" i="22"/>
  <c r="AN21" i="22" s="1"/>
  <c r="AN23" i="22" s="1"/>
  <c r="AN24" i="22" s="1"/>
  <c r="AN25" i="22" s="1"/>
  <c r="AM20" i="22"/>
  <c r="AM21" i="22" s="1"/>
  <c r="AM23" i="22" s="1"/>
  <c r="AM24" i="22" s="1"/>
  <c r="AM25" i="22" s="1"/>
  <c r="AL20" i="22"/>
  <c r="AL21" i="22" s="1"/>
  <c r="AL23" i="22" s="1"/>
  <c r="EH19" i="22"/>
  <c r="EG19" i="22"/>
  <c r="EF19" i="22"/>
  <c r="EE19" i="22"/>
  <c r="AQ19" i="22" s="1"/>
  <c r="DZ19" i="22"/>
  <c r="DZ18" i="22" s="1"/>
  <c r="DY19" i="22"/>
  <c r="DY18" i="22" s="1"/>
  <c r="DX19" i="22"/>
  <c r="DX18" i="22" s="1"/>
  <c r="DW19" i="22"/>
  <c r="DV19" i="22"/>
  <c r="DV18" i="22" s="1"/>
  <c r="DU19" i="22"/>
  <c r="DU18" i="22" s="1"/>
  <c r="DT19" i="22"/>
  <c r="DT18" i="22" s="1"/>
  <c r="DS19" i="22"/>
  <c r="DS18" i="22" s="1"/>
  <c r="DR19" i="22"/>
  <c r="DR18" i="22" s="1"/>
  <c r="DQ19" i="22"/>
  <c r="DQ18" i="22" s="1"/>
  <c r="DP19" i="22"/>
  <c r="DP18" i="22" s="1"/>
  <c r="DO19" i="22"/>
  <c r="DN19" i="22"/>
  <c r="DN18" i="22" s="1"/>
  <c r="DM19" i="22"/>
  <c r="DM18" i="22" s="1"/>
  <c r="DL19" i="22"/>
  <c r="DL18" i="22" s="1"/>
  <c r="DK19" i="22"/>
  <c r="DJ19" i="22"/>
  <c r="DJ18" i="22" s="1"/>
  <c r="DI19" i="22"/>
  <c r="DI18" i="22" s="1"/>
  <c r="DH19" i="22"/>
  <c r="DH18" i="22" s="1"/>
  <c r="DG19" i="22"/>
  <c r="DF19" i="22"/>
  <c r="DF18" i="22" s="1"/>
  <c r="DE19" i="22"/>
  <c r="DE18" i="22" s="1"/>
  <c r="DD19" i="22"/>
  <c r="DD18" i="22" s="1"/>
  <c r="DC19" i="22"/>
  <c r="DC18" i="22" s="1"/>
  <c r="DB19" i="22"/>
  <c r="DA19" i="22"/>
  <c r="CZ19" i="22"/>
  <c r="CY19" i="22"/>
  <c r="AJ19" i="22"/>
  <c r="AI19" i="22"/>
  <c r="AI46" i="22" s="1"/>
  <c r="AH19" i="22"/>
  <c r="AH46" i="22" s="1"/>
  <c r="AG19" i="22"/>
  <c r="AG46" i="22" s="1"/>
  <c r="AF19" i="22"/>
  <c r="AF46" i="22" s="1"/>
  <c r="AE19" i="22"/>
  <c r="AE46" i="22" s="1"/>
  <c r="AD19" i="22"/>
  <c r="AD46" i="22" s="1"/>
  <c r="AC19" i="22"/>
  <c r="AC46" i="22" s="1"/>
  <c r="AB19" i="22"/>
  <c r="AB46" i="22" s="1"/>
  <c r="AA19" i="22"/>
  <c r="AA46" i="22" s="1"/>
  <c r="Z19" i="22"/>
  <c r="Z46" i="22" s="1"/>
  <c r="Y19" i="22"/>
  <c r="Y46" i="22" s="1"/>
  <c r="X19" i="22"/>
  <c r="X46" i="22" s="1"/>
  <c r="W19" i="22"/>
  <c r="W46" i="22" s="1"/>
  <c r="V19" i="22"/>
  <c r="V46" i="22" s="1"/>
  <c r="U19" i="22"/>
  <c r="U46" i="22" s="1"/>
  <c r="T19" i="22"/>
  <c r="S19" i="22"/>
  <c r="R19" i="22"/>
  <c r="Q19" i="22"/>
  <c r="P19" i="22"/>
  <c r="O19" i="22"/>
  <c r="N19" i="22"/>
  <c r="M19" i="22"/>
  <c r="L19" i="22"/>
  <c r="K19" i="22"/>
  <c r="J19" i="22"/>
  <c r="I19" i="22"/>
  <c r="AQ18" i="22"/>
  <c r="AQ17" i="22"/>
  <c r="AP17" i="22"/>
  <c r="AO17" i="22"/>
  <c r="AN17" i="22"/>
  <c r="AM17" i="22"/>
  <c r="AL17" i="22"/>
  <c r="AK17" i="22"/>
  <c r="EG16" i="22"/>
  <c r="EF16" i="22"/>
  <c r="EE16" i="22"/>
  <c r="ED16" i="22"/>
  <c r="EC16" i="22"/>
  <c r="EB16" i="22"/>
  <c r="EA16" i="22"/>
  <c r="DZ16" i="22"/>
  <c r="DY16" i="22"/>
  <c r="DX16" i="22"/>
  <c r="DW16" i="22"/>
  <c r="DV16" i="22"/>
  <c r="DU16" i="22"/>
  <c r="DT16" i="22"/>
  <c r="DS16" i="22"/>
  <c r="DR16" i="22"/>
  <c r="DQ16" i="22"/>
  <c r="DP16" i="22"/>
  <c r="DO16" i="22"/>
  <c r="DN16" i="22"/>
  <c r="DM16" i="22"/>
  <c r="DL16" i="22"/>
  <c r="DK16" i="22"/>
  <c r="DJ16" i="22"/>
  <c r="DI16" i="22"/>
  <c r="DH16" i="22"/>
  <c r="DG16" i="22"/>
  <c r="DF16" i="22"/>
  <c r="DE16" i="22"/>
  <c r="DD16" i="22"/>
  <c r="DC16" i="22"/>
  <c r="DB16" i="22"/>
  <c r="DA16" i="22"/>
  <c r="CY16" i="22"/>
  <c r="CS16" i="22"/>
  <c r="CR16" i="22"/>
  <c r="CQ16" i="22"/>
  <c r="CP16" i="22"/>
  <c r="CO16" i="22"/>
  <c r="CN16" i="22"/>
  <c r="CM16" i="22"/>
  <c r="CL16" i="22"/>
  <c r="CK16" i="22"/>
  <c r="CJ16" i="22"/>
  <c r="CI16" i="22"/>
  <c r="CH16" i="22"/>
  <c r="CG16" i="22"/>
  <c r="CF16" i="22"/>
  <c r="CE16" i="22"/>
  <c r="CD16" i="22"/>
  <c r="AD16" i="22"/>
  <c r="AD45" i="22" s="1"/>
  <c r="DP14" i="22"/>
  <c r="DO14" i="22"/>
  <c r="DN14" i="22"/>
  <c r="DM14" i="22"/>
  <c r="DL14" i="22"/>
  <c r="DK14" i="22"/>
  <c r="DJ14" i="22"/>
  <c r="DI14" i="22"/>
  <c r="DH14" i="22"/>
  <c r="DG14" i="22"/>
  <c r="DF13" i="22"/>
  <c r="DF14" i="22" s="1"/>
  <c r="DE13" i="22"/>
  <c r="DE14" i="22" s="1"/>
  <c r="DD13" i="22"/>
  <c r="DD14" i="22" s="1"/>
  <c r="DC13" i="22"/>
  <c r="DC14" i="22" s="1"/>
  <c r="DB13" i="22"/>
  <c r="DB14" i="22" s="1"/>
  <c r="DA13" i="22"/>
  <c r="DA14" i="22" s="1"/>
  <c r="CZ13" i="22"/>
  <c r="CZ14" i="22" s="1"/>
  <c r="CY13" i="22"/>
  <c r="CY14" i="22" s="1"/>
  <c r="CX13" i="22"/>
  <c r="CX14" i="22" s="1"/>
  <c r="CW13" i="22"/>
  <c r="CW14" i="22" s="1"/>
  <c r="CV13" i="22"/>
  <c r="CV14" i="22" s="1"/>
  <c r="CU13" i="22"/>
  <c r="CU14" i="22" s="1"/>
  <c r="CT13" i="22"/>
  <c r="CT14" i="22" s="1"/>
  <c r="AR13" i="22"/>
  <c r="AQ13" i="22"/>
  <c r="AP13" i="22"/>
  <c r="AO13" i="22"/>
  <c r="AN13" i="22"/>
  <c r="AM13" i="22"/>
  <c r="AM14" i="22" s="1"/>
  <c r="AL13" i="22"/>
  <c r="AL14" i="22" s="1"/>
  <c r="AK13" i="22"/>
  <c r="AK14" i="22" s="1"/>
  <c r="AJ13" i="22"/>
  <c r="AJ14" i="22" s="1"/>
  <c r="AI13" i="22"/>
  <c r="AI14" i="22" s="1"/>
  <c r="AH13" i="22"/>
  <c r="AH14" i="22" s="1"/>
  <c r="AG13" i="22"/>
  <c r="AG14" i="22" s="1"/>
  <c r="AF13" i="22"/>
  <c r="AF14" i="22" s="1"/>
  <c r="AE13" i="22"/>
  <c r="AE14" i="22" s="1"/>
  <c r="AD13" i="22"/>
  <c r="AD14" i="22" s="1"/>
  <c r="AC13" i="22"/>
  <c r="AC14" i="22" s="1"/>
  <c r="AB13" i="22"/>
  <c r="AA13" i="22"/>
  <c r="Z13" i="22"/>
  <c r="Z14" i="22" s="1"/>
  <c r="Y13" i="22"/>
  <c r="Y14" i="22" s="1"/>
  <c r="X13" i="22"/>
  <c r="X14" i="22" s="1"/>
  <c r="W13" i="22"/>
  <c r="W14" i="22" s="1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EH11" i="22"/>
  <c r="EG11" i="22"/>
  <c r="EF11" i="22"/>
  <c r="EE11" i="22"/>
  <c r="ED11" i="22"/>
  <c r="EC11" i="22"/>
  <c r="EB11" i="22"/>
  <c r="EA11" i="22"/>
  <c r="DZ11" i="22"/>
  <c r="DY11" i="22"/>
  <c r="DX11" i="22"/>
  <c r="DW11" i="22"/>
  <c r="DV11" i="22"/>
  <c r="DU11" i="22"/>
  <c r="DT11" i="22"/>
  <c r="DS11" i="22"/>
  <c r="AA11" i="22"/>
  <c r="Z11" i="22"/>
  <c r="Y11" i="22"/>
  <c r="X11" i="22"/>
  <c r="W11" i="22"/>
  <c r="EH7" i="22"/>
  <c r="EH12" i="22" s="1"/>
  <c r="EG7" i="22"/>
  <c r="EG12" i="22" s="1"/>
  <c r="EF7" i="22"/>
  <c r="EF12" i="22" s="1"/>
  <c r="EE7" i="22"/>
  <c r="EE12" i="22" s="1"/>
  <c r="ED7" i="22"/>
  <c r="ED12" i="22" s="1"/>
  <c r="EC7" i="22"/>
  <c r="EC12" i="22" s="1"/>
  <c r="EB7" i="22"/>
  <c r="EB12" i="22" s="1"/>
  <c r="EA7" i="22"/>
  <c r="EA12" i="22" s="1"/>
  <c r="DZ7" i="22"/>
  <c r="DZ12" i="22" s="1"/>
  <c r="DY7" i="22"/>
  <c r="DY12" i="22" s="1"/>
  <c r="DX7" i="22"/>
  <c r="DX12" i="22" s="1"/>
  <c r="DW7" i="22"/>
  <c r="DW12" i="22" s="1"/>
  <c r="DV7" i="22"/>
  <c r="DV12" i="22" s="1"/>
  <c r="DU7" i="22"/>
  <c r="DU12" i="22" s="1"/>
  <c r="DT7" i="22"/>
  <c r="DT12" i="22" s="1"/>
  <c r="DS7" i="22"/>
  <c r="DS12" i="22" s="1"/>
  <c r="DR7" i="22"/>
  <c r="DR12" i="22" s="1"/>
  <c r="DQ7" i="22"/>
  <c r="DQ12" i="22" s="1"/>
  <c r="DP7" i="22"/>
  <c r="DP12" i="22" s="1"/>
  <c r="DO7" i="22"/>
  <c r="DO12" i="22" s="1"/>
  <c r="DN7" i="22"/>
  <c r="DN12" i="22" s="1"/>
  <c r="DM7" i="22"/>
  <c r="DM12" i="22" s="1"/>
  <c r="DL7" i="22"/>
  <c r="DL12" i="22" s="1"/>
  <c r="DK7" i="22"/>
  <c r="DK12" i="22" s="1"/>
  <c r="DJ7" i="22"/>
  <c r="DJ12" i="22" s="1"/>
  <c r="DI7" i="22"/>
  <c r="DI12" i="22" s="1"/>
  <c r="DH7" i="22"/>
  <c r="DH12" i="22" s="1"/>
  <c r="DG7" i="22"/>
  <c r="DG12" i="22" s="1"/>
  <c r="DF7" i="22"/>
  <c r="DF12" i="22" s="1"/>
  <c r="DE7" i="22"/>
  <c r="DE12" i="22" s="1"/>
  <c r="DD7" i="22"/>
  <c r="DD12" i="22" s="1"/>
  <c r="DC7" i="22"/>
  <c r="DC12" i="22" s="1"/>
  <c r="DB7" i="22"/>
  <c r="DB12" i="22" s="1"/>
  <c r="DA7" i="22"/>
  <c r="DA12" i="22" s="1"/>
  <c r="CZ7" i="22"/>
  <c r="CZ12" i="22" s="1"/>
  <c r="CY7" i="22"/>
  <c r="CY12" i="22" s="1"/>
  <c r="CX7" i="22"/>
  <c r="CX12" i="22" s="1"/>
  <c r="CW7" i="22"/>
  <c r="CW12" i="22" s="1"/>
  <c r="CV7" i="22"/>
  <c r="CV12" i="22" s="1"/>
  <c r="CU7" i="22"/>
  <c r="CU12" i="22" s="1"/>
  <c r="CT7" i="22"/>
  <c r="CT12" i="22" s="1"/>
  <c r="CS7" i="22"/>
  <c r="CR7" i="22"/>
  <c r="CQ7" i="22"/>
  <c r="CP7" i="22"/>
  <c r="CO7" i="22"/>
  <c r="CN7" i="22"/>
  <c r="CM7" i="22"/>
  <c r="CL7" i="22"/>
  <c r="CK7" i="22"/>
  <c r="CJ7" i="22"/>
  <c r="CI7" i="22"/>
  <c r="CH7" i="22"/>
  <c r="CG7" i="22"/>
  <c r="CF7" i="22"/>
  <c r="CE7" i="22"/>
  <c r="CD7" i="22"/>
  <c r="AR7" i="22"/>
  <c r="AR12" i="22" s="1"/>
  <c r="AQ7" i="22"/>
  <c r="AQ12" i="22" s="1"/>
  <c r="AP7" i="22"/>
  <c r="AP12" i="22" s="1"/>
  <c r="AO7" i="22"/>
  <c r="AO12" i="22" s="1"/>
  <c r="AN7" i="22"/>
  <c r="AN12" i="22" s="1"/>
  <c r="AM7" i="22"/>
  <c r="AM12" i="22" s="1"/>
  <c r="AL7" i="22"/>
  <c r="AL12" i="22" s="1"/>
  <c r="AK7" i="22"/>
  <c r="AK12" i="22" s="1"/>
  <c r="AJ7" i="22"/>
  <c r="AJ12" i="22" s="1"/>
  <c r="AI7" i="22"/>
  <c r="AI12" i="22" s="1"/>
  <c r="AH7" i="22"/>
  <c r="AH12" i="22" s="1"/>
  <c r="AG7" i="22"/>
  <c r="AG12" i="22" s="1"/>
  <c r="AF7" i="22"/>
  <c r="AF12" i="22" s="1"/>
  <c r="AE7" i="22"/>
  <c r="AE12" i="22" s="1"/>
  <c r="AD7" i="22"/>
  <c r="AD12" i="22" s="1"/>
  <c r="AC7" i="22"/>
  <c r="AC12" i="22" s="1"/>
  <c r="AB7" i="22"/>
  <c r="AB12" i="22" s="1"/>
  <c r="AA7" i="22"/>
  <c r="AA12" i="22" s="1"/>
  <c r="Z7" i="22"/>
  <c r="Z12" i="22" s="1"/>
  <c r="V7" i="22"/>
  <c r="V12" i="22" s="1"/>
  <c r="U7" i="22"/>
  <c r="U12" i="22" s="1"/>
  <c r="T7" i="22"/>
  <c r="T12" i="22" s="1"/>
  <c r="S7" i="22"/>
  <c r="S12" i="22" s="1"/>
  <c r="R7" i="22"/>
  <c r="R12" i="22" s="1"/>
  <c r="Q7" i="22"/>
  <c r="Q12" i="22" s="1"/>
  <c r="P7" i="22"/>
  <c r="P12" i="22" s="1"/>
  <c r="O7" i="22"/>
  <c r="O12" i="22" s="1"/>
  <c r="N7" i="22"/>
  <c r="N12" i="22" s="1"/>
  <c r="M7" i="22"/>
  <c r="M12" i="22" s="1"/>
  <c r="L7" i="22"/>
  <c r="L12" i="22" s="1"/>
  <c r="K7" i="22"/>
  <c r="K12" i="22" s="1"/>
  <c r="J7" i="22"/>
  <c r="J12" i="22" s="1"/>
  <c r="I7" i="22"/>
  <c r="I12" i="22" s="1"/>
  <c r="W4" i="22"/>
  <c r="X4" i="22" s="1"/>
  <c r="AL24" i="22" l="1"/>
  <c r="AL25" i="22" s="1"/>
  <c r="EU21" i="22"/>
  <c r="EV21" i="22" s="1"/>
  <c r="EW21" i="22" s="1"/>
  <c r="EX21" i="22" s="1"/>
  <c r="EY21" i="22" s="1"/>
  <c r="EZ21" i="22" s="1"/>
  <c r="FA21" i="22" s="1"/>
  <c r="FB21" i="22" s="1"/>
  <c r="FC21" i="22" s="1"/>
  <c r="FD21" i="22" s="1"/>
  <c r="FE21" i="22" s="1"/>
  <c r="FF21" i="22" s="1"/>
  <c r="FG21" i="22" s="1"/>
  <c r="FH21" i="22" s="1"/>
  <c r="FI21" i="22" s="1"/>
  <c r="FJ21" i="22" s="1"/>
  <c r="FK21" i="22" s="1"/>
  <c r="FL21" i="22" s="1"/>
  <c r="FM21" i="22" s="1"/>
  <c r="FN21" i="22" s="1"/>
  <c r="FO21" i="22" s="1"/>
  <c r="FP21" i="22" s="1"/>
  <c r="FQ21" i="22" s="1"/>
  <c r="FR21" i="22" s="1"/>
  <c r="FS21" i="22" s="1"/>
  <c r="FT21" i="22" s="1"/>
  <c r="FU21" i="22" s="1"/>
  <c r="FV21" i="22" s="1"/>
  <c r="FW21" i="22" s="1"/>
  <c r="FX21" i="22" s="1"/>
  <c r="FY21" i="22" s="1"/>
  <c r="FZ21" i="22" s="1"/>
  <c r="GA21" i="22" s="1"/>
  <c r="GB21" i="22" s="1"/>
  <c r="GC21" i="22" s="1"/>
  <c r="GD21" i="22" s="1"/>
  <c r="GE21" i="22" s="1"/>
  <c r="GF21" i="22" s="1"/>
  <c r="GG21" i="22" s="1"/>
  <c r="GH21" i="22" s="1"/>
  <c r="GI21" i="22" s="1"/>
  <c r="GJ21" i="22" s="1"/>
  <c r="GK21" i="22" s="1"/>
  <c r="GL21" i="22" s="1"/>
  <c r="GM21" i="22" s="1"/>
  <c r="GN21" i="22" s="1"/>
  <c r="GO21" i="22" s="1"/>
  <c r="GP21" i="22" s="1"/>
  <c r="GQ21" i="22" s="1"/>
  <c r="GR21" i="22" s="1"/>
  <c r="GS21" i="22" s="1"/>
  <c r="GT21" i="22" s="1"/>
  <c r="GU21" i="22" s="1"/>
  <c r="GV21" i="22" s="1"/>
  <c r="GW21" i="22" s="1"/>
  <c r="GX21" i="22" s="1"/>
  <c r="GY21" i="22" s="1"/>
  <c r="GZ21" i="22" s="1"/>
  <c r="HA21" i="22" s="1"/>
  <c r="HB21" i="22" s="1"/>
  <c r="HC21" i="22" s="1"/>
  <c r="AL19" i="22"/>
  <c r="AL18" i="22" s="1"/>
  <c r="AN19" i="22"/>
  <c r="AN18" i="22" s="1"/>
  <c r="AP19" i="22"/>
  <c r="AR16" i="22"/>
  <c r="AQ16" i="22"/>
  <c r="AM19" i="22"/>
  <c r="AM46" i="22" s="1"/>
  <c r="J9" i="69"/>
  <c r="AR19" i="22"/>
  <c r="AQ21" i="22"/>
  <c r="AQ23" i="22" s="1"/>
  <c r="AQ24" i="22" s="1"/>
  <c r="AQ25" i="22" s="1"/>
  <c r="AL16" i="22"/>
  <c r="AN16" i="22"/>
  <c r="AP16" i="22"/>
  <c r="DD21" i="22"/>
  <c r="L15" i="65"/>
  <c r="L16" i="65" s="1"/>
  <c r="N15" i="65"/>
  <c r="N16" i="65" s="1"/>
  <c r="M10" i="65"/>
  <c r="O10" i="65"/>
  <c r="I10" i="65"/>
  <c r="K10" i="65"/>
  <c r="J10" i="65"/>
  <c r="I13" i="65"/>
  <c r="I14" i="65" s="1"/>
  <c r="I15" i="65" s="1"/>
  <c r="I16" i="65" s="1"/>
  <c r="L10" i="65"/>
  <c r="N10" i="65"/>
  <c r="O15" i="69"/>
  <c r="O16" i="69" s="1"/>
  <c r="I9" i="69"/>
  <c r="J15" i="69"/>
  <c r="J16" i="69" s="1"/>
  <c r="CZ21" i="22"/>
  <c r="DK18" i="22"/>
  <c r="DB21" i="22"/>
  <c r="AK16" i="22"/>
  <c r="AM16" i="22"/>
  <c r="AM45" i="22" s="1"/>
  <c r="AO19" i="22"/>
  <c r="AO18" i="22" s="1"/>
  <c r="AO16" i="22"/>
  <c r="DG18" i="22"/>
  <c r="DO18" i="22"/>
  <c r="DW18" i="22"/>
  <c r="AP18" i="22" s="1"/>
  <c r="AK19" i="22"/>
  <c r="AK18" i="22" s="1"/>
  <c r="X7" i="22"/>
  <c r="X12" i="22" s="1"/>
  <c r="Y4" i="22"/>
  <c r="Y7" i="22" s="1"/>
  <c r="Y12" i="22" s="1"/>
  <c r="AR23" i="22"/>
  <c r="AR24" i="22" s="1"/>
  <c r="AR25" i="22" s="1"/>
  <c r="W7" i="22"/>
  <c r="W12" i="22" s="1"/>
  <c r="DC22" i="22"/>
  <c r="DC23" i="22" s="1"/>
  <c r="DC24" i="22" s="1"/>
  <c r="AM43" i="22"/>
  <c r="AM44" i="22"/>
  <c r="DF21" i="22"/>
  <c r="CY22" i="22"/>
  <c r="CY23" i="22" s="1"/>
  <c r="CY24" i="22" s="1"/>
  <c r="DA22" i="22"/>
  <c r="DA23" i="22" s="1"/>
  <c r="DA24" i="22" s="1"/>
  <c r="DE22" i="22"/>
  <c r="DE23" i="22" s="1"/>
  <c r="DE24" i="22" s="1"/>
  <c r="AK20" i="22"/>
  <c r="AK21" i="22" s="1"/>
  <c r="AK23" i="22" s="1"/>
  <c r="AK24" i="22" s="1"/>
  <c r="AK25" i="22" s="1"/>
  <c r="I15" i="69"/>
  <c r="I16" i="69" s="1"/>
  <c r="M15" i="65"/>
  <c r="M16" i="65" s="1"/>
  <c r="J15" i="65"/>
  <c r="J16" i="65" s="1"/>
  <c r="K15" i="65"/>
  <c r="K16" i="65" s="1"/>
  <c r="AM18" i="22" l="1"/>
  <c r="X11" i="76"/>
  <c r="X10" i="76"/>
  <c r="X12" i="7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X6" authorId="0" shapeId="0" xr:uid="{039B3AB1-5062-49E7-B2C7-BF9CD6819DF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Từ 16/03 tăng thêm 50 USD</t>
        </r>
      </text>
    </comment>
    <comment ref="BL24" authorId="0" shapeId="0" xr:uid="{164B4B02-3774-4555-91B9-114AC3AD9C2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M24" authorId="0" shapeId="0" xr:uid="{8E0F412C-B3FA-45A9-98AD-5D2904BA6E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N24" authorId="0" shapeId="0" xr:uid="{D9387435-1FC4-4256-AACF-2F49CEEBA22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O24" authorId="0" shapeId="0" xr:uid="{30F47F06-3C07-4546-91D9-0AE2D580409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P24" authorId="0" shapeId="0" xr:uid="{9158D75B-C1F3-4DAF-9144-BA369843EA5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Q24" authorId="0" shapeId="0" xr:uid="{37FACCCB-FBC7-419D-88F5-1E159E4CF3B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R24" authorId="0" shapeId="0" xr:uid="{CC765D84-8FB3-4AA3-99ED-CE5635B404E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S24" authorId="0" shapeId="0" xr:uid="{F0DD7085-432E-4E40-95C4-3ED9D6319D7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T24" authorId="0" shapeId="0" xr:uid="{C1F7D7B1-5FDC-406F-8D18-A09ADFE402C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BU24" authorId="0" shapeId="0" xr:uid="{15E4FBCE-44FC-4613-81B7-99C0B95F2FA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tc={E38F3020-B9E2-458C-8362-614AD84E00F2}</author>
  </authors>
  <commentList>
    <comment ref="AR6" authorId="0" shapeId="0" xr:uid="{E38F3020-B9E2-458C-8362-614AD84E00F2}">
      <text>
        <t>[Threaded comment]
Your version of Excel allows you to read this threaded comment; however, any edits to it will get removed if the file is opened in a newer version of Excel. Learn more: https://go.microsoft.com/fwlink/?linkid=870924
Comment:
    Giá WSS01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  <author>Diễm, Nguyễn Thị Thanh</author>
  </authors>
  <commentList>
    <comment ref="F20" authorId="0" shapeId="0" xr:uid="{4515630C-3D7B-479F-9946-B3E5DD836263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H20" authorId="0" shapeId="0" xr:uid="{BAD5B414-9895-4F3B-B98A-7DA56154BD09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CC20" authorId="0" shapeId="0" xr:uid="{206B2C4B-8D0B-469F-BF3E-A46D02D6639B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BL22" authorId="1" shapeId="0" xr:uid="{D696C53E-3B2C-47DE-9BDA-D17B29CA0E3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M22" authorId="1" shapeId="0" xr:uid="{7D7AAFEC-3B48-403F-B6CB-037DF43EC97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N22" authorId="1" shapeId="0" xr:uid="{8E48445D-18C0-475E-BF3A-C6754F7D207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O22" authorId="1" shapeId="0" xr:uid="{A8F61C70-41DD-4CD8-834A-6B44FFF99E7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P22" authorId="1" shapeId="0" xr:uid="{C6D9F369-D97F-4A82-AF48-CCF642DC01E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Q22" authorId="1" shapeId="0" xr:uid="{808C3C18-FA80-45A6-ACBF-08385E50C7BB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R22" authorId="1" shapeId="0" xr:uid="{0C391F74-AC93-4123-97A8-08F07CF774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S22" authorId="1" shapeId="0" xr:uid="{7BB3C59B-F60E-4C09-B2B5-D2BF4D99F91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T22" authorId="1" shapeId="0" xr:uid="{980A1B31-50CA-44D4-B32A-B7932A35AB5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  <comment ref="BU22" authorId="1" shapeId="0" xr:uid="{28CE7D86-1BEE-48F7-BAF4-9043EAB59BA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05.03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</authors>
  <commentList>
    <comment ref="F6" authorId="0" shapeId="0" xr:uid="{F5C95243-1A4C-4B6D-A7CD-7F779D045C84}">
      <text>
        <r>
          <rPr>
            <b/>
            <sz val="8"/>
            <color indexed="81"/>
            <rFont val="Tahoma"/>
            <family val="2"/>
          </rPr>
          <t>Lộc, Giang Văn:</t>
        </r>
        <r>
          <rPr>
            <sz val="8"/>
            <color indexed="81"/>
            <rFont val="Tahoma"/>
            <family val="2"/>
          </rPr>
          <t xml:space="preserve">
Lấy giá tồn kho cuối tháng của 38% chai + 62% vảy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<sst xmlns="http://schemas.openxmlformats.org/spreadsheetml/2006/main" count="1082" uniqueCount="199">
  <si>
    <t>Stt</t>
  </si>
  <si>
    <t>Mã SAP</t>
  </si>
  <si>
    <t>Diễn giải</t>
  </si>
  <si>
    <t>Tỷ giá</t>
  </si>
  <si>
    <t>Tên hàng hóa SAP</t>
  </si>
  <si>
    <t>Mã SP</t>
  </si>
  <si>
    <t>Tên sản phẩm</t>
  </si>
  <si>
    <t>Đơn vị tính</t>
  </si>
  <si>
    <t>T1.21</t>
  </si>
  <si>
    <t>T2.21</t>
  </si>
  <si>
    <t>T3.21</t>
  </si>
  <si>
    <t>T4.21</t>
  </si>
  <si>
    <t>T5.21</t>
  </si>
  <si>
    <t>T6.21</t>
  </si>
  <si>
    <t>T7.21</t>
  </si>
  <si>
    <t>T8.21</t>
  </si>
  <si>
    <t>T9.21</t>
  </si>
  <si>
    <t>T10.21</t>
  </si>
  <si>
    <t>T11.21</t>
  </si>
  <si>
    <t>T12.21</t>
  </si>
  <si>
    <t>Vảy PET DBF01-CR</t>
  </si>
  <si>
    <t>A4</t>
  </si>
  <si>
    <t>A4 - Vảy PET tuyển -RL mua ngoài</t>
  </si>
  <si>
    <t>đồng /kg</t>
  </si>
  <si>
    <t>$ /tấn</t>
  </si>
  <si>
    <t>110000329</t>
  </si>
  <si>
    <t>Hạt rPET WSS01</t>
  </si>
  <si>
    <t>WSS01/G</t>
  </si>
  <si>
    <t>WSS01 - Hạt rPET (IV 0.78)</t>
  </si>
  <si>
    <t>DTR-Giá EXW xuất xưởng</t>
  </si>
  <si>
    <t>ẩn</t>
  </si>
  <si>
    <t>Tỷ lệ % lãi gộp Vảy /Giá EXW</t>
  </si>
  <si>
    <t>110000330</t>
  </si>
  <si>
    <t>Hạt rPET SS01</t>
  </si>
  <si>
    <t>ISS01/G</t>
  </si>
  <si>
    <t>SS01 - Hạt rPET  (IV 0.82)</t>
  </si>
  <si>
    <t>DTR-Giá FOB rPET ISS01</t>
  </si>
  <si>
    <t>ICIS</t>
  </si>
  <si>
    <t>ICIS giá rPET  ($ /tấn)</t>
  </si>
  <si>
    <t>ICIS FOB ĐNA - Giá trung bình</t>
  </si>
  <si>
    <t>ICIS FOB ĐNA - Giá Cao</t>
  </si>
  <si>
    <t>Anh 12</t>
  </si>
  <si>
    <t>FENC_FOB TAIWAN BÁN CHO UNILEVER</t>
  </si>
  <si>
    <t>C1</t>
  </si>
  <si>
    <t>DTR-Giá mua Vảy HDPE _Clear  ($ /tấn)</t>
  </si>
  <si>
    <t>Giá vảy HDPE mua ngoài</t>
  </si>
  <si>
    <t>110000339</t>
  </si>
  <si>
    <t>Hạt nhựa rHDPE MBF01</t>
  </si>
  <si>
    <t>MBF01</t>
  </si>
  <si>
    <t>DTR-Giá EXW rHD xuất xưởng</t>
  </si>
  <si>
    <t>DTR-Giá FOB cảng HCM</t>
  </si>
  <si>
    <t>DTR-Giá FOB rHD cảng HCM</t>
  </si>
  <si>
    <t>DTR-Giá FOB rHD xuất xưởng</t>
  </si>
  <si>
    <t>Giá CIF_ĐNÁ rHDPE ($ /tấn)</t>
  </si>
  <si>
    <t>Giá Dafon CIF_ĐNÁ rHD</t>
  </si>
  <si>
    <t>Giá FOB_ĐNÁ rHDPE ($ /tấn)</t>
  </si>
  <si>
    <t>Giá Dafon FOB Taiwan</t>
  </si>
  <si>
    <t>MA TRẬN GIÁ BÁN rHDPE</t>
  </si>
  <si>
    <t>MA TRẬN GIÁ BÁN rPET</t>
  </si>
  <si>
    <t>Giá keo chính phẩm +15%</t>
  </si>
  <si>
    <t xml:space="preserve">ICIS </t>
  </si>
  <si>
    <t>DTR-Giá WSS01 FOB-HCM (IV: 0,78+/- 0.02)</t>
  </si>
  <si>
    <t>DTR-Giá ISS01 FOB-HCM (IV: 0,82+/- 0.02)</t>
  </si>
  <si>
    <t>Hiện tại 23/8</t>
  </si>
  <si>
    <t>ICIS - Giá vảy HDPE</t>
  </si>
  <si>
    <t>4/10</t>
  </si>
  <si>
    <t>11/10</t>
  </si>
  <si>
    <t>18/10</t>
  </si>
  <si>
    <t>25/10</t>
  </si>
  <si>
    <t>Giá thị trường chính phẩm</t>
  </si>
  <si>
    <t>x</t>
  </si>
  <si>
    <t>FENC_BÁN CHO UNILEVER</t>
  </si>
  <si>
    <t>ISS01 (IV: 0,82+/- 0.02)</t>
  </si>
  <si>
    <t>"FOB-DTR"</t>
  </si>
  <si>
    <t>1/23</t>
  </si>
  <si>
    <t>T1/23</t>
  </si>
  <si>
    <t>07.02</t>
  </si>
  <si>
    <t>ICIS Thị trường Mỹ (FOB)</t>
  </si>
  <si>
    <t>Giá tới nhà máy Plascene</t>
  </si>
  <si>
    <t>14.02</t>
  </si>
  <si>
    <t>21.02</t>
  </si>
  <si>
    <t>%</t>
  </si>
  <si>
    <t>TTCP</t>
  </si>
  <si>
    <t>CL</t>
  </si>
  <si>
    <t>Giá keo dự báo</t>
  </si>
  <si>
    <t>Giá dự báo</t>
  </si>
  <si>
    <t>28.02</t>
  </si>
  <si>
    <t>Điểm hòa vốn</t>
  </si>
  <si>
    <t>ICIS Bờ Tây Mỹ (FOB)</t>
  </si>
  <si>
    <t>Điểm hòa vốn có rework</t>
  </si>
  <si>
    <t xml:space="preserve">MA TRẬN GIÁ BÁN rPP </t>
  </si>
  <si>
    <t xml:space="preserve">Vảy PP tuyển </t>
  </si>
  <si>
    <t>Vảy PP tuyển mua ngoài - ICIS</t>
  </si>
  <si>
    <t xml:space="preserve">Giá rPP </t>
  </si>
  <si>
    <t>Giá keo PP chính phẩm</t>
  </si>
  <si>
    <t xml:space="preserve">DTR FOB rPP </t>
  </si>
  <si>
    <t>Dafon FOB (personal care)</t>
  </si>
  <si>
    <t>1</t>
  </si>
  <si>
    <t>Dafon FOB (Home care)</t>
  </si>
  <si>
    <t>Giá bán Unilever</t>
  </si>
  <si>
    <t>DTR- rHD</t>
  </si>
  <si>
    <t>giá EXW</t>
  </si>
  <si>
    <t xml:space="preserve">MA TRẬN GIÁ BÁN rHD ÉP </t>
  </si>
  <si>
    <t>DTR FOB rHD Ép- màu trắng&amp; đỏ</t>
  </si>
  <si>
    <t>DTR FOB rHD Ép- màu dương đậm</t>
  </si>
  <si>
    <t>DTR-xuất hóa đơn (màu trắng&amp; đỏ)</t>
  </si>
  <si>
    <t>Điểm hòa vốn sử dụng 100% Olefin</t>
  </si>
  <si>
    <t>Điểm hòa vốn ( có phí hỗ trợ)</t>
  </si>
  <si>
    <t>Giá bán đối thủ Intco</t>
  </si>
  <si>
    <t>Điểm hòa vốn (có phí hỗ trợ)</t>
  </si>
  <si>
    <t xml:space="preserve">FOB rPP </t>
  </si>
  <si>
    <t>Giá bán đối thủ CHORI</t>
  </si>
  <si>
    <t>Giá bán đối thủ Hyosung</t>
  </si>
  <si>
    <t>Điểm hòa vốn có 25% rewash</t>
  </si>
  <si>
    <t>Giá bán vảy PP</t>
  </si>
  <si>
    <t>Giá bán vảy</t>
  </si>
  <si>
    <t>Giá bán Dafong</t>
  </si>
  <si>
    <t>1/24</t>
  </si>
  <si>
    <t xml:space="preserve">MA TRẬN GIÁ BÁN VẢY PP </t>
  </si>
  <si>
    <t>T12.23</t>
  </si>
  <si>
    <t>MA TRẬN GIÁ BÁN VẢY HDPE ÉP</t>
  </si>
  <si>
    <t>01</t>
  </si>
  <si>
    <t>T1.24</t>
  </si>
  <si>
    <t>02</t>
  </si>
  <si>
    <t>03</t>
  </si>
  <si>
    <t>04</t>
  </si>
  <si>
    <t>05</t>
  </si>
  <si>
    <t>Giá DTR</t>
  </si>
  <si>
    <t>Hạt đen (Châu Âu) - ICIS</t>
  </si>
  <si>
    <t>Hạt màu (Châu Âu) - ICIS</t>
  </si>
  <si>
    <t>RESIN</t>
  </si>
  <si>
    <t>Hạt rHD ép (Châu Âu)-ICIS</t>
  </si>
  <si>
    <t>DTR</t>
  </si>
  <si>
    <t>Unilever</t>
  </si>
  <si>
    <t>Đối thủ CHORI</t>
  </si>
  <si>
    <t>Đối thủ Hyosung</t>
  </si>
  <si>
    <t>DTR-Food grade</t>
  </si>
  <si>
    <t xml:space="preserve">DTR </t>
  </si>
  <si>
    <t>DTR (dương đậm)</t>
  </si>
  <si>
    <t>DTR (màu trắng&amp; đỏ)</t>
  </si>
  <si>
    <t>DTR (personal care)</t>
  </si>
  <si>
    <t>DTR (Home care)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</si>
  <si>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</si>
  <si>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</si>
  <si>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</si>
  <si>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</si>
  <si>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</si>
  <si>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</si>
  <si>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</si>
  <si>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</si>
  <si>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</si>
  <si>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</si>
  <si>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</si>
  <si>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</si>
  <si>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</si>
  <si>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</si>
  <si>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Giá bán cho U</t>
  </si>
  <si>
    <t>Giá bán của DTR</t>
  </si>
  <si>
    <t>Giá FOB Dafon ( Anh 12 cung cấp)</t>
  </si>
  <si>
    <t>Giá FOB Dafon Taiwan</t>
  </si>
  <si>
    <t>Giá bán DTR</t>
  </si>
  <si>
    <t>DTR-nội địa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</si>
  <si>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</si>
  <si>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</si>
  <si>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</si>
  <si>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</si>
  <si>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</si>
  <si>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</si>
  <si>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</si>
  <si>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</si>
  <si>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</si>
  <si>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</si>
  <si>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</si>
  <si>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</si>
  <si>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T1.25</t>
  </si>
  <si>
    <t>06</t>
  </si>
  <si>
    <t>WSS01G</t>
  </si>
  <si>
    <t>07</t>
  </si>
  <si>
    <t>DTR (PTBV)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</si>
  <si>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</si>
  <si>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</si>
  <si>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</si>
  <si>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</si>
  <si>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</si>
  <si>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</si>
  <si>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</si>
  <si>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</si>
  <si>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</si>
  <si>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</si>
  <si>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</si>
  <si>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</si>
  <si>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</si>
  <si>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</si>
  <si>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</si>
  <si>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</si>
  <si>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</si>
  <si>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</si>
  <si>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</si>
  <si>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T1.26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</si>
</sst>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(* #,##0_);_(* \(#,##0\);_(* &quot;-&quot;??_);_(@_)"/>
    <numFmt numFmtId="167" formatCode="#,##0\ [$₫-42A];\-#,##0\ [$₫-42A]"/>
    <numFmt numFmtId="168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1"/>
      <color rgb="FFC0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.VnArial"/>
      <family val="2"/>
    </font>
    <font>
      <sz val="11"/>
      <color rgb="FF000099"/>
      <name val="Times New Roman"/>
      <family val="1"/>
    </font>
    <font>
      <b/>
      <sz val="18"/>
      <color theme="1"/>
      <name val="Times New Roman"/>
      <family val="1"/>
    </font>
    <font>
      <sz val="10"/>
      <color rgb="FF92D050"/>
      <name val="Times New Roman"/>
      <family val="1"/>
    </font>
    <font>
      <b/>
      <sz val="11"/>
      <color rgb="FF000099"/>
      <name val="Times New Roman"/>
      <family val="1"/>
    </font>
    <font>
      <b/>
      <sz val="11"/>
      <color rgb="FFC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FF"/>
      <name val="Times New Roman"/>
      <family val="1"/>
    </font>
    <font>
      <sz val="11"/>
      <color rgb="FF0000FF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sz val="14"/>
      <color rgb="FFFF000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color rgb="FF0000FF"/>
      <name val="Times New Roman"/>
      <family val="1"/>
    </font>
    <font>
      <b/>
      <sz val="14"/>
      <color theme="5"/>
      <name val="Calibri"/>
      <family val="2"/>
      <scheme val="minor"/>
    </font>
    <font>
      <sz val="14"/>
      <color rgb="FFFF339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0" fontId="32" fillId="0" borderId="0"/>
    <xf numFmtId="16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9" fillId="0" borderId="0"/>
    <xf numFmtId="0" fontId="40" fillId="0" borderId="0"/>
    <xf numFmtId="0" fontId="39" fillId="0" borderId="0"/>
    <xf numFmtId="164" fontId="39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6" fontId="5" fillId="0" borderId="0" xfId="1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0" borderId="1" xfId="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5" fontId="4" fillId="0" borderId="1" xfId="6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5" fontId="4" fillId="4" borderId="1" xfId="6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8" fontId="6" fillId="0" borderId="1" xfId="5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5" fontId="4" fillId="0" borderId="4" xfId="6" applyNumberFormat="1" applyFont="1" applyFill="1" applyBorder="1" applyAlignment="1">
      <alignment horizontal="center" vertical="center"/>
    </xf>
    <xf numFmtId="5" fontId="4" fillId="0" borderId="3" xfId="6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5" fontId="4" fillId="5" borderId="1" xfId="6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5" fontId="4" fillId="0" borderId="2" xfId="6" applyNumberFormat="1" applyFont="1" applyFill="1" applyBorder="1" applyAlignment="1">
      <alignment horizontal="center" vertical="center"/>
    </xf>
    <xf numFmtId="5" fontId="4" fillId="4" borderId="2" xfId="6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6" fontId="16" fillId="0" borderId="0" xfId="1" applyNumberFormat="1" applyFont="1" applyAlignment="1">
      <alignment vertical="center"/>
    </xf>
    <xf numFmtId="5" fontId="5" fillId="0" borderId="0" xfId="0" applyNumberFormat="1" applyFont="1" applyAlignment="1">
      <alignment vertical="center"/>
    </xf>
    <xf numFmtId="5" fontId="6" fillId="0" borderId="1" xfId="6" applyNumberFormat="1" applyFont="1" applyFill="1" applyBorder="1" applyAlignment="1">
      <alignment horizontal="center" vertical="center"/>
    </xf>
    <xf numFmtId="5" fontId="4" fillId="0" borderId="0" xfId="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5" fontId="21" fillId="5" borderId="1" xfId="6" applyNumberFormat="1" applyFont="1" applyFill="1" applyBorder="1" applyAlignment="1">
      <alignment horizontal="center" vertical="center"/>
    </xf>
    <xf numFmtId="166" fontId="16" fillId="0" borderId="1" xfId="1" applyNumberFormat="1" applyFont="1" applyBorder="1" applyAlignment="1">
      <alignment vertical="center"/>
    </xf>
    <xf numFmtId="167" fontId="4" fillId="0" borderId="3" xfId="6" applyNumberFormat="1" applyFont="1" applyBorder="1" applyAlignment="1">
      <alignment horizontal="center" vertical="center"/>
    </xf>
    <xf numFmtId="5" fontId="4" fillId="0" borderId="3" xfId="6" applyNumberFormat="1" applyFont="1" applyBorder="1" applyAlignment="1">
      <alignment horizontal="center" vertical="center"/>
    </xf>
    <xf numFmtId="5" fontId="4" fillId="4" borderId="3" xfId="6" applyNumberFormat="1" applyFont="1" applyFill="1" applyBorder="1" applyAlignment="1">
      <alignment horizontal="center" vertical="center"/>
    </xf>
    <xf numFmtId="9" fontId="5" fillId="0" borderId="0" xfId="5" applyFont="1" applyAlignment="1">
      <alignment vertical="center"/>
    </xf>
    <xf numFmtId="0" fontId="4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5" fontId="9" fillId="0" borderId="1" xfId="6" applyNumberFormat="1" applyFont="1" applyFill="1" applyBorder="1" applyAlignment="1">
      <alignment horizontal="center" vertical="center"/>
    </xf>
    <xf numFmtId="5" fontId="9" fillId="0" borderId="2" xfId="6" applyNumberFormat="1" applyFont="1" applyFill="1" applyBorder="1" applyAlignment="1">
      <alignment horizontal="center" vertical="center"/>
    </xf>
    <xf numFmtId="5" fontId="9" fillId="0" borderId="3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166" fontId="5" fillId="0" borderId="1" xfId="1" applyNumberFormat="1" applyFont="1" applyBorder="1" applyAlignment="1">
      <alignment horizontal="center" vertical="center"/>
    </xf>
    <xf numFmtId="5" fontId="14" fillId="0" borderId="1" xfId="0" applyNumberFormat="1" applyFont="1" applyBorder="1" applyAlignment="1">
      <alignment horizontal="center" vertical="center"/>
    </xf>
    <xf numFmtId="5" fontId="14" fillId="0" borderId="1" xfId="0" applyNumberFormat="1" applyFont="1" applyBorder="1" applyAlignment="1">
      <alignment vertical="center"/>
    </xf>
    <xf numFmtId="166" fontId="16" fillId="0" borderId="0" xfId="1" applyNumberFormat="1" applyFont="1" applyBorder="1" applyAlignment="1">
      <alignment vertical="center"/>
    </xf>
    <xf numFmtId="0" fontId="28" fillId="0" borderId="0" xfId="0" applyFont="1"/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3" fontId="22" fillId="0" borderId="0" xfId="0" applyNumberFormat="1" applyFont="1" applyAlignment="1">
      <alignment horizontal="center" vertical="center"/>
    </xf>
    <xf numFmtId="5" fontId="4" fillId="0" borderId="1" xfId="6" applyNumberFormat="1" applyFont="1" applyBorder="1" applyAlignment="1">
      <alignment horizontal="center" vertical="center"/>
    </xf>
    <xf numFmtId="9" fontId="0" fillId="0" borderId="0" xfId="5" applyFont="1"/>
    <xf numFmtId="168" fontId="6" fillId="0" borderId="1" xfId="5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5" fontId="4" fillId="0" borderId="0" xfId="6" applyNumberFormat="1" applyFont="1" applyFill="1" applyBorder="1" applyAlignment="1">
      <alignment horizontal="right" vertical="center"/>
    </xf>
    <xf numFmtId="9" fontId="22" fillId="0" borderId="0" xfId="5" applyFont="1" applyBorder="1" applyAlignment="1">
      <alignment vertical="center"/>
    </xf>
    <xf numFmtId="0" fontId="28" fillId="0" borderId="0" xfId="0" applyFont="1" applyAlignment="1">
      <alignment wrapText="1"/>
    </xf>
    <xf numFmtId="0" fontId="15" fillId="2" borderId="1" xfId="0" quotePrefix="1" applyFont="1" applyFill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16" fontId="15" fillId="2" borderId="1" xfId="0" quotePrefix="1" applyNumberFormat="1" applyFont="1" applyFill="1" applyBorder="1" applyAlignment="1">
      <alignment horizontal="center" vertical="center"/>
    </xf>
    <xf numFmtId="166" fontId="15" fillId="2" borderId="1" xfId="1" quotePrefix="1" applyNumberFormat="1" applyFont="1" applyFill="1" applyBorder="1" applyAlignment="1">
      <alignment horizontal="center" vertical="center"/>
    </xf>
    <xf numFmtId="167" fontId="4" fillId="0" borderId="1" xfId="6" applyNumberFormat="1" applyFont="1" applyBorder="1" applyAlignment="1">
      <alignment horizontal="center" vertical="center"/>
    </xf>
    <xf numFmtId="166" fontId="4" fillId="0" borderId="3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" fontId="15" fillId="2" borderId="1" xfId="0" quotePrefix="1" applyNumberFormat="1" applyFont="1" applyFill="1" applyBorder="1" applyAlignment="1">
      <alignment horizontal="center" vertical="center"/>
    </xf>
    <xf numFmtId="5" fontId="4" fillId="0" borderId="1" xfId="6" applyNumberFormat="1" applyFont="1" applyFill="1" applyBorder="1" applyAlignment="1">
      <alignment vertical="center"/>
    </xf>
    <xf numFmtId="0" fontId="30" fillId="5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166" fontId="0" fillId="0" borderId="0" xfId="1" applyNumberFormat="1" applyFont="1"/>
    <xf numFmtId="1" fontId="15" fillId="2" borderId="1" xfId="0" applyNumberFormat="1" applyFont="1" applyFill="1" applyBorder="1" applyAlignment="1">
      <alignment horizontal="center" vertical="center"/>
    </xf>
    <xf numFmtId="5" fontId="9" fillId="0" borderId="1" xfId="6" applyNumberFormat="1" applyFont="1" applyBorder="1" applyAlignment="1">
      <alignment horizontal="center" vertical="center"/>
    </xf>
    <xf numFmtId="166" fontId="15" fillId="2" borderId="1" xfId="1" applyNumberFormat="1" applyFont="1" applyFill="1" applyBorder="1" applyAlignment="1">
      <alignment horizontal="center" vertical="center"/>
    </xf>
    <xf numFmtId="5" fontId="9" fillId="0" borderId="3" xfId="6" applyNumberFormat="1" applyFont="1" applyBorder="1" applyAlignment="1">
      <alignment horizontal="center" vertical="center"/>
    </xf>
    <xf numFmtId="9" fontId="3" fillId="0" borderId="0" xfId="5" applyFont="1"/>
    <xf numFmtId="0" fontId="29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5" fontId="9" fillId="3" borderId="1" xfId="6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quotePrefix="1"/>
    <xf numFmtId="5" fontId="9" fillId="7" borderId="1" xfId="6" applyNumberFormat="1" applyFont="1" applyFill="1" applyBorder="1" applyAlignment="1">
      <alignment horizontal="center" vertical="center"/>
    </xf>
    <xf numFmtId="5" fontId="9" fillId="7" borderId="3" xfId="6" applyNumberFormat="1" applyFont="1" applyFill="1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31" fillId="6" borderId="0" xfId="0" applyFont="1" applyFill="1" applyAlignment="1">
      <alignment horizontal="left" vertical="center" wrapText="1"/>
    </xf>
    <xf numFmtId="5" fontId="4" fillId="7" borderId="1" xfId="6" applyNumberFormat="1" applyFont="1" applyFill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5" fontId="14" fillId="0" borderId="0" xfId="0" applyNumberFormat="1" applyFont="1" applyAlignment="1">
      <alignment horizontal="center" vertical="center"/>
    </xf>
    <xf numFmtId="5" fontId="14" fillId="0" borderId="0" xfId="0" applyNumberFormat="1" applyFont="1" applyAlignment="1">
      <alignment vertical="center"/>
    </xf>
    <xf numFmtId="0" fontId="0" fillId="6" borderId="0" xfId="0" applyFill="1"/>
    <xf numFmtId="166" fontId="0" fillId="6" borderId="0" xfId="1" applyNumberFormat="1" applyFont="1" applyFill="1"/>
    <xf numFmtId="9" fontId="0" fillId="6" borderId="0" xfId="5" applyFont="1" applyFill="1"/>
    <xf numFmtId="166" fontId="31" fillId="6" borderId="0" xfId="1" applyNumberFormat="1" applyFont="1" applyFill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 wrapText="1"/>
    </xf>
    <xf numFmtId="0" fontId="5" fillId="9" borderId="0" xfId="0" applyFont="1" applyFill="1" applyAlignment="1">
      <alignment vertical="center"/>
    </xf>
    <xf numFmtId="166" fontId="9" fillId="0" borderId="1" xfId="1" applyNumberFormat="1" applyFont="1" applyFill="1" applyBorder="1" applyAlignment="1">
      <alignment horizontal="center" vertical="center"/>
    </xf>
    <xf numFmtId="166" fontId="9" fillId="0" borderId="3" xfId="1" applyNumberFormat="1" applyFont="1" applyFill="1" applyBorder="1" applyAlignment="1">
      <alignment horizontal="center" vertical="center"/>
    </xf>
    <xf numFmtId="166" fontId="5" fillId="0" borderId="0" xfId="5" applyNumberFormat="1" applyFont="1" applyAlignment="1">
      <alignment vertical="center"/>
    </xf>
    <xf numFmtId="166" fontId="4" fillId="7" borderId="1" xfId="1" applyNumberFormat="1" applyFont="1" applyFill="1" applyBorder="1" applyAlignment="1">
      <alignment horizontal="center" vertical="center"/>
    </xf>
    <xf numFmtId="166" fontId="21" fillId="5" borderId="1" xfId="1" applyNumberFormat="1" applyFont="1" applyFill="1" applyBorder="1" applyAlignment="1">
      <alignment horizontal="center" vertical="center"/>
    </xf>
    <xf numFmtId="5" fontId="4" fillId="0" borderId="0" xfId="6" applyNumberFormat="1" applyFont="1" applyAlignment="1">
      <alignment horizontal="center" vertical="center"/>
    </xf>
    <xf numFmtId="5" fontId="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5" fontId="4" fillId="0" borderId="3" xfId="6" applyNumberFormat="1" applyFont="1" applyFill="1" applyBorder="1" applyAlignment="1">
      <alignment horizontal="right" vertical="center"/>
    </xf>
    <xf numFmtId="166" fontId="4" fillId="0" borderId="3" xfId="1" applyNumberFormat="1" applyFont="1" applyFill="1" applyBorder="1" applyAlignment="1">
      <alignment horizontal="right" vertical="center"/>
    </xf>
    <xf numFmtId="5" fontId="4" fillId="0" borderId="1" xfId="6" applyNumberFormat="1" applyFont="1" applyFill="1" applyBorder="1" applyAlignment="1">
      <alignment horizontal="right" vertical="center"/>
    </xf>
    <xf numFmtId="5" fontId="4" fillId="0" borderId="0" xfId="6" applyNumberFormat="1" applyFont="1" applyBorder="1" applyAlignment="1">
      <alignment horizontal="center" vertical="center"/>
    </xf>
    <xf numFmtId="166" fontId="4" fillId="7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1" applyNumberFormat="1" applyFont="1" applyAlignment="1">
      <alignment horizontal="right" vertical="center"/>
    </xf>
    <xf numFmtId="3" fontId="5" fillId="0" borderId="0" xfId="1" applyNumberFormat="1" applyFont="1" applyAlignment="1">
      <alignment horizontal="right" vertical="center"/>
    </xf>
    <xf numFmtId="5" fontId="6" fillId="0" borderId="1" xfId="6" applyNumberFormat="1" applyFont="1" applyBorder="1" applyAlignment="1">
      <alignment horizontal="center" vertical="center"/>
    </xf>
    <xf numFmtId="9" fontId="22" fillId="0" borderId="0" xfId="5" applyFont="1" applyAlignment="1">
      <alignment vertical="center"/>
    </xf>
    <xf numFmtId="166" fontId="4" fillId="7" borderId="0" xfId="1" applyNumberFormat="1" applyFont="1" applyFill="1" applyAlignment="1">
      <alignment horizontal="center" vertical="center"/>
    </xf>
    <xf numFmtId="0" fontId="41" fillId="0" borderId="0" xfId="0" applyFont="1" applyAlignment="1">
      <alignment vertical="center"/>
    </xf>
    <xf numFmtId="166" fontId="22" fillId="0" borderId="0" xfId="1" applyNumberFormat="1" applyFont="1" applyAlignment="1">
      <alignment vertical="center"/>
    </xf>
    <xf numFmtId="166" fontId="41" fillId="0" borderId="0" xfId="0" applyNumberFormat="1" applyFont="1" applyAlignment="1">
      <alignment vertical="center"/>
    </xf>
    <xf numFmtId="166" fontId="22" fillId="0" borderId="0" xfId="0" applyNumberFormat="1" applyFont="1" applyAlignment="1">
      <alignment vertical="center"/>
    </xf>
    <xf numFmtId="10" fontId="22" fillId="0" borderId="0" xfId="0" applyNumberFormat="1" applyFont="1" applyAlignment="1">
      <alignment vertical="center"/>
    </xf>
    <xf numFmtId="5" fontId="22" fillId="0" borderId="0" xfId="0" applyNumberFormat="1" applyFont="1" applyAlignment="1">
      <alignment vertical="center"/>
    </xf>
    <xf numFmtId="166" fontId="22" fillId="0" borderId="0" xfId="1" applyNumberFormat="1" applyFont="1" applyAlignment="1">
      <alignment horizontal="center" vertical="center"/>
    </xf>
    <xf numFmtId="166" fontId="4" fillId="4" borderId="3" xfId="1" applyNumberFormat="1" applyFont="1" applyFill="1" applyBorder="1" applyAlignment="1">
      <alignment horizontal="center" vertical="center"/>
    </xf>
    <xf numFmtId="166" fontId="9" fillId="0" borderId="3" xfId="1" applyNumberFormat="1" applyFont="1" applyBorder="1" applyAlignment="1">
      <alignment horizontal="center" vertical="center"/>
    </xf>
    <xf numFmtId="166" fontId="5" fillId="0" borderId="0" xfId="1" applyNumberFormat="1" applyFont="1" applyAlignment="1">
      <alignment horizontal="right" vertical="center"/>
    </xf>
    <xf numFmtId="5" fontId="4" fillId="0" borderId="0" xfId="6" applyNumberFormat="1" applyFont="1" applyAlignment="1">
      <alignment horizontal="right" vertical="center"/>
    </xf>
    <xf numFmtId="166" fontId="5" fillId="0" borderId="0" xfId="1" applyNumberFormat="1" applyFont="1" applyAlignment="1">
      <alignment horizontal="center" vertical="center"/>
    </xf>
    <xf numFmtId="5" fontId="4" fillId="0" borderId="1" xfId="6" applyNumberFormat="1" applyFont="1" applyBorder="1" applyAlignment="1">
      <alignment vertical="center"/>
    </xf>
    <xf numFmtId="166" fontId="9" fillId="0" borderId="1" xfId="1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5" fontId="21" fillId="5" borderId="0" xfId="6" applyNumberFormat="1" applyFont="1" applyFill="1" applyBorder="1" applyAlignment="1">
      <alignment horizontal="center" vertical="center"/>
    </xf>
    <xf numFmtId="166" fontId="21" fillId="5" borderId="0" xfId="1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9" fillId="0" borderId="1" xfId="1" applyNumberFormat="1" applyFont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166" fontId="5" fillId="3" borderId="0" xfId="1" applyNumberFormat="1" applyFont="1" applyFill="1" applyAlignment="1">
      <alignment vertical="center"/>
    </xf>
    <xf numFmtId="3" fontId="5" fillId="3" borderId="0" xfId="1" applyNumberFormat="1" applyFont="1" applyFill="1" applyAlignment="1">
      <alignment horizontal="right" vertical="center"/>
    </xf>
    <xf numFmtId="1" fontId="5" fillId="0" borderId="0" xfId="0" applyNumberFormat="1" applyFont="1" applyAlignment="1">
      <alignment vertical="center"/>
    </xf>
    <xf numFmtId="1" fontId="0" fillId="0" borderId="0" xfId="0" applyNumberFormat="1" applyAlignment="1">
      <alignment vertical="top"/>
    </xf>
    <xf numFmtId="168" fontId="29" fillId="0" borderId="0" xfId="5" applyNumberFormat="1" applyFont="1" applyAlignment="1">
      <alignment vertical="center" wrapText="1"/>
    </xf>
    <xf numFmtId="3" fontId="5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0" fontId="41" fillId="3" borderId="0" xfId="0" applyFont="1" applyFill="1" applyAlignment="1">
      <alignment vertical="center"/>
    </xf>
    <xf numFmtId="168" fontId="0" fillId="0" borderId="0" xfId="0" applyNumberFormat="1"/>
    <xf numFmtId="43" fontId="0" fillId="0" borderId="0" xfId="0" applyNumberFormat="1"/>
    <xf numFmtId="5" fontId="4" fillId="5" borderId="3" xfId="6" applyNumberFormat="1" applyFont="1" applyFill="1" applyBorder="1" applyAlignment="1">
      <alignment horizontal="center" vertical="center"/>
    </xf>
    <xf numFmtId="166" fontId="15" fillId="2" borderId="1" xfId="1" quotePrefix="1" applyNumberFormat="1" applyFont="1" applyFill="1" applyBorder="1" applyAlignment="1">
      <alignment vertical="center"/>
    </xf>
    <xf numFmtId="3" fontId="5" fillId="10" borderId="0" xfId="1" applyNumberFormat="1" applyFont="1" applyFill="1" applyAlignment="1">
      <alignment horizontal="right" vertical="center"/>
    </xf>
    <xf numFmtId="166" fontId="5" fillId="10" borderId="0" xfId="1" applyNumberFormat="1" applyFont="1" applyFill="1" applyAlignment="1">
      <alignment vertical="center"/>
    </xf>
    <xf numFmtId="0" fontId="33" fillId="0" borderId="0" xfId="0" applyFont="1" applyAlignment="1">
      <alignment horizontal="left" wrapText="1"/>
    </xf>
    <xf numFmtId="0" fontId="33" fillId="0" borderId="0" xfId="0" quotePrefix="1" applyFont="1" applyAlignment="1">
      <alignment horizontal="left" wrapText="1"/>
    </xf>
    <xf numFmtId="0" fontId="28" fillId="0" borderId="0" xfId="0" applyFont="1" applyAlignment="1">
      <alignment horizontal="center" vertical="center" wrapText="1"/>
    </xf>
    <xf numFmtId="9" fontId="36" fillId="0" borderId="0" xfId="5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</cellXfs>
  <cellStyles count="16">
    <cellStyle name="Comma" xfId="1" builtinId="3"/>
    <cellStyle name="Comma 2" xfId="3" xr:uid="{194E7761-03A8-44F9-BB05-263B1C78CC73}"/>
    <cellStyle name="Comma 2 2" xfId="9" xr:uid="{B070CB0A-E990-438F-9A05-4D2B8B00BB61}"/>
    <cellStyle name="Comma 3" xfId="10" xr:uid="{C6CF9922-71FF-4B02-ABBC-976A0C2F44D2}"/>
    <cellStyle name="Comma 4" xfId="14" xr:uid="{41706825-7D02-4CED-A836-0572959B3845}"/>
    <cellStyle name="Comma 5" xfId="15" xr:uid="{FB08A40A-C8A1-4AF4-95E6-975B75C1DB5F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3" xfId="11" xr:uid="{F5403120-556B-402E-80FC-9E4945468064}"/>
    <cellStyle name="Normal 4" xfId="12" xr:uid="{13C362C1-B5D5-4B5C-98B0-B146F8EF7A73}"/>
    <cellStyle name="Normal 5" xfId="13" xr:uid="{8D15DEF2-E4EA-440E-A253-FF9932868990}"/>
    <cellStyle name="Percent" xfId="5" builtinId="5"/>
    <cellStyle name="Percent 2" xfId="4" xr:uid="{D46C7BA7-423C-4BFB-84DF-0670B505554D}"/>
  </cellStyles>
  <dxfs count="0"/>
  <tableStyles count="0" defaultTableStyle="TableStyleMedium2" defaultPivotStyle="PivotStyleLight16"/>
  <colors>
    <mruColors>
      <color rgb="FFFF3399"/>
      <color rgb="FF0000FF"/>
      <color rgb="FF60943C"/>
      <color rgb="FF4E6F49"/>
      <color rgb="FF639D69"/>
      <color rgb="FF2CD8D4"/>
      <color rgb="FFFFCC00"/>
      <color rgb="FFFF6600"/>
      <color rgb="FFFF505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0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NĂM 2025 &amp;2026 (USD/tấn)</a:t>
            </a:r>
            <a:endParaRPr lang="en-US" sz="20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05115686632961E-2"/>
          <c:y val="0.11047368858807251"/>
          <c:w val="0.78550934188825883"/>
          <c:h val="0.8086243455651364"/>
        </c:manualLayout>
      </c:layout>
      <c:areaChart>
        <c:grouping val="stacked"/>
        <c:varyColors val="0"/>
        <c:ser>
          <c:idx val="1"/>
          <c:order val="7"/>
          <c:tx>
            <c:strRef>
              <c:f>'Ma trận PET'!$H$17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PET'!$X$17:$BX$17</c:f>
              <c:numCache>
                <c:formatCode>"$"#,##0_);\("$"#,##0\)</c:formatCode>
                <c:ptCount val="15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1108.75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C-432C-9FA9-F70F542DAA5F}"/>
            </c:ext>
          </c:extLst>
        </c:ser>
        <c:ser>
          <c:idx val="2"/>
          <c:order val="9"/>
          <c:tx>
            <c:strRef>
              <c:f>'Ma trận PET'!$H$18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val>
            <c:numRef>
              <c:f>'Ma trận PET'!$X$18:$BX$18</c:f>
              <c:numCache>
                <c:formatCode>"$"#,##0_);\("$"#,##0\)</c:formatCode>
                <c:ptCount val="15"/>
                <c:pt idx="0">
                  <c:v>402.5</c:v>
                </c:pt>
                <c:pt idx="1">
                  <c:v>390</c:v>
                </c:pt>
                <c:pt idx="2">
                  <c:v>407.5</c:v>
                </c:pt>
                <c:pt idx="3">
                  <c:v>485</c:v>
                </c:pt>
                <c:pt idx="4">
                  <c:v>468</c:v>
                </c:pt>
                <c:pt idx="5">
                  <c:v>442.5</c:v>
                </c:pt>
                <c:pt idx="6">
                  <c:v>448</c:v>
                </c:pt>
                <c:pt idx="7">
                  <c:v>425</c:v>
                </c:pt>
                <c:pt idx="8">
                  <c:v>437.5</c:v>
                </c:pt>
                <c:pt idx="9">
                  <c:v>438</c:v>
                </c:pt>
                <c:pt idx="10">
                  <c:v>430</c:v>
                </c:pt>
                <c:pt idx="11">
                  <c:v>427.5</c:v>
                </c:pt>
                <c:pt idx="12">
                  <c:v>355</c:v>
                </c:pt>
                <c:pt idx="13">
                  <c:v>320</c:v>
                </c:pt>
                <c:pt idx="14">
                  <c:v>51.25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C-432C-9FA9-F70F542D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4"/>
          <c:order val="0"/>
          <c:tx>
            <c:strRef>
              <c:f>'Ma trận PET'!$H$24</c:f>
              <c:strCache>
                <c:ptCount val="1"/>
                <c:pt idx="0">
                  <c:v>Giá bán Unilever</c:v>
                </c:pt>
              </c:strCache>
            </c:strRef>
          </c:tx>
          <c:spPr>
            <a:ln w="53975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4D-4B9B-8EBA-22D46FC5B9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AE-401E-95D2-E8DFD5D5569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AE-401E-95D2-E8DFD5D5569B}"/>
                </c:ext>
              </c:extLst>
            </c:dLbl>
            <c:dLbl>
              <c:idx val="7"/>
              <c:layout>
                <c:manualLayout>
                  <c:x val="-1.6275536494068047E-2"/>
                  <c:y val="2.0069982288128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B7-4E08-9661-7367DE7DA87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AE-401E-95D2-E8DFD5D5569B}"/>
                </c:ext>
              </c:extLst>
            </c:dLbl>
            <c:dLbl>
              <c:idx val="9"/>
              <c:layout>
                <c:manualLayout>
                  <c:x val="-9.1410547432437556E-3"/>
                  <c:y val="-2.7021596265021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4D-4B9B-8EBA-22D46FC5B95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AE-401E-95D2-E8DFD5D556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PET'!$X$24:$BX$24</c:f>
              <c:numCache>
                <c:formatCode>#,##0</c:formatCode>
                <c:ptCount val="15"/>
                <c:pt idx="0">
                  <c:v>1300</c:v>
                </c:pt>
                <c:pt idx="1">
                  <c:v>1300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1280</c:v>
                </c:pt>
                <c:pt idx="7">
                  <c:v>1280</c:v>
                </c:pt>
                <c:pt idx="8">
                  <c:v>1280</c:v>
                </c:pt>
                <c:pt idx="9">
                  <c:v>1280</c:v>
                </c:pt>
                <c:pt idx="10">
                  <c:v>1280</c:v>
                </c:pt>
                <c:pt idx="11">
                  <c:v>1280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AD-4A38-A633-822797BF3B10}"/>
            </c:ext>
          </c:extLst>
        </c:ser>
        <c:ser>
          <c:idx val="14"/>
          <c:order val="1"/>
          <c:tx>
            <c:strRef>
              <c:f>'Ma trận PET'!$H$6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3703224216216945E-3"/>
                  <c:y val="-2.990321116105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B7-4E08-9661-7367DE7DA873}"/>
                </c:ext>
              </c:extLst>
            </c:dLbl>
            <c:dLbl>
              <c:idx val="1"/>
              <c:layout>
                <c:manualLayout>
                  <c:x val="-1.6304046569041931E-2"/>
                  <c:y val="-2.759408288606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6F-4524-A680-A8A288F16413}"/>
                </c:ext>
              </c:extLst>
            </c:dLbl>
            <c:dLbl>
              <c:idx val="2"/>
              <c:layout>
                <c:manualLayout>
                  <c:x val="-2.5243131360820917E-2"/>
                  <c:y val="2.2653188844038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2D-49E3-8DED-11BE198763C6}"/>
                </c:ext>
              </c:extLst>
            </c:dLbl>
            <c:dLbl>
              <c:idx val="3"/>
              <c:layout>
                <c:manualLayout>
                  <c:x val="-1.5367188337168181E-2"/>
                  <c:y val="2.53089926494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AE-401E-95D2-E8DFD5D5569B}"/>
                </c:ext>
              </c:extLst>
            </c:dLbl>
            <c:dLbl>
              <c:idx val="4"/>
              <c:layout>
                <c:manualLayout>
                  <c:x val="-2.1583936827378896E-2"/>
                  <c:y val="2.3047819779357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6F-4524-A680-A8A288F16413}"/>
                </c:ext>
              </c:extLst>
            </c:dLbl>
            <c:dLbl>
              <c:idx val="8"/>
              <c:layout>
                <c:manualLayout>
                  <c:x val="-1.9842777369480064E-2"/>
                  <c:y val="-2.231243840970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AE-401E-95D2-E8DFD5D5569B}"/>
                </c:ext>
              </c:extLst>
            </c:dLbl>
            <c:dLbl>
              <c:idx val="9"/>
              <c:layout>
                <c:manualLayout>
                  <c:x val="-1.7167346712920955E-2"/>
                  <c:y val="2.02942279002859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6F-4524-A680-A8A288F16413}"/>
                </c:ext>
              </c:extLst>
            </c:dLbl>
            <c:dLbl>
              <c:idx val="10"/>
              <c:layout>
                <c:manualLayout>
                  <c:x val="-1.270829561865577E-2"/>
                  <c:y val="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6F-4524-A680-A8A288F16413}"/>
                </c:ext>
              </c:extLst>
            </c:dLbl>
            <c:dLbl>
              <c:idx val="11"/>
              <c:layout>
                <c:manualLayout>
                  <c:x val="-1.0032864962096662E-2"/>
                  <c:y val="-2.23124384097067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6F-4524-A680-A8A288F16413}"/>
                </c:ext>
              </c:extLst>
            </c:dLbl>
            <c:dLbl>
              <c:idx val="12"/>
              <c:layout>
                <c:manualLayout>
                  <c:x val="-4.6820036489784419E-3"/>
                  <c:y val="-2.67973506528637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AE-401E-95D2-E8DFD5D5569B}"/>
                </c:ext>
              </c:extLst>
            </c:dLbl>
            <c:dLbl>
              <c:idx val="13"/>
              <c:layout>
                <c:manualLayout>
                  <c:x val="-1.8950967150627027E-2"/>
                  <c:y val="-2.9039806774442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24-491A-B6FB-8CB7B92ED4F4}"/>
                </c:ext>
              </c:extLst>
            </c:dLbl>
            <c:dLbl>
              <c:idx val="14"/>
              <c:layout>
                <c:manualLayout>
                  <c:x val="-1.6275536494067919E-2"/>
                  <c:y val="2.926405238660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C2-4B58-9058-FE1EA3783F3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PET'!$AL$6:$BX$6</c:f>
              <c:numCache>
                <c:formatCode>"$"#,##0_);\("$"#,##0\)</c:formatCode>
                <c:ptCount val="15"/>
                <c:pt idx="0">
                  <c:v>1230</c:v>
                </c:pt>
                <c:pt idx="1">
                  <c:v>1230</c:v>
                </c:pt>
                <c:pt idx="2">
                  <c:v>1230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1220</c:v>
                </c:pt>
                <c:pt idx="8">
                  <c:v>1220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1160</c:v>
                </c:pt>
                <c:pt idx="13">
                  <c:v>1160</c:v>
                </c:pt>
                <c:pt idx="14">
                  <c:v>1160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AAD9-428E-AA2F-574999B2252F}"/>
            </c:ext>
          </c:extLst>
        </c:ser>
        <c:ser>
          <c:idx val="12"/>
          <c:order val="2"/>
          <c:tx>
            <c:strRef>
              <c:f>'Ma trận PET'!$H$11:$H$11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383726275214881E-2"/>
                  <c:y val="-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B7-4E08-9661-7367DE7DA873}"/>
                </c:ext>
              </c:extLst>
            </c:dLbl>
            <c:dLbl>
              <c:idx val="8"/>
              <c:layout>
                <c:manualLayout>
                  <c:x val="-1.2708295618655902E-2"/>
                  <c:y val="-2.4779140143443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B7-4E08-9661-7367DE7DA873}"/>
                </c:ext>
              </c:extLst>
            </c:dLbl>
            <c:dLbl>
              <c:idx val="9"/>
              <c:layout>
                <c:manualLayout>
                  <c:x val="-1.1816485399802734E-2"/>
                  <c:y val="1.5585070044970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B7-4E08-9661-7367DE7DA8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B7-4E08-9661-7367DE7DA873}"/>
                </c:ext>
              </c:extLst>
            </c:dLbl>
            <c:dLbl>
              <c:idx val="11"/>
              <c:layout>
                <c:manualLayout>
                  <c:x val="-2.4301828463745376E-2"/>
                  <c:y val="2.9039806774442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B7-4E08-9661-7367DE7DA873}"/>
                </c:ext>
              </c:extLst>
            </c:dLbl>
            <c:dLbl>
              <c:idx val="12"/>
              <c:layout>
                <c:manualLayout>
                  <c:x val="-1.7167346712920955E-2"/>
                  <c:y val="2.0069982288127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B7-4E08-9661-7367DE7DA873}"/>
                </c:ext>
              </c:extLst>
            </c:dLbl>
            <c:dLbl>
              <c:idx val="13"/>
              <c:layout>
                <c:manualLayout>
                  <c:x val="-1.9842777369480064E-2"/>
                  <c:y val="3.12822628960208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24-491A-B6FB-8CB7B92ED4F4}"/>
                </c:ext>
              </c:extLst>
            </c:dLbl>
            <c:dLbl>
              <c:idx val="14"/>
              <c:layout>
                <c:manualLayout>
                  <c:x val="-7.3574343055376823E-3"/>
                  <c:y val="-2.0294227900285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C2-4B58-9058-FE1EA3783F3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PET'!$I$11:$BX$11</c:f>
              <c:numCache>
                <c:formatCode>"$"#,##0_);\("$"#,##0\)</c:formatCode>
                <c:ptCount val="15"/>
                <c:pt idx="0">
                  <c:v>1368.75</c:v>
                </c:pt>
                <c:pt idx="1">
                  <c:v>1350</c:v>
                </c:pt>
                <c:pt idx="2">
                  <c:v>1360</c:v>
                </c:pt>
                <c:pt idx="3">
                  <c:v>1360</c:v>
                </c:pt>
                <c:pt idx="4">
                  <c:v>1360</c:v>
                </c:pt>
                <c:pt idx="5">
                  <c:v>1360</c:v>
                </c:pt>
                <c:pt idx="6">
                  <c:v>1324</c:v>
                </c:pt>
                <c:pt idx="7">
                  <c:v>1295</c:v>
                </c:pt>
                <c:pt idx="8">
                  <c:v>1275</c:v>
                </c:pt>
                <c:pt idx="9">
                  <c:v>1248</c:v>
                </c:pt>
                <c:pt idx="10">
                  <c:v>1243.75</c:v>
                </c:pt>
                <c:pt idx="11">
                  <c:v>1193.75</c:v>
                </c:pt>
                <c:pt idx="12">
                  <c:v>1150</c:v>
                </c:pt>
                <c:pt idx="13">
                  <c:v>1150</c:v>
                </c:pt>
                <c:pt idx="14">
                  <c:v>1220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AD9-428E-AA2F-574999B2252F}"/>
            </c:ext>
          </c:extLst>
        </c:ser>
        <c:ser>
          <c:idx val="0"/>
          <c:order val="3"/>
          <c:tx>
            <c:strRef>
              <c:f>'Ma trận PET'!$H$16</c:f>
              <c:strCache>
                <c:ptCount val="1"/>
                <c:pt idx="0">
                  <c:v>Giá keo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PET'!$U$16:$AT$16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5D8-4192-9A7E-2102ECE33B65}"/>
            </c:ext>
          </c:extLst>
        </c:ser>
        <c:ser>
          <c:idx val="11"/>
          <c:order val="4"/>
          <c:tx>
            <c:strRef>
              <c:f>'Ma trận PET'!$H$10:$H$10</c:f>
              <c:strCache>
                <c:ptCount val="1"/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PET'!$I$10:$AT$10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1-AAD9-428E-AA2F-574999B2252F}"/>
            </c:ext>
          </c:extLst>
        </c:ser>
        <c:ser>
          <c:idx val="3"/>
          <c:order val="5"/>
          <c:tx>
            <c:strRef>
              <c:f>'Ma trận PET'!$H$20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PET'!$X$20:$BX$20</c:f>
              <c:numCache>
                <c:formatCode>_(* #,##0_);_(* \(#,##0\);_(* "-"??_);_(@_)</c:formatCode>
                <c:ptCount val="15"/>
                <c:pt idx="0">
                  <c:v>1181</c:v>
                </c:pt>
                <c:pt idx="1">
                  <c:v>1185.2425317608468</c:v>
                </c:pt>
                <c:pt idx="2">
                  <c:v>1190.7839269244525</c:v>
                </c:pt>
                <c:pt idx="3">
                  <c:v>1188.8989547033088</c:v>
                </c:pt>
                <c:pt idx="4">
                  <c:v>1208.4563999076058</c:v>
                </c:pt>
                <c:pt idx="5">
                  <c:v>1167.8121893749728</c:v>
                </c:pt>
                <c:pt idx="6">
                  <c:v>1185.3194123375963</c:v>
                </c:pt>
                <c:pt idx="7">
                  <c:v>1163.1486661843744</c:v>
                </c:pt>
                <c:pt idx="8">
                  <c:v>1186.2627781335511</c:v>
                </c:pt>
                <c:pt idx="9">
                  <c:v>1128</c:v>
                </c:pt>
                <c:pt idx="10">
                  <c:v>1070.511623054196</c:v>
                </c:pt>
                <c:pt idx="11">
                  <c:v>1092.8990526695691</c:v>
                </c:pt>
                <c:pt idx="12">
                  <c:v>1096.8836793746136</c:v>
                </c:pt>
                <c:pt idx="13">
                  <c:v>1056.1519929547876</c:v>
                </c:pt>
                <c:pt idx="14">
                  <c:v>1057.7957262938128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8-40C3-8211-CA0056C21B68}"/>
            </c:ext>
          </c:extLst>
        </c:ser>
        <c:ser>
          <c:idx val="13"/>
          <c:order val="6"/>
          <c:tx>
            <c:strRef>
              <c:f>'Ma trận PET'!$H$12:$H$12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PET'!$I$12:$AT$12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AAD9-428E-AA2F-574999B2252F}"/>
            </c:ext>
          </c:extLst>
        </c:ser>
        <c:ser>
          <c:idx val="15"/>
          <c:order val="8"/>
          <c:tx>
            <c:strRef>
              <c:f>'Ma trận PET'!$H$14:$H$14</c:f>
              <c:strCache>
                <c:ptCount val="1"/>
                <c:pt idx="0">
                  <c:v>RESIN</c:v>
                </c:pt>
              </c:strCache>
            </c:strRef>
          </c:tx>
          <c:spPr>
            <a:ln w="5397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7.3574343055376823E-3"/>
                  <c:y val="2.25366840218644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30-4DF9-85DA-06C0C49CD6A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PET'!$I$14:$BX$14</c:f>
              <c:numCache>
                <c:formatCode>"$"#,##0_);\("$"#,##0\)</c:formatCode>
                <c:ptCount val="15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1108.75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AD9-428E-AA2F-574999B22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375062479739984"/>
          <c:y val="0.32749041085151009"/>
          <c:w val="0.12089472182259471"/>
          <c:h val="0.49083497588829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36512302036513E-2"/>
          <c:y val="0.12702304327693809"/>
          <c:w val="0.83837451831756371"/>
          <c:h val="0.78739317269635756"/>
        </c:manualLayout>
      </c:layout>
      <c:areaChart>
        <c:grouping val="stacked"/>
        <c:varyColors val="0"/>
        <c:ser>
          <c:idx val="5"/>
          <c:order val="9"/>
          <c:tx>
            <c:strRef>
              <c:f>'Ma trận PET'!$CC$17</c:f>
              <c:strCache>
                <c:ptCount val="1"/>
                <c:pt idx="0">
                  <c:v>TTCP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val>
            <c:numRef>
              <c:f>'Ma trận PET'!$DQ$17:$KL$17</c:f>
              <c:numCache>
                <c:formatCode>"$"#,##0_);\("$"#,##0\)</c:formatCode>
                <c:ptCount val="13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  <c:pt idx="12">
                  <c:v>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6EAD-431A-BDD4-033E20348306}"/>
            </c:ext>
          </c:extLst>
        </c:ser>
        <c:ser>
          <c:idx val="8"/>
          <c:order val="11"/>
          <c:tx>
            <c:strRef>
              <c:f>'Ma trận PET'!$CC$18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PET'!$DQ$18:$KL$18</c:f>
              <c:numCache>
                <c:formatCode>"$"#,##0_);\("$"#,##0\)</c:formatCode>
                <c:ptCount val="13"/>
                <c:pt idx="0">
                  <c:v>365</c:v>
                </c:pt>
                <c:pt idx="1">
                  <c:v>365</c:v>
                </c:pt>
                <c:pt idx="2">
                  <c:v>365</c:v>
                </c:pt>
                <c:pt idx="3">
                  <c:v>340</c:v>
                </c:pt>
                <c:pt idx="4">
                  <c:v>340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225</c:v>
                </c:pt>
                <c:pt idx="10">
                  <c:v>80</c:v>
                </c:pt>
                <c:pt idx="11">
                  <c:v>-70</c:v>
                </c:pt>
                <c:pt idx="1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6EAD-431A-BDD4-033E203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9"/>
          <c:order val="6"/>
          <c:tx>
            <c:strRef>
              <c:f>'Ma trận PET'!#REF!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PET'!$DA$5:$EM$5</c:f>
            </c:multiLvlStrRef>
          </c:cat>
          <c:val>
            <c:numRef>
              <c:f>'Ma trận PET'!#REF!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8-6EAD-431A-BDD4-033E20348306}"/>
            </c:ext>
          </c:extLst>
        </c:ser>
        <c:ser>
          <c:idx val="6"/>
          <c:order val="7"/>
          <c:tx>
            <c:strRef>
              <c:f>'Ma trận PET'!$CC$9</c:f>
              <c:strCache>
                <c:ptCount val="1"/>
                <c:pt idx="0">
                  <c:v>DTR-Giá FOB rPET ISS01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PET'!$DA$5:$EM$5</c:f>
            </c:multiLvlStrRef>
          </c:cat>
          <c:val>
            <c:numRef>
              <c:f>'Ma trận PET'!$CD$9:$EM$9</c:f>
            </c:numRef>
          </c:val>
          <c:smooth val="0"/>
          <c:extLst>
            <c:ext xmlns:c16="http://schemas.microsoft.com/office/drawing/2014/chart" uri="{C3380CC4-5D6E-409C-BE32-E72D297353CC}">
              <c16:uniqueId val="{00000049-6EAD-431A-BDD4-033E203483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0"/>
          <c:order val="0"/>
          <c:tx>
            <c:strRef>
              <c:f>'Ma trận PET'!$CC$25</c:f>
              <c:strCache>
                <c:ptCount val="1"/>
                <c:pt idx="0">
                  <c:v>Unilever</c:v>
                </c:pt>
              </c:strCache>
            </c:strRef>
          </c:tx>
          <c:spPr>
            <a:ln w="50800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5D-49B1-9278-C3021B5DD9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40-436E-9013-39C77CB2399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BC-4203-AA3E-CA25D6F2999D}"/>
                </c:ext>
              </c:extLst>
            </c:dLbl>
            <c:dLbl>
              <c:idx val="12"/>
              <c:layout>
                <c:manualLayout>
                  <c:x val="-2.8943384495982156E-3"/>
                  <c:y val="-2.3646817864755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E1-4EF8-88EA-2A815121811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B4-41E4-879A-D82BA321E415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42-432A-A3F7-9E1215926D2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33-40D2-B237-94C83C6E1D3B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33-40D2-B237-94C83C6E1D3B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0F-4EB2-A5C8-E42A4D1CF9DB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C2-48B7-BEDC-3AE2B23EF644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6F-4684-B8EB-8DDA87FAAD1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FB-4F7F-85EB-3C2C29456DD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09-4A10-82DD-6510788A9499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EE-4832-85F2-9B60663C2D4B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EE-4832-85F2-9B60663C2D4B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33-48DA-8109-51AC1E381852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40-435D-A11C-6A58A05490EE}"/>
                </c:ext>
              </c:extLst>
            </c:dLbl>
            <c:dLbl>
              <c:idx val="67"/>
              <c:layout>
                <c:manualLayout>
                  <c:x val="3.0126751643790722E-2"/>
                  <c:y val="-1.2070222290161133E-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22-470F-8110-4991449EDC01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22-470F-8110-4991449EDC01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F3-41CB-9243-CD5E3271357B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DD-4DBE-960B-F6FFA3CC40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PET'!$DA$5:$KL$5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PET'!$ED$25:$KL$25</c:f>
              <c:numCache>
                <c:formatCode>#,##0</c:formatCode>
                <c:ptCount val="13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1250</c:v>
                </c:pt>
                <c:pt idx="8">
                  <c:v>1250</c:v>
                </c:pt>
                <c:pt idx="9">
                  <c:v>1250</c:v>
                </c:pt>
                <c:pt idx="10">
                  <c:v>1250</c:v>
                </c:pt>
                <c:pt idx="11">
                  <c:v>1250</c:v>
                </c:pt>
                <c:pt idx="12">
                  <c:v>1250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1-6EAD-431A-BDD4-033E20348306}"/>
            </c:ext>
          </c:extLst>
        </c:ser>
        <c:ser>
          <c:idx val="17"/>
          <c:order val="1"/>
          <c:tx>
            <c:strRef>
              <c:f>'Ma trận PET'!$CC$6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120-459F-BE41-95966B17458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B7-4A27-B42A-12F9480615F3}"/>
                </c:ext>
              </c:extLst>
            </c:dLbl>
            <c:dLbl>
              <c:idx val="9"/>
              <c:layout>
                <c:manualLayout>
                  <c:x val="-2.5158480369583354E-2"/>
                  <c:y val="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CC-4294-8016-7D2A3179649A}"/>
                </c:ext>
              </c:extLst>
            </c:dLbl>
            <c:dLbl>
              <c:idx val="10"/>
              <c:layout>
                <c:manualLayout>
                  <c:x val="-2.3377349015984532E-2"/>
                  <c:y val="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CC-4294-8016-7D2A3179649A}"/>
                </c:ext>
              </c:extLst>
            </c:dLbl>
            <c:dLbl>
              <c:idx val="11"/>
              <c:layout>
                <c:manualLayout>
                  <c:x val="-2.0705651985586299E-2"/>
                  <c:y val="4.2234863748493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BC-4203-AA3E-CA25D6F2999D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AB-410A-B4C9-FD059D6748F3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42-432A-A3F7-9E1215926D2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F7-4306-9A87-A786D223EE1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F7-4306-9A87-A786D223EE15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F7-4306-9A87-A786D223EE15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F7-4306-9A87-A786D223EE15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F7-4306-9A87-A786D223EE15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F7-4306-9A87-A786D223EE1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F7-4306-9A87-A786D223EE15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F7-4306-9A87-A786D223EE15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F7-4306-9A87-A786D223EE15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F7-4306-9A87-A786D223EE15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F7-4306-9A87-A786D223EE15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95-46D2-B6B2-F8EEC7396893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F3-41CB-9243-CD5E3271357B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DD-4DBE-960B-F6FFA3CC408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PET'!$DA$5:$KL$5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PET'!$ED$6:$KL$6</c:f>
              <c:numCache>
                <c:formatCode>"$"#,##0_);\("$"#,##0\)</c:formatCode>
                <c:ptCount val="13"/>
                <c:pt idx="0">
                  <c:v>1160</c:v>
                </c:pt>
                <c:pt idx="1">
                  <c:v>1160</c:v>
                </c:pt>
                <c:pt idx="2">
                  <c:v>1160</c:v>
                </c:pt>
                <c:pt idx="3">
                  <c:v>1160</c:v>
                </c:pt>
                <c:pt idx="4">
                  <c:v>1160</c:v>
                </c:pt>
                <c:pt idx="5">
                  <c:v>1160</c:v>
                </c:pt>
                <c:pt idx="6">
                  <c:v>1160</c:v>
                </c:pt>
                <c:pt idx="7">
                  <c:v>1160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1210</c:v>
                </c:pt>
                <c:pt idx="12">
                  <c:v>1280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6EAD-431A-BDD4-033E20348306}"/>
            </c:ext>
          </c:extLst>
        </c:ser>
        <c:ser>
          <c:idx val="10"/>
          <c:order val="2"/>
          <c:tx>
            <c:strRef>
              <c:f>'Ma trận PET'!$CC$11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375-4C9F-B19F-D89D1329A9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2-4C78-B686-AE0DB5235549}"/>
                </c:ext>
              </c:extLst>
            </c:dLbl>
            <c:dLbl>
              <c:idx val="9"/>
              <c:layout>
                <c:manualLayout>
                  <c:x val="-2.159621766238571E-2"/>
                  <c:y val="-5.870528415180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CC-4294-8016-7D2A3179649A}"/>
                </c:ext>
              </c:extLst>
            </c:dLbl>
            <c:dLbl>
              <c:idx val="10"/>
              <c:layout>
                <c:manualLayout>
                  <c:x val="-2.0705651985586299E-2"/>
                  <c:y val="-4.6940698149439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CC-4294-8016-7D2A3179649A}"/>
                </c:ext>
              </c:extLst>
            </c:dLbl>
            <c:dLbl>
              <c:idx val="11"/>
              <c:layout>
                <c:manualLayout>
                  <c:x val="-2.003772772798674E-3"/>
                  <c:y val="2.470563060496836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DD-44FD-B260-53E3440CC193}"/>
                </c:ext>
              </c:extLst>
            </c:dLbl>
            <c:dLbl>
              <c:idx val="12"/>
              <c:layout>
                <c:manualLayout>
                  <c:x val="-1.7143389278388786E-2"/>
                  <c:y val="-4.2234863748493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E1-4EF8-88EA-2A815121811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AB-410A-B4C9-FD059D6748F3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B4-41E4-879A-D82BA321E41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42-432A-A3F7-9E1215926D2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33-40D2-B237-94C83C6E1D3B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0F-4EB2-A5C8-E42A4D1CF9DB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C2-48B7-BEDC-3AE2B23EF644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6F-4684-B8EB-8DDA87FAAD14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9-4A10-82DD-6510788A9499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E-4832-85F2-9B60663C2D4B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40-435D-A11C-6A58A05490E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40-435D-A11C-6A58A05490E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95-46D2-B6B2-F8EEC7396893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22-470F-8110-4991449EDC01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F3-41CB-9243-CD5E3271357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PET'!$DA$5:$KL$5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PET'!$CD$11:$KL$11</c:f>
              <c:numCache>
                <c:formatCode>"$"#,##0_);\("$"#,##0\)</c:formatCode>
                <c:ptCount val="13"/>
                <c:pt idx="0">
                  <c:v>1150</c:v>
                </c:pt>
                <c:pt idx="1">
                  <c:v>1150</c:v>
                </c:pt>
                <c:pt idx="2">
                  <c:v>1150</c:v>
                </c:pt>
                <c:pt idx="3">
                  <c:v>1150</c:v>
                </c:pt>
                <c:pt idx="4">
                  <c:v>1150</c:v>
                </c:pt>
                <c:pt idx="5">
                  <c:v>1150</c:v>
                </c:pt>
                <c:pt idx="6">
                  <c:v>1150</c:v>
                </c:pt>
                <c:pt idx="7">
                  <c:v>1150</c:v>
                </c:pt>
                <c:pt idx="8">
                  <c:v>1150</c:v>
                </c:pt>
                <c:pt idx="9">
                  <c:v>1175</c:v>
                </c:pt>
                <c:pt idx="10">
                  <c:v>1185</c:v>
                </c:pt>
                <c:pt idx="11">
                  <c:v>1220</c:v>
                </c:pt>
                <c:pt idx="12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6EAD-431A-BDD4-033E20348306}"/>
            </c:ext>
          </c:extLst>
        </c:ser>
        <c:ser>
          <c:idx val="15"/>
          <c:order val="3"/>
          <c:tx>
            <c:strRef>
              <c:f>'Ma trận PET'!$CC$7</c:f>
              <c:strCache>
                <c:ptCount val="1"/>
                <c:pt idx="0">
                  <c:v>DTR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PET'!$DA$5:$KL$5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PET'!$CD$7:$GQ$7</c:f>
            </c:numRef>
          </c:val>
          <c:smooth val="0"/>
          <c:extLst>
            <c:ext xmlns:c16="http://schemas.microsoft.com/office/drawing/2014/chart" uri="{C3380CC4-5D6E-409C-BE32-E72D297353CC}">
              <c16:uniqueId val="{00000032-6EAD-431A-BDD4-033E20348306}"/>
            </c:ext>
          </c:extLst>
        </c:ser>
        <c:ser>
          <c:idx val="12"/>
          <c:order val="4"/>
          <c:tx>
            <c:strRef>
              <c:f>'Ma trận PET'!$CC$22</c:f>
              <c:strCache>
                <c:ptCount val="1"/>
                <c:pt idx="0">
                  <c:v>Điểm hòa vốn có 25% rewash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PET'!$DA$5:$KL$5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PET'!$ED$22:$GF$22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0-6EAD-431A-BDD4-033E20348306}"/>
            </c:ext>
          </c:extLst>
        </c:ser>
        <c:ser>
          <c:idx val="14"/>
          <c:order val="5"/>
          <c:tx>
            <c:strRef>
              <c:f>'Ma trận PET'!$CC$21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C1-4190-B3B7-7A0CE6AEF4D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12-409F-AE7A-38E108CB092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PET'!$DA$5:$KL$5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PET'!$ED$21:$KL$21</c:f>
              <c:numCache>
                <c:formatCode>"$"#,##0_);\("$"#,##0\)</c:formatCode>
                <c:ptCount val="13"/>
                <c:pt idx="0">
                  <c:v>1096.8836793746136</c:v>
                </c:pt>
                <c:pt idx="1">
                  <c:v>1096.8836793746136</c:v>
                </c:pt>
                <c:pt idx="2">
                  <c:v>1096.8836793746136</c:v>
                </c:pt>
                <c:pt idx="3">
                  <c:v>1096.8836793746136</c:v>
                </c:pt>
                <c:pt idx="4">
                  <c:v>1096.8836793746136</c:v>
                </c:pt>
                <c:pt idx="5">
                  <c:v>1056.1519929547876</c:v>
                </c:pt>
                <c:pt idx="6">
                  <c:v>1056.1519929547876</c:v>
                </c:pt>
                <c:pt idx="7">
                  <c:v>1056.1519929547876</c:v>
                </c:pt>
                <c:pt idx="8">
                  <c:v>1056.1519929547876</c:v>
                </c:pt>
                <c:pt idx="9">
                  <c:v>1057.7957262938128</c:v>
                </c:pt>
                <c:pt idx="10">
                  <c:v>1057.7957262938128</c:v>
                </c:pt>
                <c:pt idx="11">
                  <c:v>1057.7957262938128</c:v>
                </c:pt>
                <c:pt idx="12">
                  <c:v>1057.7957262938128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6EAD-431A-BDD4-033E20348306}"/>
            </c:ext>
          </c:extLst>
        </c:ser>
        <c:ser>
          <c:idx val="16"/>
          <c:order val="8"/>
          <c:tx>
            <c:strRef>
              <c:f>'Ma trận PET'!$CC$14</c:f>
              <c:strCache>
                <c:ptCount val="1"/>
                <c:pt idx="0">
                  <c:v>RESIN</c:v>
                </c:pt>
              </c:strCache>
            </c:strRef>
          </c:tx>
          <c:spPr>
            <a:ln w="5397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226414191999833E-4"/>
                  <c:y val="-1.39998573428154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CC-4294-8016-7D2A3179649A}"/>
                </c:ext>
              </c:extLst>
            </c:dLbl>
            <c:dLbl>
              <c:idx val="11"/>
              <c:layout>
                <c:manualLayout>
                  <c:x val="-1.2690560894391602E-2"/>
                  <c:y val="-3.0470277746127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DD-44FD-B260-53E3440CC19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PET'!$DA$5:$KL$5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PET'!$CD$14:$KL$14</c:f>
              <c:numCache>
                <c:formatCode>"$"#,##0_);\("$"#,##0\)</c:formatCode>
                <c:ptCount val="13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  <c:pt idx="12">
                  <c:v>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6EAD-431A-BDD4-033E2034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7"/>
          <c:order val="10"/>
          <c:tx>
            <c:strRef>
              <c:f>'Ma trận PET'!$CC$19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PET'!$ED$5:$FS$5</c:f>
            </c:multiLvlStrRef>
          </c:cat>
          <c:val>
            <c:numRef>
              <c:f>'Ma trận PET'!$DQ$19:$GF$19</c:f>
            </c:numRef>
          </c:val>
          <c:smooth val="0"/>
          <c:extLst>
            <c:ext xmlns:c16="http://schemas.microsoft.com/office/drawing/2014/chart" uri="{C3380CC4-5D6E-409C-BE32-E72D297353CC}">
              <c16:uniqueId val="{0000005D-6EAD-431A-BDD4-033E20348306}"/>
            </c:ext>
          </c:extLst>
        </c:ser>
        <c:ser>
          <c:idx val="1"/>
          <c:order val="12"/>
          <c:tx>
            <c:strRef>
              <c:f>'Ma trận PET'!$CC$24</c:f>
              <c:strCache>
                <c:ptCount val="1"/>
                <c:pt idx="0">
                  <c:v>Giá bán đối thủ Intco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1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65-4CF6-9C98-1F7017A5E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PET'!$ED$24:$FS$24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865-4CF6-9C98-1F7017A5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645199"/>
        <c:axId val="1466660175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valAx>
        <c:axId val="146666017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466645199"/>
        <c:crosses val="max"/>
        <c:crossBetween val="between"/>
      </c:valAx>
      <c:catAx>
        <c:axId val="1466645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6660175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7030A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9461732988915832"/>
          <c:y val="0.19422979478671362"/>
          <c:w val="9.5586447666048249E-2"/>
          <c:h val="0.606934806592985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-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FIBER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36512302036513E-2"/>
          <c:y val="0.12702304327693809"/>
          <c:w val="0.79419486344881862"/>
          <c:h val="0.78739317269635756"/>
        </c:manualLayout>
      </c:layout>
      <c:areaChart>
        <c:grouping val="stacked"/>
        <c:varyColors val="0"/>
        <c:ser>
          <c:idx val="1"/>
          <c:order val="5"/>
          <c:tx>
            <c:strRef>
              <c:f>'Ma trận PET- Fiber'!$H$10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PET- Fiber'!$J$10:$AM$10</c:f>
              <c:numCache>
                <c:formatCode>_(* #,##0_);_(* \(#,##0\);_(* "-"??_);_(@_)</c:formatCode>
                <c:ptCount val="15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1108.75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6-4E38-9EAF-31A3F79AB53B}"/>
            </c:ext>
          </c:extLst>
        </c:ser>
        <c:ser>
          <c:idx val="2"/>
          <c:order val="6"/>
          <c:tx>
            <c:strRef>
              <c:f>'Ma trận PET- Fiber'!$H$11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PET- Fiber'!$J$11:$AM$11</c:f>
              <c:numCache>
                <c:formatCode>"$"#,##0_);\("$"#,##0\)</c:formatCode>
                <c:ptCount val="15"/>
                <c:pt idx="0">
                  <c:v>272.5</c:v>
                </c:pt>
                <c:pt idx="1">
                  <c:v>260</c:v>
                </c:pt>
                <c:pt idx="2">
                  <c:v>277.5</c:v>
                </c:pt>
                <c:pt idx="3">
                  <c:v>355</c:v>
                </c:pt>
                <c:pt idx="4">
                  <c:v>338</c:v>
                </c:pt>
                <c:pt idx="5">
                  <c:v>312.5</c:v>
                </c:pt>
                <c:pt idx="6">
                  <c:v>318</c:v>
                </c:pt>
                <c:pt idx="7">
                  <c:v>295</c:v>
                </c:pt>
                <c:pt idx="8">
                  <c:v>307.5</c:v>
                </c:pt>
                <c:pt idx="9">
                  <c:v>308</c:v>
                </c:pt>
                <c:pt idx="10">
                  <c:v>300</c:v>
                </c:pt>
                <c:pt idx="11">
                  <c:v>297.5</c:v>
                </c:pt>
                <c:pt idx="12">
                  <c:v>225</c:v>
                </c:pt>
                <c:pt idx="13">
                  <c:v>190</c:v>
                </c:pt>
                <c:pt idx="14">
                  <c:v>-78.75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9"/>
          <c:order val="0"/>
          <c:tx>
            <c:strRef>
              <c:f>'Ma trận PET- Fiber'!$H$6</c:f>
              <c:strCache>
                <c:ptCount val="1"/>
                <c:pt idx="0">
                  <c:v>DTR-Food grade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Fiber'!$J$6:$AM$6</c:f>
              <c:numCache>
                <c:formatCode>_(* #,##0_);_(* \(#,##0\);_(* "-"??_);_(@_)</c:formatCode>
                <c:ptCount val="15"/>
                <c:pt idx="0">
                  <c:v>1230</c:v>
                </c:pt>
                <c:pt idx="1">
                  <c:v>1230</c:v>
                </c:pt>
                <c:pt idx="2">
                  <c:v>1230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1220</c:v>
                </c:pt>
                <c:pt idx="8">
                  <c:v>1220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1160</c:v>
                </c:pt>
                <c:pt idx="13">
                  <c:v>1160</c:v>
                </c:pt>
                <c:pt idx="14">
                  <c:v>1160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3"/>
          <c:order val="1"/>
          <c:tx>
            <c:strRef>
              <c:f>'Ma trận PET- Fiber'!$H$14</c:f>
              <c:strCache>
                <c:ptCount val="1"/>
                <c:pt idx="0">
                  <c:v>Giá bán đối thủ CHORI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Fiber'!$J$14:$T$14</c:f>
            </c:numRef>
          </c:val>
          <c:smooth val="0"/>
          <c:extLst>
            <c:ext xmlns:c16="http://schemas.microsoft.com/office/drawing/2014/chart" uri="{C3380CC4-5D6E-409C-BE32-E72D297353CC}">
              <c16:uniqueId val="{0000002C-3726-4E38-9EAF-31A3F79AB53B}"/>
            </c:ext>
          </c:extLst>
        </c:ser>
        <c:ser>
          <c:idx val="4"/>
          <c:order val="2"/>
          <c:tx>
            <c:strRef>
              <c:f>'Ma trận PET- Fiber'!$H$15</c:f>
              <c:strCache>
                <c:ptCount val="1"/>
                <c:pt idx="0">
                  <c:v>Giá bán đối thủ Hyosung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Fiber'!$J$15:$R$15</c:f>
            </c:numRef>
          </c:val>
          <c:smooth val="0"/>
          <c:extLst>
            <c:ext xmlns:c16="http://schemas.microsoft.com/office/drawing/2014/chart" uri="{C3380CC4-5D6E-409C-BE32-E72D297353CC}">
              <c16:uniqueId val="{00000040-3726-4E38-9EAF-31A3F79AB53B}"/>
            </c:ext>
          </c:extLst>
        </c:ser>
        <c:ser>
          <c:idx val="6"/>
          <c:order val="3"/>
          <c:tx>
            <c:strRef>
              <c:f>'Ma trận PET- Fiber'!$H$7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Fiber'!$J$7:$AM$7</c:f>
              <c:numCache>
                <c:formatCode>_(* #,##0_);_(* \(#,##0\);_(* "-"??_);_(@_)</c:formatCode>
                <c:ptCount val="15"/>
                <c:pt idx="0">
                  <c:v>1100</c:v>
                </c:pt>
                <c:pt idx="1">
                  <c:v>1100</c:v>
                </c:pt>
                <c:pt idx="2">
                  <c:v>1100</c:v>
                </c:pt>
                <c:pt idx="3">
                  <c:v>1120</c:v>
                </c:pt>
                <c:pt idx="4">
                  <c:v>1120</c:v>
                </c:pt>
                <c:pt idx="5">
                  <c:v>1120</c:v>
                </c:pt>
                <c:pt idx="6">
                  <c:v>1120</c:v>
                </c:pt>
                <c:pt idx="7">
                  <c:v>1090</c:v>
                </c:pt>
                <c:pt idx="8">
                  <c:v>1090</c:v>
                </c:pt>
                <c:pt idx="9">
                  <c:v>1080</c:v>
                </c:pt>
                <c:pt idx="10">
                  <c:v>1070</c:v>
                </c:pt>
                <c:pt idx="11">
                  <c:v>1070</c:v>
                </c:pt>
                <c:pt idx="12">
                  <c:v>1030</c:v>
                </c:pt>
                <c:pt idx="13">
                  <c:v>1030</c:v>
                </c:pt>
                <c:pt idx="14">
                  <c:v>1030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3726-4E38-9EAF-31A3F79AB53B}"/>
            </c:ext>
          </c:extLst>
        </c:ser>
        <c:ser>
          <c:idx val="0"/>
          <c:order val="4"/>
          <c:tx>
            <c:strRef>
              <c:f>'Ma trận PET- Fiber'!$H$9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1.6271661880236907E-2"/>
                  <c:y val="-2.8117360545654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E3-4F53-8FF4-8B6CE2E0FE8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Fiber'!$J$9:$AM$9</c:f>
              <c:numCache>
                <c:formatCode>_(* #,##0_);_(* \(#,##0\);_(* "-"??_);_(@_)</c:formatCode>
                <c:ptCount val="15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  <c:pt idx="12">
                  <c:v>805</c:v>
                </c:pt>
                <c:pt idx="13">
                  <c:v>840</c:v>
                </c:pt>
                <c:pt idx="14">
                  <c:v>1108.75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3726-4E38-9EAF-31A3F79AB53B}"/>
            </c:ext>
          </c:extLst>
        </c:ser>
        <c:ser>
          <c:idx val="5"/>
          <c:order val="7"/>
          <c:tx>
            <c:strRef>
              <c:f>'Ma trận PET- Fiber'!$H$13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Fiber'!$J$5:$AM$5</c:f>
              <c:strCache>
                <c:ptCount val="15"/>
                <c:pt idx="0">
                  <c:v> T1.25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T1.26 </c:v>
                </c:pt>
                <c:pt idx="13">
                  <c:v> 2 </c:v>
                </c:pt>
                <c:pt idx="14">
                  <c:v> 3 </c:v>
                </c:pt>
              </c:strCache>
            </c:strRef>
          </c:cat>
          <c:val>
            <c:numRef>
              <c:f>'Ma trận PET- Fiber'!$J$13:$AM$13</c:f>
              <c:numCache>
                <c:formatCode>_(* #,##0_);_(* \(#,##0\);_(* "-"??_);_(@_)</c:formatCode>
                <c:ptCount val="15"/>
                <c:pt idx="0">
                  <c:v>668.04613132777956</c:v>
                </c:pt>
                <c:pt idx="1">
                  <c:v>694.46136145567061</c:v>
                </c:pt>
                <c:pt idx="2">
                  <c:v>704.64253339668858</c:v>
                </c:pt>
                <c:pt idx="3">
                  <c:v>693.32467456021789</c:v>
                </c:pt>
                <c:pt idx="4">
                  <c:v>701.49240475275428</c:v>
                </c:pt>
                <c:pt idx="5">
                  <c:v>711.95211896874696</c:v>
                </c:pt>
                <c:pt idx="6">
                  <c:v>716.07583093115807</c:v>
                </c:pt>
                <c:pt idx="7">
                  <c:v>711.5515229380502</c:v>
                </c:pt>
                <c:pt idx="8">
                  <c:v>657.6425700422576</c:v>
                </c:pt>
                <c:pt idx="9">
                  <c:v>655.42324121217587</c:v>
                </c:pt>
                <c:pt idx="10">
                  <c:v>687.77689086730652</c:v>
                </c:pt>
                <c:pt idx="11">
                  <c:v>599.05685394273485</c:v>
                </c:pt>
                <c:pt idx="12">
                  <c:v>646.08292221736849</c:v>
                </c:pt>
                <c:pt idx="13">
                  <c:v>621.38247673824969</c:v>
                </c:pt>
                <c:pt idx="14">
                  <c:v>578.95337311294793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3726-4E38-9EAF-31A3F79A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500"/>
          <c:min val="5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45849854370962"/>
          <c:y val="0.29457133831892401"/>
          <c:w val="0.10726097886770733"/>
          <c:h val="0.604895920467693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-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FIBER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4932756217568"/>
          <c:y val="1.703915500549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98159249990064E-2"/>
          <c:y val="0.1294110015080347"/>
          <c:w val="0.79419486344881862"/>
          <c:h val="0.78739317269635756"/>
        </c:manualLayout>
      </c:layout>
      <c:areaChart>
        <c:grouping val="stacked"/>
        <c:varyColors val="0"/>
        <c:ser>
          <c:idx val="1"/>
          <c:order val="5"/>
          <c:tx>
            <c:strRef>
              <c:f>'Ma trận PET- Fiber'!$AR$10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PET- Fiber'!$AS$10:$FS$10</c:f>
              <c:numCache>
                <c:formatCode>"$"#,##0_);\("$"#,##0\)</c:formatCode>
                <c:ptCount val="13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  <c:pt idx="12">
                  <c:v>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4CCB-4527-97D7-47C7E1671784}"/>
            </c:ext>
          </c:extLst>
        </c:ser>
        <c:ser>
          <c:idx val="2"/>
          <c:order val="6"/>
          <c:tx>
            <c:strRef>
              <c:f>'Ma trận PET- Fiber'!$DN$4</c:f>
              <c:strCache>
                <c:ptCount val="1"/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PET- Fiber'!$AS$11:$FS$11</c:f>
              <c:numCache>
                <c:formatCode>"$"#,##0_);\("$"#,##0\)</c:formatCode>
                <c:ptCount val="13"/>
                <c:pt idx="0">
                  <c:v>235</c:v>
                </c:pt>
                <c:pt idx="1">
                  <c:v>235</c:v>
                </c:pt>
                <c:pt idx="2">
                  <c:v>235</c:v>
                </c:pt>
                <c:pt idx="3">
                  <c:v>210</c:v>
                </c:pt>
                <c:pt idx="4">
                  <c:v>210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95</c:v>
                </c:pt>
                <c:pt idx="10">
                  <c:v>-50</c:v>
                </c:pt>
                <c:pt idx="11">
                  <c:v>-200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CCB-4527-97D7-47C7E16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9"/>
          <c:order val="0"/>
          <c:tx>
            <c:strRef>
              <c:f>'Ma trận PET- Fiber'!$AR$6</c:f>
              <c:strCache>
                <c:ptCount val="1"/>
                <c:pt idx="0">
                  <c:v>DTR-Food grade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9844372923784898E-2"/>
                  <c:y val="2.592785320582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A3-4752-81CB-C61240C07A7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Fiber'!$AE$5:$FR$5</c:f>
              <c:strCache>
                <c:ptCount val="25"/>
                <c:pt idx="0">
                  <c:v> 7 </c:v>
                </c:pt>
                <c:pt idx="1">
                  <c:v> 8 </c:v>
                </c:pt>
                <c:pt idx="2">
                  <c:v> 9 </c:v>
                </c:pt>
                <c:pt idx="3">
                  <c:v> 10 </c:v>
                </c:pt>
                <c:pt idx="4">
                  <c:v> 11 </c:v>
                </c:pt>
                <c:pt idx="5">
                  <c:v> 12 </c:v>
                </c:pt>
                <c:pt idx="6">
                  <c:v> T1.26 </c:v>
                </c:pt>
                <c:pt idx="7">
                  <c:v> 2 </c:v>
                </c:pt>
                <c:pt idx="8">
                  <c:v> 3 </c:v>
                </c:pt>
                <c:pt idx="9">
                  <c:v> 4 </c:v>
                </c:pt>
                <c:pt idx="11">
                  <c:v>Mã SP</c:v>
                </c:pt>
                <c:pt idx="12">
                  <c:v>Diễn giải</c:v>
                </c:pt>
                <c:pt idx="13">
                  <c:v> 01 </c:v>
                </c:pt>
                <c:pt idx="14">
                  <c:v> 02 </c:v>
                </c:pt>
                <c:pt idx="15">
                  <c:v> 03 </c:v>
                </c:pt>
                <c:pt idx="16">
                  <c:v> 04 </c:v>
                </c:pt>
                <c:pt idx="17">
                  <c:v> 05 </c:v>
                </c:pt>
                <c:pt idx="18">
                  <c:v> 06 </c:v>
                </c:pt>
                <c:pt idx="19">
                  <c:v> 07 </c:v>
                </c:pt>
                <c:pt idx="20">
                  <c:v> 08 </c:v>
                </c:pt>
                <c:pt idx="21">
                  <c:v> 09 </c:v>
                </c:pt>
                <c:pt idx="22">
                  <c:v> 10 </c:v>
                </c:pt>
                <c:pt idx="23">
                  <c:v> 11 </c:v>
                </c:pt>
                <c:pt idx="24">
                  <c:v> 12 </c:v>
                </c:pt>
              </c:strCache>
            </c:strRef>
          </c:cat>
          <c:val>
            <c:numRef>
              <c:f>'Ma trận PET- Fiber'!$BJ$6:$FS$6</c:f>
              <c:numCache>
                <c:formatCode>"$"#,##0_);\("$"#,##0\)</c:formatCode>
                <c:ptCount val="13"/>
                <c:pt idx="0">
                  <c:v>1160</c:v>
                </c:pt>
                <c:pt idx="1">
                  <c:v>1160</c:v>
                </c:pt>
                <c:pt idx="2">
                  <c:v>1160</c:v>
                </c:pt>
                <c:pt idx="3">
                  <c:v>1160</c:v>
                </c:pt>
                <c:pt idx="4">
                  <c:v>1160</c:v>
                </c:pt>
                <c:pt idx="5">
                  <c:v>1160</c:v>
                </c:pt>
                <c:pt idx="6">
                  <c:v>1160</c:v>
                </c:pt>
                <c:pt idx="7">
                  <c:v>1160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1210</c:v>
                </c:pt>
                <c:pt idx="12">
                  <c:v>1280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804-4658-BA44-4C763EAE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3"/>
          <c:order val="1"/>
          <c:tx>
            <c:strRef>
              <c:f>'Ma trận PET- Fiber'!$AR$14</c:f>
              <c:strCache>
                <c:ptCount val="1"/>
                <c:pt idx="0">
                  <c:v>Đối thủ CHORI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Fiber'!$BJ$5:$FS$5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Fiber'!$AS$14:$CJ$14</c:f>
            </c:numRef>
          </c:val>
          <c:smooth val="0"/>
          <c:extLst>
            <c:ext xmlns:c16="http://schemas.microsoft.com/office/drawing/2014/chart" uri="{C3380CC4-5D6E-409C-BE32-E72D297353CC}">
              <c16:uniqueId val="{00000051-4CCB-4527-97D7-47C7E1671784}"/>
            </c:ext>
          </c:extLst>
        </c:ser>
        <c:ser>
          <c:idx val="4"/>
          <c:order val="2"/>
          <c:tx>
            <c:strRef>
              <c:f>'Ma trận PET- Fiber'!$AR$15</c:f>
              <c:strCache>
                <c:ptCount val="1"/>
                <c:pt idx="0">
                  <c:v>Đối thủ Hyosung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Fiber'!$BJ$5:$FS$5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Fiber'!$AS$15:$CJ$15</c:f>
            </c:numRef>
          </c:val>
          <c:smooth val="0"/>
          <c:extLst>
            <c:ext xmlns:c16="http://schemas.microsoft.com/office/drawing/2014/chart" uri="{C3380CC4-5D6E-409C-BE32-E72D297353CC}">
              <c16:uniqueId val="{00000052-4CCB-4527-97D7-47C7E1671784}"/>
            </c:ext>
          </c:extLst>
        </c:ser>
        <c:ser>
          <c:idx val="6"/>
          <c:order val="3"/>
          <c:tx>
            <c:strRef>
              <c:f>'Ma trận PET- Fiber'!$AR$7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24-418E-B6B2-D019668313D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17-4743-91BE-7A8411ECAFFE}"/>
                </c:ext>
              </c:extLst>
            </c:dLbl>
            <c:dLbl>
              <c:idx val="10"/>
              <c:layout>
                <c:manualLayout>
                  <c:x val="-2.1628136782102639E-2"/>
                  <c:y val="2.3560012730405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62-4F2E-B0F0-B6D174C155B1}"/>
                </c:ext>
              </c:extLst>
            </c:dLbl>
            <c:dLbl>
              <c:idx val="11"/>
              <c:layout>
                <c:manualLayout>
                  <c:x val="-2.4303782569579255E-2"/>
                  <c:y val="4.01348960583285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A3-4752-81CB-C61240C07A74}"/>
                </c:ext>
              </c:extLst>
            </c:dLbl>
            <c:dLbl>
              <c:idx val="12"/>
              <c:layout>
                <c:manualLayout>
                  <c:x val="-4.6823801280842072E-3"/>
                  <c:y val="-3.80038396304528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A3-4752-81CB-C61240C07A7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Fiber'!$BJ$5:$FS$5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Fiber'!$AS$7:$FS$7</c:f>
              <c:numCache>
                <c:formatCode>"$"#,##0_);\("$"#,##0\)</c:formatCode>
                <c:ptCount val="13"/>
                <c:pt idx="0">
                  <c:v>1030</c:v>
                </c:pt>
                <c:pt idx="1">
                  <c:v>1030</c:v>
                </c:pt>
                <c:pt idx="2">
                  <c:v>1030</c:v>
                </c:pt>
                <c:pt idx="3">
                  <c:v>1030</c:v>
                </c:pt>
                <c:pt idx="4">
                  <c:v>1030</c:v>
                </c:pt>
                <c:pt idx="5">
                  <c:v>1030</c:v>
                </c:pt>
                <c:pt idx="6">
                  <c:v>1030</c:v>
                </c:pt>
                <c:pt idx="7">
                  <c:v>1030</c:v>
                </c:pt>
                <c:pt idx="8">
                  <c:v>1030</c:v>
                </c:pt>
                <c:pt idx="9">
                  <c:v>1030</c:v>
                </c:pt>
                <c:pt idx="10">
                  <c:v>1030</c:v>
                </c:pt>
                <c:pt idx="11">
                  <c:v>1080</c:v>
                </c:pt>
                <c:pt idx="12">
                  <c:v>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CCB-4527-97D7-47C7E1671784}"/>
            </c:ext>
          </c:extLst>
        </c:ser>
        <c:ser>
          <c:idx val="0"/>
          <c:order val="4"/>
          <c:tx>
            <c:strRef>
              <c:f>'Ma trận PET- Fiber'!$AR$9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8107012207475901E-3"/>
                  <c:y val="-3.3149766655846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FA-4230-8D8E-BB62F587C97B}"/>
                </c:ext>
              </c:extLst>
            </c:dLbl>
            <c:dLbl>
              <c:idx val="2"/>
              <c:layout>
                <c:manualLayout>
                  <c:x val="-1.6945756654018596E-2"/>
                  <c:y val="-4.0253288082099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89-4D14-B2E7-6C76254DC755}"/>
                </c:ext>
              </c:extLst>
            </c:dLbl>
            <c:dLbl>
              <c:idx val="12"/>
              <c:layout>
                <c:manualLayout>
                  <c:x val="-1.4493081348831666E-2"/>
                  <c:y val="2.82956936812405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A3-4752-81CB-C61240C07A7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Fiber'!$BJ$5:$FS$5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Fiber'!$AS$9:$FS$9</c:f>
              <c:numCache>
                <c:formatCode>"$"#,##0_);\("$"#,##0\)</c:formatCode>
                <c:ptCount val="13"/>
                <c:pt idx="0">
                  <c:v>795</c:v>
                </c:pt>
                <c:pt idx="1">
                  <c:v>795</c:v>
                </c:pt>
                <c:pt idx="2">
                  <c:v>795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840</c:v>
                </c:pt>
                <c:pt idx="7">
                  <c:v>840</c:v>
                </c:pt>
                <c:pt idx="8">
                  <c:v>840</c:v>
                </c:pt>
                <c:pt idx="9">
                  <c:v>935</c:v>
                </c:pt>
                <c:pt idx="10">
                  <c:v>1080</c:v>
                </c:pt>
                <c:pt idx="11">
                  <c:v>1280</c:v>
                </c:pt>
                <c:pt idx="12">
                  <c:v>1140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E67-4D54-A958-B92AD9232860}"/>
            </c:ext>
          </c:extLst>
        </c:ser>
        <c:ser>
          <c:idx val="5"/>
          <c:order val="7"/>
          <c:tx>
            <c:strRef>
              <c:f>'Ma trận PET- Fiber'!$AR$13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89-4D14-B2E7-6C76254DC75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344-43C9-833A-816AA56157B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PET- Fiber'!$BJ$5:$FS$5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PET- Fiber'!$AS$13:$FS$13</c:f>
              <c:numCache>
                <c:formatCode>_(* #,##0_);_(* \(#,##0\);_(* "-"??_);_(@_)</c:formatCode>
                <c:ptCount val="13"/>
                <c:pt idx="0">
                  <c:v>646.08292221736849</c:v>
                </c:pt>
                <c:pt idx="1">
                  <c:v>646.08292221736849</c:v>
                </c:pt>
                <c:pt idx="2">
                  <c:v>646.08292221736849</c:v>
                </c:pt>
                <c:pt idx="3">
                  <c:v>646.08292221736849</c:v>
                </c:pt>
                <c:pt idx="4">
                  <c:v>646.08292221736849</c:v>
                </c:pt>
                <c:pt idx="5">
                  <c:v>621.38247673824969</c:v>
                </c:pt>
                <c:pt idx="6">
                  <c:v>621.38247673824969</c:v>
                </c:pt>
                <c:pt idx="7">
                  <c:v>621.38247673824969</c:v>
                </c:pt>
                <c:pt idx="8">
                  <c:v>621.38247673824969</c:v>
                </c:pt>
                <c:pt idx="9">
                  <c:v>578.95337311294793</c:v>
                </c:pt>
                <c:pt idx="10">
                  <c:v>578.95337311294793</c:v>
                </c:pt>
                <c:pt idx="11">
                  <c:v>578.95337311294793</c:v>
                </c:pt>
                <c:pt idx="12">
                  <c:v>578.95337311294793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CCB-4527-97D7-47C7E1671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200"/>
      </c:valAx>
      <c:spPr>
        <a:noFill/>
        <a:ln w="25400"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45849854370962"/>
          <c:y val="0.14633757961783439"/>
          <c:w val="0.10726097886770733"/>
          <c:h val="0.75312978539248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2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273947803555037"/>
          <c:y val="1.2817211260777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11187348356736E-2"/>
          <c:y val="0.12548660011418883"/>
          <c:w val="0.80562467161494256"/>
          <c:h val="0.77557344530558303"/>
        </c:manualLayout>
      </c:layout>
      <c:areaChart>
        <c:grouping val="stacked"/>
        <c:varyColors val="0"/>
        <c:ser>
          <c:idx val="16"/>
          <c:order val="13"/>
          <c:tx>
            <c:strRef>
              <c:f>'Ma trận HDPE thổi'!$H$23</c:f>
              <c:strCache>
                <c:ptCount val="1"/>
                <c:pt idx="0">
                  <c:v> TTCP 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val>
            <c:numRef>
              <c:f>'Ma trận HDPE thổi'!$U$23:$BX$23</c:f>
              <c:numCache>
                <c:formatCode>"$"#,##0_);\("$"#,##0\)</c:formatCode>
                <c:ptCount val="15"/>
                <c:pt idx="0">
                  <c:v>940</c:v>
                </c:pt>
                <c:pt idx="1">
                  <c:v>918</c:v>
                </c:pt>
                <c:pt idx="2">
                  <c:v>896</c:v>
                </c:pt>
                <c:pt idx="3">
                  <c:v>891.5</c:v>
                </c:pt>
                <c:pt idx="4">
                  <c:v>864</c:v>
                </c:pt>
                <c:pt idx="5">
                  <c:v>833</c:v>
                </c:pt>
                <c:pt idx="6">
                  <c:v>833</c:v>
                </c:pt>
                <c:pt idx="7">
                  <c:v>815</c:v>
                </c:pt>
                <c:pt idx="8">
                  <c:v>812.5</c:v>
                </c:pt>
                <c:pt idx="9">
                  <c:v>805</c:v>
                </c:pt>
                <c:pt idx="10">
                  <c:v>805</c:v>
                </c:pt>
                <c:pt idx="11">
                  <c:v>802.5</c:v>
                </c:pt>
                <c:pt idx="12">
                  <c:v>800</c:v>
                </c:pt>
                <c:pt idx="13">
                  <c:v>800</c:v>
                </c:pt>
                <c:pt idx="14">
                  <c:v>1331.25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C-433E-B398-94E83FF47F3E}"/>
            </c:ext>
          </c:extLst>
        </c:ser>
        <c:ser>
          <c:idx val="17"/>
          <c:order val="18"/>
          <c:tx>
            <c:strRef>
              <c:f>'Ma trận HDPE thổi'!$H$24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HDPE thổi'!$U$24:$BX$24</c:f>
              <c:numCache>
                <c:formatCode>"$"#,##0_);\("$"#,##0\)</c:formatCode>
                <c:ptCount val="15"/>
                <c:pt idx="0">
                  <c:v>460</c:v>
                </c:pt>
                <c:pt idx="1">
                  <c:v>482</c:v>
                </c:pt>
                <c:pt idx="2">
                  <c:v>454</c:v>
                </c:pt>
                <c:pt idx="3">
                  <c:v>458.5</c:v>
                </c:pt>
                <c:pt idx="4">
                  <c:v>486</c:v>
                </c:pt>
                <c:pt idx="5">
                  <c:v>517</c:v>
                </c:pt>
                <c:pt idx="6">
                  <c:v>517</c:v>
                </c:pt>
                <c:pt idx="7">
                  <c:v>515</c:v>
                </c:pt>
                <c:pt idx="8">
                  <c:v>497.5</c:v>
                </c:pt>
                <c:pt idx="9">
                  <c:v>505</c:v>
                </c:pt>
                <c:pt idx="10">
                  <c:v>495</c:v>
                </c:pt>
                <c:pt idx="11">
                  <c:v>497.5</c:v>
                </c:pt>
                <c:pt idx="12">
                  <c:v>500</c:v>
                </c:pt>
                <c:pt idx="13">
                  <c:v>500</c:v>
                </c:pt>
                <c:pt idx="14">
                  <c:v>-31.25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C-433E-B398-94E83FF47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7"/>
          <c:order val="10"/>
          <c:tx>
            <c:strRef>
              <c:f>'Ma trận HDPE thổi'!$H$14</c:f>
              <c:strCache>
                <c:ptCount val="1"/>
                <c:pt idx="0">
                  <c:v>DTR-Giá FOB rHD xuất xưởng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HDPE thổi'!$I$5:$AW$5</c:f>
            </c:multiLvlStrRef>
          </c:cat>
          <c:val>
            <c:numRef>
              <c:f>'Ma trận HDPE thổi'!$I$14:$AM$14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4-DAC2-4624-A7B2-21F9AB8BB5CB}"/>
            </c:ext>
          </c:extLst>
        </c:ser>
        <c:ser>
          <c:idx val="9"/>
          <c:order val="14"/>
          <c:tx>
            <c:strRef>
              <c:f>'Ma trận HDPE thổi'!$H$15</c:f>
              <c:strCache>
                <c:ptCount val="1"/>
                <c:pt idx="0">
                  <c:v>Giá Dafon CIF_ĐNÁ rHD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'Ma trận HDPE thổi'!$I$5:$AW$5</c:f>
            </c:multiLvlStrRef>
          </c:cat>
          <c:val>
            <c:numRef>
              <c:f>'Ma trận HDPE thổi'!$I$15:$AM$15</c:f>
            </c:numRef>
          </c:val>
          <c:smooth val="0"/>
          <c:extLst>
            <c:ext xmlns:c16="http://schemas.microsoft.com/office/drawing/2014/chart" uri="{C3380CC4-5D6E-409C-BE32-E72D297353CC}">
              <c16:uniqueId val="{00000029-DAC2-4624-A7B2-21F9AB8BB5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3"/>
          <c:order val="0"/>
          <c:tx>
            <c:strRef>
              <c:f>'Ma trận HDPE thổi'!$H$22</c:f>
              <c:strCache>
                <c:ptCount val="1"/>
                <c:pt idx="0">
                  <c:v> Giá bán Unilever </c:v>
                </c:pt>
              </c:strCache>
            </c:strRef>
          </c:tx>
          <c:spPr>
            <a:ln w="50800" cap="rnd">
              <a:solidFill>
                <a:srgbClr val="2CD8D4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2A-4144-9824-175C2E7749E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119-469A-B341-2BB8601119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2A-4144-9824-175C2E7749E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thổi'!$U$22:$BX$22</c:f>
              <c:numCache>
                <c:formatCode>_(* #,##0_);_(* \(#,##0\);_(* "-"??_);_(@_)</c:formatCode>
                <c:ptCount val="15"/>
                <c:pt idx="0">
                  <c:v>1430</c:v>
                </c:pt>
                <c:pt idx="1">
                  <c:v>1430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1380</c:v>
                </c:pt>
                <c:pt idx="7">
                  <c:v>1380</c:v>
                </c:pt>
                <c:pt idx="8">
                  <c:v>1380</c:v>
                </c:pt>
                <c:pt idx="9">
                  <c:v>1380</c:v>
                </c:pt>
                <c:pt idx="10">
                  <c:v>1380</c:v>
                </c:pt>
                <c:pt idx="11">
                  <c:v>1380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9-45A6-BB67-BE61B66CA177}"/>
            </c:ext>
          </c:extLst>
        </c:ser>
        <c:ser>
          <c:idx val="5"/>
          <c:order val="1"/>
          <c:tx>
            <c:strRef>
              <c:f>'Ma trận HDPE thổi'!$H$9</c:f>
              <c:strCache>
                <c:ptCount val="1"/>
                <c:pt idx="0">
                  <c:v>DTR (personal care)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741176572925179E-2"/>
                  <c:y val="-2.1362018767963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82-424B-A58D-0C5D6CD0F2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26-4E74-BA7E-A2E754F0EAB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26-4E74-BA7E-A2E754F0EAB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F7-4985-BE94-C688CEE8534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8A-42D7-B4BB-1620A3ABA0B3}"/>
                </c:ext>
              </c:extLst>
            </c:dLbl>
            <c:dLbl>
              <c:idx val="7"/>
              <c:layout>
                <c:manualLayout>
                  <c:x val="-2.3789090619865148E-2"/>
                  <c:y val="-2.1146306705035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0B-4F80-889D-2C5DBB258810}"/>
                </c:ext>
              </c:extLst>
            </c:dLbl>
            <c:dLbl>
              <c:idx val="8"/>
              <c:layout>
                <c:manualLayout>
                  <c:x val="-1.5641050110050587E-2"/>
                  <c:y val="-2.3304448631998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D5-45E2-A197-908ECDF60A25}"/>
                </c:ext>
              </c:extLst>
            </c:dLbl>
            <c:dLbl>
              <c:idx val="9"/>
              <c:layout>
                <c:manualLayout>
                  <c:x val="-4.2645722047241459E-3"/>
                  <c:y val="-2.76638143045124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F7-4985-BE94-C688CEE8534C}"/>
                </c:ext>
              </c:extLst>
            </c:dLbl>
            <c:dLbl>
              <c:idx val="10"/>
              <c:layout>
                <c:manualLayout>
                  <c:x val="-7.5137700749899521E-3"/>
                  <c:y val="-2.98000161813087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8A-42D7-B4BB-1620A3ABA0B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95-477E-AEE3-5BC118CE4382}"/>
                </c:ext>
              </c:extLst>
            </c:dLbl>
            <c:dLbl>
              <c:idx val="12"/>
              <c:layout>
                <c:manualLayout>
                  <c:x val="-6.7014706074234702E-3"/>
                  <c:y val="-1.69828049205307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8C-4C1A-AA94-70C8DA044A93}"/>
                </c:ext>
              </c:extLst>
            </c:dLbl>
            <c:dLbl>
              <c:idx val="13"/>
              <c:layout>
                <c:manualLayout>
                  <c:x val="-9.138369010122915E-3"/>
                  <c:y val="-1.4846603043734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F1-4AC4-ADD8-249243984DFF}"/>
                </c:ext>
              </c:extLst>
            </c:dLbl>
            <c:dLbl>
              <c:idx val="14"/>
              <c:layout>
                <c:manualLayout>
                  <c:x val="-3.4522727371575452E-3"/>
                  <c:y val="-1.2710401166938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9C-4594-990C-C2BBC7C0513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thổi'!$I$9:$BX$9</c:f>
              <c:numCache>
                <c:formatCode>"$"#,##0_);\("$"#,##0\)</c:formatCode>
                <c:ptCount val="15"/>
                <c:pt idx="0">
                  <c:v>1400</c:v>
                </c:pt>
                <c:pt idx="1">
                  <c:v>1400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1330</c:v>
                </c:pt>
                <c:pt idx="8">
                  <c:v>1310</c:v>
                </c:pt>
                <c:pt idx="9">
                  <c:v>1310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DAC2-4624-A7B2-21F9AB8BB5CB}"/>
            </c:ext>
          </c:extLst>
        </c:ser>
        <c:ser>
          <c:idx val="2"/>
          <c:order val="2"/>
          <c:tx>
            <c:strRef>
              <c:f>'Ma trận HDPE thổi'!$H$10</c:f>
              <c:strCache>
                <c:ptCount val="1"/>
                <c:pt idx="0">
                  <c:v>DTR (Home care)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381149842516241E-2"/>
                  <c:y val="-8.651617601025146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9C-4594-990C-C2BBC7C05135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2A-4144-9824-175C2E7749EE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2A-4144-9824-175C2E7749EE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2A-4144-9824-175C2E7749EE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2A-4144-9824-175C2E7749EE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F1-4AC4-ADD8-249243984DFF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9C-4594-990C-C2BBC7C0513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thổi'!$I$10:$BX$10</c:f>
              <c:numCache>
                <c:formatCode>"$"#,##0_);\("$"#,##0\)</c:formatCode>
                <c:ptCount val="15"/>
                <c:pt idx="0">
                  <c:v>1350</c:v>
                </c:pt>
                <c:pt idx="1">
                  <c:v>1300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1230</c:v>
                </c:pt>
                <c:pt idx="8">
                  <c:v>1210</c:v>
                </c:pt>
                <c:pt idx="9">
                  <c:v>1210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DAC2-4624-A7B2-21F9AB8BB5CB}"/>
            </c:ext>
          </c:extLst>
        </c:ser>
        <c:ser>
          <c:idx val="8"/>
          <c:order val="3"/>
          <c:tx>
            <c:strRef>
              <c:f>'Ma trận HDPE thổi'!$F$18</c:f>
              <c:strCache>
                <c:ptCount val="1"/>
                <c:pt idx="0">
                  <c:v>Dafon FOB (personal care)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2A-4144-9824-175C2E7749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2A-4144-9824-175C2E7749EE}"/>
                </c:ext>
              </c:extLst>
            </c:dLbl>
            <c:dLbl>
              <c:idx val="2"/>
              <c:layout>
                <c:manualLayout>
                  <c:x val="-1.7398065610446822E-2"/>
                  <c:y val="-2.77346032664028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2A-4144-9824-175C2E7749EE}"/>
                </c:ext>
              </c:extLst>
            </c:dLbl>
            <c:dLbl>
              <c:idx val="6"/>
              <c:layout>
                <c:manualLayout>
                  <c:x val="-1.8909277159379893E-2"/>
                  <c:y val="-2.13588324005631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19-469A-B341-2BB860111904}"/>
                </c:ext>
              </c:extLst>
            </c:dLbl>
            <c:dLbl>
              <c:idx val="7"/>
              <c:layout>
                <c:manualLayout>
                  <c:x val="-9.1496502384097456E-3"/>
                  <c:y val="-2.3484089355842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5A-478A-930D-92C2131C09E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5A-478A-930D-92C2131C09EB}"/>
                </c:ext>
              </c:extLst>
            </c:dLbl>
            <c:dLbl>
              <c:idx val="9"/>
              <c:layout>
                <c:manualLayout>
                  <c:x val="-1.969826208848717E-2"/>
                  <c:y val="-2.1468828861803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9C-4594-990C-C2BBC7C05135}"/>
                </c:ext>
              </c:extLst>
            </c:dLbl>
            <c:dLbl>
              <c:idx val="10"/>
              <c:layout>
                <c:manualLayout>
                  <c:x val="-1.9698262088487292E-2"/>
                  <c:y val="-2.1468828861803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9C-4594-990C-C2BBC7C05135}"/>
                </c:ext>
              </c:extLst>
            </c:dLbl>
            <c:dLbl>
              <c:idx val="11"/>
              <c:layout>
                <c:manualLayout>
                  <c:x val="-1.9698262088487292E-2"/>
                  <c:y val="-1.9332626985006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9C-4594-990C-C2BBC7C05135}"/>
                </c:ext>
              </c:extLst>
            </c:dLbl>
            <c:dLbl>
              <c:idx val="12"/>
              <c:layout>
                <c:manualLayout>
                  <c:x val="-1.969826208848717E-2"/>
                  <c:y val="-2.1468828861803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9C-4594-990C-C2BBC7C05135}"/>
                </c:ext>
              </c:extLst>
            </c:dLbl>
            <c:dLbl>
              <c:idx val="13"/>
              <c:layout>
                <c:manualLayout>
                  <c:x val="-1.9698262088487292E-2"/>
                  <c:y val="-2.7877434492192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9C-4594-990C-C2BBC7C0513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thổi'!$U$18:$BX$18</c:f>
              <c:numCache>
                <c:formatCode>"$"#,##0_);\("$"#,##0\)</c:formatCode>
                <c:ptCount val="15"/>
                <c:pt idx="0">
                  <c:v>1424.25</c:v>
                </c:pt>
                <c:pt idx="1">
                  <c:v>1414.5</c:v>
                </c:pt>
                <c:pt idx="2">
                  <c:v>1405.5</c:v>
                </c:pt>
                <c:pt idx="3">
                  <c:v>1398</c:v>
                </c:pt>
                <c:pt idx="4">
                  <c:v>1398</c:v>
                </c:pt>
                <c:pt idx="5">
                  <c:v>1398</c:v>
                </c:pt>
                <c:pt idx="6">
                  <c:v>1398</c:v>
                </c:pt>
                <c:pt idx="7">
                  <c:v>1279</c:v>
                </c:pt>
                <c:pt idx="8">
                  <c:v>1160</c:v>
                </c:pt>
                <c:pt idx="9">
                  <c:v>1160</c:v>
                </c:pt>
                <c:pt idx="10">
                  <c:v>1160</c:v>
                </c:pt>
                <c:pt idx="11">
                  <c:v>1170</c:v>
                </c:pt>
                <c:pt idx="12">
                  <c:v>1158</c:v>
                </c:pt>
                <c:pt idx="13">
                  <c:v>1150</c:v>
                </c:pt>
                <c:pt idx="14">
                  <c:v>1170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DAC2-4624-A7B2-21F9AB8BB5CB}"/>
            </c:ext>
          </c:extLst>
        </c:ser>
        <c:ser>
          <c:idx val="18"/>
          <c:order val="4"/>
          <c:tx>
            <c:strRef>
              <c:f>'Ma trận HDPE thổi'!$H$26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39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170455635393326E-2"/>
                  <c:y val="2.5503083463358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C8-4478-979C-FBF3B01BD2B6}"/>
                </c:ext>
              </c:extLst>
            </c:dLbl>
            <c:dLbl>
              <c:idx val="2"/>
              <c:layout>
                <c:manualLayout>
                  <c:x val="-2.2113315879140699E-2"/>
                  <c:y val="2.9753597373918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B2A-4144-9824-175C2E7749EE}"/>
                </c:ext>
              </c:extLst>
            </c:dLbl>
            <c:dLbl>
              <c:idx val="3"/>
              <c:layout>
                <c:manualLayout>
                  <c:x val="-2.457035097682312E-2"/>
                  <c:y val="2.33778265080789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5A-478A-930D-92C2131C09EB}"/>
                </c:ext>
              </c:extLst>
            </c:dLbl>
            <c:dLbl>
              <c:idx val="4"/>
              <c:layout>
                <c:manualLayout>
                  <c:x val="-1.6266044868283782E-2"/>
                  <c:y val="3.187885432919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04-4D92-806B-5DCC37E49E16}"/>
                </c:ext>
              </c:extLst>
            </c:dLbl>
            <c:dLbl>
              <c:idx val="5"/>
              <c:layout>
                <c:manualLayout>
                  <c:x val="-1.3826138138041214E-2"/>
                  <c:y val="2.55030834633588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2A-4144-9824-175C2E7749EE}"/>
                </c:ext>
              </c:extLst>
            </c:dLbl>
            <c:dLbl>
              <c:idx val="7"/>
              <c:layout>
                <c:manualLayout>
                  <c:x val="-4.6358227874608776E-2"/>
                  <c:y val="3.1878854329198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5A-478A-930D-92C2131C09EB}"/>
                </c:ext>
              </c:extLst>
            </c:dLbl>
            <c:dLbl>
              <c:idx val="8"/>
              <c:layout>
                <c:manualLayout>
                  <c:x val="-8.122994675664812E-3"/>
                  <c:y val="2.9906826275148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04-4D92-806B-5DCC37E49E16}"/>
                </c:ext>
              </c:extLst>
            </c:dLbl>
            <c:dLbl>
              <c:idx val="9"/>
              <c:layout>
                <c:manualLayout>
                  <c:x val="-3.249197870265925E-3"/>
                  <c:y val="1.7089615014370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2A-4144-9824-175C2E7749EE}"/>
                </c:ext>
              </c:extLst>
            </c:dLbl>
            <c:dLbl>
              <c:idx val="10"/>
              <c:layout>
                <c:manualLayout>
                  <c:x val="-4.061497337832406E-3"/>
                  <c:y val="-8.54480750718529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5A-478A-930D-92C2131C09EB}"/>
                </c:ext>
              </c:extLst>
            </c:dLbl>
            <c:dLbl>
              <c:idx val="11"/>
              <c:layout>
                <c:manualLayout>
                  <c:x val="-1.2184492013497339E-2"/>
                  <c:y val="-2.5634422521555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5A-478A-930D-92C2131C09EB}"/>
                </c:ext>
              </c:extLst>
            </c:dLbl>
            <c:dLbl>
              <c:idx val="12"/>
              <c:layout>
                <c:manualLayout>
                  <c:x val="-1.2184492013497339E-2"/>
                  <c:y val="-2.1362018767963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45-414F-8656-6DF1B1F5F4C2}"/>
                </c:ext>
              </c:extLst>
            </c:dLbl>
            <c:dLbl>
              <c:idx val="13"/>
              <c:layout>
                <c:manualLayout>
                  <c:x val="-5.6860962729653689E-3"/>
                  <c:y val="-2.77706243983521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F1-4AC4-ADD8-249243984DFF}"/>
                </c:ext>
              </c:extLst>
            </c:dLbl>
            <c:dLbl>
              <c:idx val="14"/>
              <c:layout>
                <c:manualLayout>
                  <c:x val="-8.9352941432312948E-3"/>
                  <c:y val="-1.9225816891166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C4-4175-B25E-320FA80291E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thổi'!$U$26:$BX$26</c:f>
              <c:numCache>
                <c:formatCode>"$"#,##0_);\("$"#,##0\)</c:formatCode>
                <c:ptCount val="15"/>
                <c:pt idx="0">
                  <c:v>1224.4122855454673</c:v>
                </c:pt>
                <c:pt idx="1">
                  <c:v>1224.8943631432089</c:v>
                </c:pt>
                <c:pt idx="2">
                  <c:v>1220.8389764175517</c:v>
                </c:pt>
                <c:pt idx="3">
                  <c:v>1201.5512157788862</c:v>
                </c:pt>
                <c:pt idx="4">
                  <c:v>1215.0616168681211</c:v>
                </c:pt>
                <c:pt idx="5">
                  <c:v>1218.0838169008853</c:v>
                </c:pt>
                <c:pt idx="6">
                  <c:v>1217.9396141401003</c:v>
                </c:pt>
                <c:pt idx="7">
                  <c:v>1221.1766254679269</c:v>
                </c:pt>
                <c:pt idx="8">
                  <c:v>1118.5151926825677</c:v>
                </c:pt>
                <c:pt idx="9">
                  <c:v>1095.5642423065681</c:v>
                </c:pt>
                <c:pt idx="10">
                  <c:v>1120.145512661127</c:v>
                </c:pt>
                <c:pt idx="11">
                  <c:v>1076.7141229774484</c:v>
                </c:pt>
                <c:pt idx="12">
                  <c:v>1111.3107354114027</c:v>
                </c:pt>
                <c:pt idx="13">
                  <c:v>1083.9521515147321</c:v>
                </c:pt>
                <c:pt idx="14">
                  <c:v>1076.0361329975726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A-4E96-AAC7-DDD734B894C1}"/>
            </c:ext>
          </c:extLst>
        </c:ser>
        <c:ser>
          <c:idx val="12"/>
          <c:order val="5"/>
          <c:tx>
            <c:strRef>
              <c:f>'Ma trận HDPE thổi'!$F$19</c:f>
              <c:strCache>
                <c:ptCount val="1"/>
                <c:pt idx="0">
                  <c:v>Dafon FOB (Home care)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488527946796633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04-4D92-806B-5DCC37E49E16}"/>
                </c:ext>
              </c:extLst>
            </c:dLbl>
            <c:dLbl>
              <c:idx val="1"/>
              <c:layout>
                <c:manualLayout>
                  <c:x val="-1.9745521121472511E-2"/>
                  <c:y val="2.7522077570874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26-4E74-BA7E-A2E754F0EABD}"/>
                </c:ext>
              </c:extLst>
            </c:dLbl>
            <c:dLbl>
              <c:idx val="2"/>
              <c:layout>
                <c:manualLayout>
                  <c:x val="-1.8117024534134572E-2"/>
                  <c:y val="2.96473345261546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2A-4144-9824-175C2E7749EE}"/>
                </c:ext>
              </c:extLst>
            </c:dLbl>
            <c:dLbl>
              <c:idx val="3"/>
              <c:layout>
                <c:manualLayout>
                  <c:x val="-2.1499057104720245E-2"/>
                  <c:y val="3.3897848436714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AC2-4624-A7B2-21F9AB8BB5CB}"/>
                </c:ext>
              </c:extLst>
            </c:dLbl>
            <c:dLbl>
              <c:idx val="4"/>
              <c:layout>
                <c:manualLayout>
                  <c:x val="-1.9722579402794083E-2"/>
                  <c:y val="2.7522077570874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F7-4985-BE94-C688CEE8534C}"/>
                </c:ext>
              </c:extLst>
            </c:dLbl>
            <c:dLbl>
              <c:idx val="5"/>
              <c:layout>
                <c:manualLayout>
                  <c:x val="-2.1349183889622463E-2"/>
                  <c:y val="2.5396820615594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04-4EAA-B467-28F0DAB2E755}"/>
                </c:ext>
              </c:extLst>
            </c:dLbl>
            <c:dLbl>
              <c:idx val="6"/>
              <c:layout>
                <c:manualLayout>
                  <c:x val="-2.7042299593521786E-2"/>
                  <c:y val="3.17725914814346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F7-4985-BE94-C688CEE8534C}"/>
                </c:ext>
              </c:extLst>
            </c:dLbl>
            <c:dLbl>
              <c:idx val="7"/>
              <c:layout>
                <c:manualLayout>
                  <c:x val="-2.5414675680163288E-2"/>
                  <c:y val="2.7970788196256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04-4D92-806B-5DCC37E49E16}"/>
                </c:ext>
              </c:extLst>
            </c:dLbl>
            <c:dLbl>
              <c:idx val="8"/>
              <c:layout>
                <c:manualLayout>
                  <c:x val="-1.8909277159379893E-2"/>
                  <c:y val="2.53968206155948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04-4D92-806B-5DCC37E49E16}"/>
                </c:ext>
              </c:extLst>
            </c:dLbl>
            <c:dLbl>
              <c:idx val="9"/>
              <c:layout>
                <c:manualLayout>
                  <c:x val="-1.5636764750654765E-2"/>
                  <c:y val="2.9800016181308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64F-49CC-9BAB-6C937F0E08BB}"/>
                </c:ext>
              </c:extLst>
            </c:dLbl>
            <c:dLbl>
              <c:idx val="10"/>
              <c:layout>
                <c:manualLayout>
                  <c:x val="-1.4824465283088402E-2"/>
                  <c:y val="2.3391410550919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04-4EAA-B467-28F0DAB2E755}"/>
                </c:ext>
              </c:extLst>
            </c:dLbl>
            <c:dLbl>
              <c:idx val="11"/>
              <c:layout>
                <c:manualLayout>
                  <c:x val="-1.1575267412822478E-2"/>
                  <c:y val="2.98000161813086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F7-4985-BE94-C688CEE8534C}"/>
                </c:ext>
              </c:extLst>
            </c:dLbl>
            <c:dLbl>
              <c:idx val="12"/>
              <c:layout>
                <c:manualLayout>
                  <c:x val="-1.6449064218221246E-2"/>
                  <c:y val="2.3391410550919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81-4FA0-A1EC-DFB76975C11B}"/>
                </c:ext>
              </c:extLst>
            </c:dLbl>
            <c:dLbl>
              <c:idx val="13"/>
              <c:layout>
                <c:manualLayout>
                  <c:x val="-1.969826208848717E-2"/>
                  <c:y val="2.7663814304512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F1-4AC4-ADD8-249243984DFF}"/>
                </c:ext>
              </c:extLst>
            </c:dLbl>
            <c:dLbl>
              <c:idx val="14"/>
              <c:layout>
                <c:manualLayout>
                  <c:x val="-1.969826208848717E-2"/>
                  <c:y val="3.40724199349012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C4-4175-B25E-320FA80291E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thổi'!$I$19:$BX$19</c:f>
              <c:numCache>
                <c:formatCode>"$"#,##0_);\("$"#,##0\)</c:formatCode>
                <c:ptCount val="15"/>
                <c:pt idx="0">
                  <c:v>1324.25</c:v>
                </c:pt>
                <c:pt idx="1">
                  <c:v>1314.5</c:v>
                </c:pt>
                <c:pt idx="2">
                  <c:v>1305.5</c:v>
                </c:pt>
                <c:pt idx="3">
                  <c:v>1298</c:v>
                </c:pt>
                <c:pt idx="4">
                  <c:v>1298</c:v>
                </c:pt>
                <c:pt idx="5">
                  <c:v>1298</c:v>
                </c:pt>
                <c:pt idx="6">
                  <c:v>1298</c:v>
                </c:pt>
                <c:pt idx="7">
                  <c:v>1179</c:v>
                </c:pt>
                <c:pt idx="8">
                  <c:v>1060</c:v>
                </c:pt>
                <c:pt idx="9">
                  <c:v>1060</c:v>
                </c:pt>
                <c:pt idx="10">
                  <c:v>1060</c:v>
                </c:pt>
                <c:pt idx="11">
                  <c:v>1070</c:v>
                </c:pt>
                <c:pt idx="12">
                  <c:v>1058</c:v>
                </c:pt>
                <c:pt idx="13">
                  <c:v>1050</c:v>
                </c:pt>
                <c:pt idx="14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AC2-4624-A7B2-21F9AB8BB5CB}"/>
            </c:ext>
          </c:extLst>
        </c:ser>
        <c:ser>
          <c:idx val="6"/>
          <c:order val="6"/>
          <c:tx>
            <c:strRef>
              <c:f>'Ma trận HDPE thổi'!$H$29</c:f>
              <c:strCache>
                <c:ptCount val="1"/>
                <c:pt idx="0">
                  <c:v>Giá bán Dafong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thổi'!$I$29:$BB$29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AC2-4624-A7B2-21F9AB8BB5CB}"/>
            </c:ext>
          </c:extLst>
        </c:ser>
        <c:ser>
          <c:idx val="4"/>
          <c:order val="7"/>
          <c:tx>
            <c:strRef>
              <c:f>'Ma trận HDPE thổi'!$H$8</c:f>
              <c:strCache>
                <c:ptCount val="1"/>
                <c:pt idx="0">
                  <c:v>ICIS - Giá vảy HDPE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rgbClr val="6094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thổi'!$I$8:$AM$8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DAC2-4624-A7B2-21F9AB8BB5CB}"/>
            </c:ext>
          </c:extLst>
        </c:ser>
        <c:ser>
          <c:idx val="0"/>
          <c:order val="8"/>
          <c:tx>
            <c:strRef>
              <c:f>'Ma trận HDPE thổi'!$H$11</c:f>
              <c:strCache>
                <c:ptCount val="1"/>
                <c:pt idx="0">
                  <c:v>DTR-Giá EXW rHD xuất xưởng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thổi'!$I$11:$AM$11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DAC2-4624-A7B2-21F9AB8BB5CB}"/>
            </c:ext>
          </c:extLst>
        </c:ser>
        <c:ser>
          <c:idx val="1"/>
          <c:order val="9"/>
          <c:tx>
            <c:strRef>
              <c:f>'Ma trận HDPE thổi'!$H$12</c:f>
              <c:strCache>
                <c:ptCount val="1"/>
                <c:pt idx="0">
                  <c:v>Tỷ lệ % lãi gộp Vảy /Giá EXW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thổi'!$I$12:$AM$12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DAC2-4624-A7B2-21F9AB8BB5CB}"/>
            </c:ext>
          </c:extLst>
        </c:ser>
        <c:ser>
          <c:idx val="10"/>
          <c:order val="11"/>
          <c:tx>
            <c:strRef>
              <c:f>'Ma trận HDPE thổi'!$H$16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thổi'!$I$16:$BD$16</c:f>
            </c:numRef>
          </c:val>
          <c:smooth val="0"/>
          <c:extLst>
            <c:ext xmlns:c16="http://schemas.microsoft.com/office/drawing/2014/chart" uri="{C3380CC4-5D6E-409C-BE32-E72D297353CC}">
              <c16:uniqueId val="{0000002A-DAC2-4624-A7B2-21F9AB8BB5CB}"/>
            </c:ext>
          </c:extLst>
        </c:ser>
        <c:ser>
          <c:idx val="13"/>
          <c:order val="12"/>
          <c:tx>
            <c:strRef>
              <c:f>'Ma trận HDPE thổi'!$H$20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457205889388606E-2"/>
                  <c:y val="-5.9920462644136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3A-42DB-AC50-8A0A42B8502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thổi'!$I$20:$BX$20</c:f>
              <c:numCache>
                <c:formatCode>"$"#,##0_);\("$"#,##0\)</c:formatCode>
                <c:ptCount val="15"/>
                <c:pt idx="0">
                  <c:v>940</c:v>
                </c:pt>
                <c:pt idx="1">
                  <c:v>918</c:v>
                </c:pt>
                <c:pt idx="2">
                  <c:v>896</c:v>
                </c:pt>
                <c:pt idx="3">
                  <c:v>891.5</c:v>
                </c:pt>
                <c:pt idx="4">
                  <c:v>864</c:v>
                </c:pt>
                <c:pt idx="5">
                  <c:v>833</c:v>
                </c:pt>
                <c:pt idx="6">
                  <c:v>833</c:v>
                </c:pt>
                <c:pt idx="7">
                  <c:v>815</c:v>
                </c:pt>
                <c:pt idx="8">
                  <c:v>812.5</c:v>
                </c:pt>
                <c:pt idx="9">
                  <c:v>805</c:v>
                </c:pt>
                <c:pt idx="10">
                  <c:v>805</c:v>
                </c:pt>
                <c:pt idx="11">
                  <c:v>802.5</c:v>
                </c:pt>
                <c:pt idx="12">
                  <c:v>800</c:v>
                </c:pt>
                <c:pt idx="13">
                  <c:v>800</c:v>
                </c:pt>
                <c:pt idx="14">
                  <c:v>1331.25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AC2-4624-A7B2-21F9AB8BB5CB}"/>
            </c:ext>
          </c:extLst>
        </c:ser>
        <c:ser>
          <c:idx val="11"/>
          <c:order val="15"/>
          <c:tx>
            <c:strRef>
              <c:f>'Ma trận HDPE thổi'!$H$17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thổi'!$I$17:$AM$17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DAC2-4624-A7B2-21F9AB8BB5CB}"/>
            </c:ext>
          </c:extLst>
        </c:ser>
        <c:ser>
          <c:idx val="14"/>
          <c:order val="16"/>
          <c:tx>
            <c:strRef>
              <c:f>'Ma trận HDPE thổi'!$H$21</c:f>
              <c:strCache>
                <c:ptCount val="1"/>
                <c:pt idx="0">
                  <c:v>Giá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thổi'!$U$21:$AU$21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499-4F46-9185-4209C8324EC3}"/>
            </c:ext>
          </c:extLst>
        </c:ser>
        <c:ser>
          <c:idx val="15"/>
          <c:order val="17"/>
          <c:tx>
            <c:strRef>
              <c:f>'Ma trận HDPE thổi'!$H$18</c:f>
              <c:strCache>
                <c:ptCount val="1"/>
                <c:pt idx="0">
                  <c:v>Dafon FOB (personal care)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thổi'!$I$5:$BX$5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thổi'!$U$18:$AQ$18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826-4E74-BA7E-A2E754F0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2CD8D4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734460268722147"/>
          <c:y val="0.2448327883775816"/>
          <c:w val="0.12290781718631233"/>
          <c:h val="0.60757164139865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</a:p>
        </c:rich>
      </c:tx>
      <c:layout>
        <c:manualLayout>
          <c:xMode val="edge"/>
          <c:yMode val="edge"/>
          <c:x val="0.21527326307595129"/>
          <c:y val="1.623327415827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455299365984168E-2"/>
          <c:y val="9.5490080132714303E-2"/>
          <c:w val="0.7834136320987064"/>
          <c:h val="0.84440050527253308"/>
        </c:manualLayout>
      </c:layout>
      <c:areaChart>
        <c:grouping val="stacked"/>
        <c:varyColors val="0"/>
        <c:ser>
          <c:idx val="16"/>
          <c:order val="8"/>
          <c:tx>
            <c:strRef>
              <c:f>'Ma trận HDPE thổi'!$CC$22</c:f>
              <c:strCache>
                <c:ptCount val="1"/>
                <c:pt idx="0">
                  <c:v> TTCP 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HDPE thổi'!$CD$22:$JO$22</c:f>
              <c:numCache>
                <c:formatCode>"$"#,##0_);\("$"#,##0\)</c:formatCode>
                <c:ptCount val="13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975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AAF-44C9-843C-6D3132449A8D}"/>
            </c:ext>
          </c:extLst>
        </c:ser>
        <c:ser>
          <c:idx val="17"/>
          <c:order val="13"/>
          <c:tx>
            <c:strRef>
              <c:f>'Ma trận HDPE thổi'!$CC$23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'Ma trận HDPE thổi'!$CD$23:$JO$23</c:f>
              <c:numCache>
                <c:formatCode>"$"#,##0_);\("$"#,##0\)</c:formatCode>
                <c:ptCount val="13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325</c:v>
                </c:pt>
                <c:pt idx="10">
                  <c:v>-50</c:v>
                </c:pt>
                <c:pt idx="11">
                  <c:v>-100</c:v>
                </c:pt>
                <c:pt idx="12">
                  <c:v>-200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AAF-44C9-843C-6D313244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818818447"/>
        <c:axId val="818831887"/>
      </c:areaChart>
      <c:lineChart>
        <c:grouping val="standard"/>
        <c:varyColors val="0"/>
        <c:ser>
          <c:idx val="4"/>
          <c:order val="0"/>
          <c:tx>
            <c:strRef>
              <c:f>'Ma trận HDPE thổi'!$CC$9</c:f>
              <c:strCache>
                <c:ptCount val="1"/>
                <c:pt idx="0">
                  <c:v>DTR (personal care)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6C-4689-A8B7-8AC2E38E24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thổi'!$CD$9:$JO$9</c:f>
              <c:numCache>
                <c:formatCode>_(* #,##0_);_(* \(#,##0\);_(* "-"??_);_(@_)</c:formatCode>
                <c:ptCount val="13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1350</c:v>
                </c:pt>
                <c:pt idx="12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AAF-44C9-843C-6D3132449A8D}"/>
            </c:ext>
          </c:extLst>
        </c:ser>
        <c:ser>
          <c:idx val="21"/>
          <c:order val="1"/>
          <c:tx>
            <c:strRef>
              <c:f>'Ma trận HDPE thổi'!$CC$27</c:f>
              <c:strCache>
                <c:ptCount val="1"/>
                <c:pt idx="0">
                  <c:v>Giá bán Unilever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thổi'!$CD$27:$FW$27</c:f>
            </c:numRef>
          </c:val>
          <c:smooth val="0"/>
          <c:extLst>
            <c:ext xmlns:c16="http://schemas.microsoft.com/office/drawing/2014/chart" uri="{C3380CC4-5D6E-409C-BE32-E72D297353CC}">
              <c16:uniqueId val="{0000002C-CAAF-44C9-843C-6D3132449A8D}"/>
            </c:ext>
          </c:extLst>
        </c:ser>
        <c:ser>
          <c:idx val="12"/>
          <c:order val="2"/>
          <c:tx>
            <c:strRef>
              <c:f>'Ma trận HDPE thổi'!$CC$18</c:f>
              <c:strCache>
                <c:ptCount val="1"/>
                <c:pt idx="0">
                  <c:v>Dafon FOB (personal care)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346501948194273E-2"/>
                  <c:y val="-2.5443049639990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6C-4A01-B0ED-890317417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324-446E-8F6F-46D90E6F141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70C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thổi'!$CD$18:$JO$18</c:f>
              <c:numCache>
                <c:formatCode>"$"#,##0_);\("$"#,##0\)</c:formatCode>
                <c:ptCount val="13"/>
                <c:pt idx="0">
                  <c:v>1170</c:v>
                </c:pt>
                <c:pt idx="1">
                  <c:v>1170</c:v>
                </c:pt>
                <c:pt idx="2">
                  <c:v>1150</c:v>
                </c:pt>
                <c:pt idx="3">
                  <c:v>1150</c:v>
                </c:pt>
                <c:pt idx="4">
                  <c:v>1150</c:v>
                </c:pt>
                <c:pt idx="5">
                  <c:v>1150</c:v>
                </c:pt>
                <c:pt idx="6">
                  <c:v>1150</c:v>
                </c:pt>
                <c:pt idx="7">
                  <c:v>1150</c:v>
                </c:pt>
                <c:pt idx="8">
                  <c:v>1150</c:v>
                </c:pt>
                <c:pt idx="9">
                  <c:v>1170</c:v>
                </c:pt>
                <c:pt idx="10">
                  <c:v>1170</c:v>
                </c:pt>
                <c:pt idx="11">
                  <c:v>1170</c:v>
                </c:pt>
                <c:pt idx="12">
                  <c:v>1170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AAF-44C9-843C-6D3132449A8D}"/>
            </c:ext>
          </c:extLst>
        </c:ser>
        <c:ser>
          <c:idx val="0"/>
          <c:order val="3"/>
          <c:tx>
            <c:strRef>
              <c:f>'Ma trận HDPE thổi'!$CC$25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661471063480691E-2"/>
                  <c:y val="-3.0069058665443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A76-4132-85E7-E802007F083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A76-4132-85E7-E802007F083B}"/>
                </c:ext>
              </c:extLst>
            </c:dLbl>
            <c:dLbl>
              <c:idx val="9"/>
              <c:layout>
                <c:manualLayout>
                  <c:x val="-1.7052192578210609E-2"/>
                  <c:y val="-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E-4564-9731-3960233D3234}"/>
                </c:ext>
              </c:extLst>
            </c:dLbl>
            <c:dLbl>
              <c:idx val="10"/>
              <c:layout>
                <c:manualLayout>
                  <c:x val="-2.1481333507615961E-2"/>
                  <c:y val="-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E-4564-9731-3960233D3234}"/>
                </c:ext>
              </c:extLst>
            </c:dLbl>
            <c:dLbl>
              <c:idx val="11"/>
              <c:layout>
                <c:manualLayout>
                  <c:x val="-2.1481333507615961E-2"/>
                  <c:y val="-2.7640403927081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6C-4689-A8B7-8AC2E38E2434}"/>
                </c:ext>
              </c:extLst>
            </c:dLbl>
            <c:dLbl>
              <c:idx val="12"/>
              <c:layout>
                <c:manualLayout>
                  <c:x val="-2.1481333507615961E-2"/>
                  <c:y val="-2.9953408439807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82-4F46-8F72-E040F527CEF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thổi'!$DG$25:$JO$25</c:f>
              <c:numCache>
                <c:formatCode>"$"#,##0_);\("$"#,##0\)</c:formatCode>
                <c:ptCount val="13"/>
                <c:pt idx="0">
                  <c:v>1111.3107354114027</c:v>
                </c:pt>
                <c:pt idx="1">
                  <c:v>1111.3107354114027</c:v>
                </c:pt>
                <c:pt idx="2">
                  <c:v>1111.3107354114027</c:v>
                </c:pt>
                <c:pt idx="3">
                  <c:v>1111.3107354114027</c:v>
                </c:pt>
                <c:pt idx="4">
                  <c:v>1111.3107354114027</c:v>
                </c:pt>
                <c:pt idx="5">
                  <c:v>1111.3107354114027</c:v>
                </c:pt>
                <c:pt idx="6">
                  <c:v>1111.3107354114027</c:v>
                </c:pt>
                <c:pt idx="7">
                  <c:v>1111.3107354114027</c:v>
                </c:pt>
                <c:pt idx="8">
                  <c:v>1111.3107354114027</c:v>
                </c:pt>
                <c:pt idx="9">
                  <c:v>1076.0361329975726</c:v>
                </c:pt>
                <c:pt idx="10">
                  <c:v>1076.0361329975726</c:v>
                </c:pt>
                <c:pt idx="11">
                  <c:v>1076.0361329975726</c:v>
                </c:pt>
                <c:pt idx="12">
                  <c:v>1076.0361329975726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8-4022-994D-42D4D19DB7C2}"/>
            </c:ext>
          </c:extLst>
        </c:ser>
        <c:ser>
          <c:idx val="20"/>
          <c:order val="4"/>
          <c:tx>
            <c:strRef>
              <c:f>'Ma trận HDPE thổi'!$CC$10</c:f>
              <c:strCache>
                <c:ptCount val="1"/>
                <c:pt idx="0">
                  <c:v>DTR (Home care)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thổi'!$CD$10:$HW$10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CAAF-44C9-843C-6D3132449A8D}"/>
            </c:ext>
          </c:extLst>
        </c:ser>
        <c:ser>
          <c:idx val="13"/>
          <c:order val="5"/>
          <c:tx>
            <c:strRef>
              <c:f>'Ma trận HDPE thổi'!$CC$19</c:f>
              <c:strCache>
                <c:ptCount val="1"/>
                <c:pt idx="0">
                  <c:v>Dafon FOB (Home care)</c:v>
                </c:pt>
              </c:strCache>
            </c:strRef>
          </c:tx>
          <c:spPr>
            <a:ln w="571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633924736410324E-2"/>
                  <c:y val="-8.480918574368545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6C-4A01-B0ED-890317417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320-49F8-A41B-2AC3FD59A714}"/>
                </c:ext>
              </c:extLst>
            </c:dLbl>
            <c:dLbl>
              <c:idx val="9"/>
              <c:layout>
                <c:manualLayout>
                  <c:x val="-9.965567091162043E-3"/>
                  <c:y val="3.249771340380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3E-4564-9731-3960233D3234}"/>
                </c:ext>
              </c:extLst>
            </c:dLbl>
            <c:dLbl>
              <c:idx val="10"/>
              <c:layout>
                <c:manualLayout>
                  <c:x val="-2.2367161693497031E-2"/>
                  <c:y val="3.0184708891080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3E-4564-9731-3960233D3234}"/>
                </c:ext>
              </c:extLst>
            </c:dLbl>
            <c:dLbl>
              <c:idx val="11"/>
              <c:layout>
                <c:manualLayout>
                  <c:x val="-1.7052192578210609E-2"/>
                  <c:y val="3.249771340380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6C-4689-A8B7-8AC2E38E24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thổi'!$CD$19:$JO$19</c:f>
              <c:numCache>
                <c:formatCode>"$"#,##0_);\("$"#,##0\)</c:formatCode>
                <c:ptCount val="13"/>
                <c:pt idx="0">
                  <c:v>1070</c:v>
                </c:pt>
                <c:pt idx="1">
                  <c:v>1070</c:v>
                </c:pt>
                <c:pt idx="2">
                  <c:v>1050</c:v>
                </c:pt>
                <c:pt idx="3">
                  <c:v>1050</c:v>
                </c:pt>
                <c:pt idx="4">
                  <c:v>1050</c:v>
                </c:pt>
                <c:pt idx="5">
                  <c:v>1050</c:v>
                </c:pt>
                <c:pt idx="6">
                  <c:v>1050</c:v>
                </c:pt>
                <c:pt idx="7">
                  <c:v>1050</c:v>
                </c:pt>
                <c:pt idx="8">
                  <c:v>1050</c:v>
                </c:pt>
                <c:pt idx="9">
                  <c:v>1070</c:v>
                </c:pt>
                <c:pt idx="10">
                  <c:v>1070</c:v>
                </c:pt>
                <c:pt idx="11">
                  <c:v>1070</c:v>
                </c:pt>
                <c:pt idx="12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AAF-44C9-843C-6D3132449A8D}"/>
            </c:ext>
          </c:extLst>
        </c:ser>
        <c:ser>
          <c:idx val="8"/>
          <c:order val="6"/>
          <c:tx>
            <c:strRef>
              <c:f>'Ma trận HDPE thổi'!$CC$14</c:f>
              <c:strCache>
                <c:ptCount val="1"/>
                <c:pt idx="0">
                  <c:v>DTR-Giá FOB rHD xuất xưởng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thổi'!$CD$14:$EG$14</c:f>
            </c:numRef>
          </c:val>
          <c:smooth val="0"/>
          <c:extLst>
            <c:ext xmlns:c16="http://schemas.microsoft.com/office/drawing/2014/chart" uri="{C3380CC4-5D6E-409C-BE32-E72D297353CC}">
              <c16:uniqueId val="{0000001F-CAAF-44C9-843C-6D3132449A8D}"/>
            </c:ext>
          </c:extLst>
        </c:ser>
        <c:ser>
          <c:idx val="19"/>
          <c:order val="7"/>
          <c:tx>
            <c:strRef>
              <c:f>'Ma trận HDPE thổi'!$CC$25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thổi'!$CD$25:$EG$25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A-CAAF-44C9-843C-6D3132449A8D}"/>
            </c:ext>
          </c:extLst>
        </c:ser>
        <c:ser>
          <c:idx val="9"/>
          <c:order val="9"/>
          <c:tx>
            <c:strRef>
              <c:f>'Ma trận HDPE thổi'!$CC$15</c:f>
              <c:strCache>
                <c:ptCount val="1"/>
                <c:pt idx="0">
                  <c:v>Giá Dafon CIF_ĐNÁ rHD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thổi'!$CD$15:$EG$15</c:f>
            </c:numRef>
          </c:val>
          <c:smooth val="0"/>
          <c:extLst>
            <c:ext xmlns:c16="http://schemas.microsoft.com/office/drawing/2014/chart" uri="{C3380CC4-5D6E-409C-BE32-E72D297353CC}">
              <c16:uniqueId val="{00000020-CAAF-44C9-843C-6D3132449A8D}"/>
            </c:ext>
          </c:extLst>
        </c:ser>
        <c:ser>
          <c:idx val="10"/>
          <c:order val="10"/>
          <c:tx>
            <c:strRef>
              <c:f>'Ma trận HDPE thổi'!$CC$16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thổi'!$CD$16:$FY$16</c:f>
            </c:numRef>
          </c:val>
          <c:smooth val="0"/>
          <c:extLst>
            <c:ext xmlns:c16="http://schemas.microsoft.com/office/drawing/2014/chart" uri="{C3380CC4-5D6E-409C-BE32-E72D297353CC}">
              <c16:uniqueId val="{00000021-CAAF-44C9-843C-6D3132449A8D}"/>
            </c:ext>
          </c:extLst>
        </c:ser>
        <c:ser>
          <c:idx val="14"/>
          <c:order val="11"/>
          <c:tx>
            <c:strRef>
              <c:f>'Ma trận HDPE thổi'!$CC$20</c:f>
              <c:strCache>
                <c:ptCount val="1"/>
                <c:pt idx="0">
                  <c:v>RESIN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6C-4A01-B0ED-890317417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0D-4BB2-AD94-51B5389F607C}"/>
                </c:ext>
              </c:extLst>
            </c:dLbl>
            <c:dLbl>
              <c:idx val="9"/>
              <c:layout>
                <c:manualLayout>
                  <c:x val="-7.0866254870485638E-3"/>
                  <c:y val="2.9953408439807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3E-4564-9731-3960233D32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thổi'!$CD$20:$JO$20</c:f>
              <c:numCache>
                <c:formatCode>"$"#,##0_);\("$"#,##0\)</c:formatCode>
                <c:ptCount val="13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975</c:v>
                </c:pt>
                <c:pt idx="10">
                  <c:v>1350</c:v>
                </c:pt>
                <c:pt idx="11">
                  <c:v>1450</c:v>
                </c:pt>
                <c:pt idx="12">
                  <c:v>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AAF-44C9-843C-6D3132449A8D}"/>
            </c:ext>
          </c:extLst>
        </c:ser>
        <c:ser>
          <c:idx val="15"/>
          <c:order val="12"/>
          <c:tx>
            <c:strRef>
              <c:f>'Ma trận HDPE thổi'!$CC$21</c:f>
              <c:strCache>
                <c:ptCount val="1"/>
                <c:pt idx="0">
                  <c:v>Giá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thổi'!$DG$5:$JO$5</c:f>
              <c:strCache>
                <c:ptCount val="13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'Ma trận HDPE thổi'!$CD$21:$EG$21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CAAF-44C9-843C-6D313244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818818447"/>
        <c:axId val="818831887"/>
        <c:extLst/>
      </c:lineChart>
      <c:catAx>
        <c:axId val="8188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8831887"/>
        <c:crosses val="autoZero"/>
        <c:auto val="1"/>
        <c:lblAlgn val="ctr"/>
        <c:lblOffset val="100"/>
        <c:noMultiLvlLbl val="0"/>
      </c:catAx>
      <c:valAx>
        <c:axId val="818831887"/>
        <c:scaling>
          <c:orientation val="minMax"/>
          <c:min val="750"/>
        </c:scaling>
        <c:delete val="0"/>
        <c:axPos val="l"/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1881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925731991656195"/>
          <c:y val="0.20423031774530911"/>
          <c:w val="0.14925505764132557"/>
          <c:h val="0.65341010144244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</a:p>
        </c:rich>
      </c:tx>
      <c:layout>
        <c:manualLayout>
          <c:xMode val="edge"/>
          <c:yMode val="edge"/>
          <c:x val="0.24099578504810243"/>
          <c:y val="2.94767559130521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55784504827435E-2"/>
          <c:y val="0.19886197355152449"/>
          <c:w val="0.80266374357885328"/>
          <c:h val="0.71109256865279902"/>
        </c:manualLayout>
      </c:layout>
      <c:lineChart>
        <c:grouping val="standard"/>
        <c:varyColors val="0"/>
        <c:ser>
          <c:idx val="5"/>
          <c:order val="0"/>
          <c:tx>
            <c:strRef>
              <c:f>'Ma trận HDPE Ép'!$H$13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265223032068104E-2"/>
                  <c:y val="-3.12433234191133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943-40C3-8D82-85D3512F2C8E}"/>
                </c:ext>
              </c:extLst>
            </c:dLbl>
            <c:dLbl>
              <c:idx val="1"/>
              <c:layout>
                <c:manualLayout>
                  <c:x val="-2.2590587544539166E-2"/>
                  <c:y val="-2.6436658277711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943-40C3-8D82-85D3512F2C8E}"/>
                </c:ext>
              </c:extLst>
            </c:dLbl>
            <c:dLbl>
              <c:idx val="2"/>
              <c:layout>
                <c:manualLayout>
                  <c:x val="-1.2792008347468934E-2"/>
                  <c:y val="-1.6823327994907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943-40C3-8D82-85D3512F2C8E}"/>
                </c:ext>
              </c:extLst>
            </c:dLbl>
            <c:dLbl>
              <c:idx val="3"/>
              <c:layout>
                <c:manualLayout>
                  <c:x val="-1.4498006524102935E-2"/>
                  <c:y val="2.656523324065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943-40C3-8D82-85D3512F2C8E}"/>
                </c:ext>
              </c:extLst>
            </c:dLbl>
            <c:dLbl>
              <c:idx val="4"/>
              <c:layout>
                <c:manualLayout>
                  <c:x val="-1.6310257339615802E-2"/>
                  <c:y val="-3.1395275648048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F5-43F3-91B3-296FB01F26CF}"/>
                </c:ext>
              </c:extLst>
            </c:dLbl>
            <c:dLbl>
              <c:idx val="5"/>
              <c:layout>
                <c:manualLayout>
                  <c:x val="-1.2685755708590069E-2"/>
                  <c:y val="-3.6225318055440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FF-4BC7-8AC1-3279FB99CFF0}"/>
                </c:ext>
              </c:extLst>
            </c:dLbl>
            <c:dLbl>
              <c:idx val="6"/>
              <c:layout>
                <c:manualLayout>
                  <c:x val="-1.6310257339615934E-2"/>
                  <c:y val="-2.8980254444352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1-4846-8D32-BB6A06519F78}"/>
                </c:ext>
              </c:extLst>
            </c:dLbl>
            <c:dLbl>
              <c:idx val="7"/>
              <c:layout>
                <c:manualLayout>
                  <c:x val="-1.6310257339615802E-2"/>
                  <c:y val="-3.1395275648048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C6-4DBD-B930-70DAE795F2C6}"/>
                </c:ext>
              </c:extLst>
            </c:dLbl>
            <c:dLbl>
              <c:idx val="8"/>
              <c:layout>
                <c:manualLayout>
                  <c:x val="-1.5404131931859502E-2"/>
                  <c:y val="-2.6565233240656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6E-4F5C-A990-F312101906AC}"/>
                </c:ext>
              </c:extLst>
            </c:dLbl>
            <c:dLbl>
              <c:idx val="9"/>
              <c:layout>
                <c:manualLayout>
                  <c:x val="-1.0873504893077202E-2"/>
                  <c:y val="-2.6444482180471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6B-4F2A-86DD-CB03AD9C5562}"/>
                </c:ext>
              </c:extLst>
            </c:dLbl>
            <c:dLbl>
              <c:idx val="10"/>
              <c:layout>
                <c:manualLayout>
                  <c:x val="-7.2490032620514677E-3"/>
                  <c:y val="-1.91994185693832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6B-4F2A-86DD-CB03AD9C5562}"/>
                </c:ext>
              </c:extLst>
            </c:dLbl>
            <c:dLbl>
              <c:idx val="11"/>
              <c:layout>
                <c:manualLayout>
                  <c:x val="-6.3428778542950343E-3"/>
                  <c:y val="-2.644448218047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6B-4F2A-86DD-CB03AD9C5562}"/>
                </c:ext>
              </c:extLst>
            </c:dLbl>
            <c:dLbl>
              <c:idx val="12"/>
              <c:layout>
                <c:manualLayout>
                  <c:x val="-9.9673794853209017E-3"/>
                  <c:y val="-2.644448218047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A3-4FB9-BA3B-F05329FF2457}"/>
                </c:ext>
              </c:extLst>
            </c:dLbl>
            <c:dLbl>
              <c:idx val="13"/>
              <c:layout>
                <c:manualLayout>
                  <c:x val="-2.8996013048206006E-2"/>
                  <c:y val="-4.09346094026473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28-4BD9-91C5-C232ECD962D2}"/>
                </c:ext>
              </c:extLst>
            </c:dLbl>
            <c:dLbl>
              <c:idx val="14"/>
              <c:layout>
                <c:manualLayout>
                  <c:x val="-1.8122508155128669E-2"/>
                  <c:y val="-2.885950338416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EE-4D03-9C69-C226DE61183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Ép'!$I$13:$AU$13</c:f>
              <c:numCache>
                <c:formatCode>_(* #,##0_);_(* \(#,##0\);_(* "-"??_);_(@_)</c:formatCode>
                <c:ptCount val="15"/>
                <c:pt idx="0">
                  <c:v>940</c:v>
                </c:pt>
                <c:pt idx="1">
                  <c:v>946</c:v>
                </c:pt>
                <c:pt idx="2">
                  <c:v>940</c:v>
                </c:pt>
                <c:pt idx="3" formatCode="General">
                  <c:v>905</c:v>
                </c:pt>
                <c:pt idx="4" formatCode="General">
                  <c:v>908</c:v>
                </c:pt>
                <c:pt idx="5" formatCode="General">
                  <c:v>915</c:v>
                </c:pt>
                <c:pt idx="6" formatCode="General">
                  <c:v>930</c:v>
                </c:pt>
                <c:pt idx="7" formatCode="General">
                  <c:v>930</c:v>
                </c:pt>
                <c:pt idx="8">
                  <c:v>915</c:v>
                </c:pt>
                <c:pt idx="9" formatCode="General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1268.75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43-40C3-8D82-85D3512F2C8E}"/>
            </c:ext>
          </c:extLst>
        </c:ser>
        <c:ser>
          <c:idx val="9"/>
          <c:order val="1"/>
          <c:tx>
            <c:strRef>
              <c:f>'Ma trận HDPE Ép'!$H$17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8575570859006886E-2"/>
                  <c:y val="-2.88595033841673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E8-4BAB-A9E2-CDE57A43CC25}"/>
                </c:ext>
              </c:extLst>
            </c:dLbl>
            <c:dLbl>
              <c:idx val="3"/>
              <c:layout>
                <c:manualLayout>
                  <c:x val="-1.7817440198260301E-2"/>
                  <c:y val="-2.871982421987730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943-40C3-8D82-85D3512F2C8E}"/>
                </c:ext>
              </c:extLst>
            </c:dLbl>
            <c:dLbl>
              <c:idx val="8"/>
              <c:layout>
                <c:manualLayout>
                  <c:x val="-2.4465386009423704E-2"/>
                  <c:y val="3.6346069115624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0E-4BD2-8BA5-D46A534EBAE3}"/>
                </c:ext>
              </c:extLst>
            </c:dLbl>
            <c:dLbl>
              <c:idx val="14"/>
              <c:layout>
                <c:manualLayout>
                  <c:x val="-1.6310257339615802E-2"/>
                  <c:y val="-3.1274524587863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EE-4D03-9C69-C226DE61183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Ép'!$I$17:$AU$17</c:f>
              <c:numCache>
                <c:formatCode>_(* #,##0_);_(* \(#,##0\);_(* "-"??_);_(@_)</c:formatCode>
                <c:ptCount val="15"/>
                <c:pt idx="0">
                  <c:v>892.9656675146</c:v>
                </c:pt>
                <c:pt idx="1">
                  <c:v>888.18378633668294</c:v>
                </c:pt>
                <c:pt idx="2">
                  <c:v>888.72553118965845</c:v>
                </c:pt>
                <c:pt idx="3">
                  <c:v>907.07292397839512</c:v>
                </c:pt>
                <c:pt idx="4">
                  <c:v>882.40131799312564</c:v>
                </c:pt>
                <c:pt idx="5">
                  <c:v>879.34169259731004</c:v>
                </c:pt>
                <c:pt idx="6">
                  <c:v>869.51494640636486</c:v>
                </c:pt>
                <c:pt idx="7">
                  <c:v>858.88795414284152</c:v>
                </c:pt>
                <c:pt idx="8">
                  <c:v>871.88030785226169</c:v>
                </c:pt>
                <c:pt idx="9">
                  <c:v>720.35177011385679</c:v>
                </c:pt>
                <c:pt idx="10">
                  <c:v>720.52419756540337</c:v>
                </c:pt>
                <c:pt idx="11">
                  <c:v>733.774414718137</c:v>
                </c:pt>
                <c:pt idx="12">
                  <c:v>747.86078922841239</c:v>
                </c:pt>
                <c:pt idx="13">
                  <c:v>740.87159509676439</c:v>
                </c:pt>
                <c:pt idx="14">
                  <c:v>746.42906346587836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943-40C3-8D82-85D3512F2C8E}"/>
            </c:ext>
          </c:extLst>
        </c:ser>
        <c:ser>
          <c:idx val="4"/>
          <c:order val="2"/>
          <c:tx>
            <c:strRef>
              <c:f>'Ma trận HDPE Ép'!$H$12</c:f>
              <c:strCache>
                <c:ptCount val="1"/>
                <c:pt idx="0">
                  <c:v>Hạt rHD ép (Châu Âu)-ICIS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Ép'!$I$12:$T$12</c:f>
            </c:numRef>
          </c:val>
          <c:smooth val="0"/>
          <c:extLst>
            <c:ext xmlns:c16="http://schemas.microsoft.com/office/drawing/2014/chart" uri="{C3380CC4-5D6E-409C-BE32-E72D297353CC}">
              <c16:uniqueId val="{0000000E-C943-40C3-8D82-85D3512F2C8E}"/>
            </c:ext>
          </c:extLst>
        </c:ser>
        <c:ser>
          <c:idx val="2"/>
          <c:order val="3"/>
          <c:tx>
            <c:strRef>
              <c:f>'Ma trận HDPE Ép'!$H$8</c:f>
              <c:strCache>
                <c:ptCount val="1"/>
                <c:pt idx="0">
                  <c:v>DTR-nội địa</c:v>
                </c:pt>
              </c:strCache>
            </c:strRef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DF-440E-B03E-972D077B22B4}"/>
                </c:ext>
              </c:extLst>
            </c:dLbl>
            <c:dLbl>
              <c:idx val="9"/>
              <c:layout>
                <c:manualLayout>
                  <c:x val="-1.4498006524102935E-2"/>
                  <c:y val="-2.885950338416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DF-440E-B03E-972D077B22B4}"/>
                </c:ext>
              </c:extLst>
            </c:dLbl>
            <c:dLbl>
              <c:idx val="10"/>
              <c:layout>
                <c:manualLayout>
                  <c:x val="-1.0873504893077202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05-4899-9B80-217E9A5E700A}"/>
                </c:ext>
              </c:extLst>
            </c:dLbl>
            <c:dLbl>
              <c:idx val="11"/>
              <c:layout>
                <c:manualLayout>
                  <c:x val="-1.4498006524102935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DF-440E-B03E-972D077B22B4}"/>
                </c:ext>
              </c:extLst>
            </c:dLbl>
            <c:dLbl>
              <c:idx val="12"/>
              <c:layout>
                <c:manualLayout>
                  <c:x val="-1.1779630300833769E-2"/>
                  <c:y val="-3.3689545791559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0E-4BD2-8BA5-D46A534EBAE3}"/>
                </c:ext>
              </c:extLst>
            </c:dLbl>
            <c:dLbl>
              <c:idx val="13"/>
              <c:layout>
                <c:manualLayout>
                  <c:x val="-1.5404131931859369E-2"/>
                  <c:y val="-3.1274524587863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28-4BD9-91C5-C232ECD962D2}"/>
                </c:ext>
              </c:extLst>
            </c:dLbl>
            <c:dLbl>
              <c:idx val="14"/>
              <c:layout>
                <c:manualLayout>
                  <c:x val="-1.9028633562885103E-2"/>
                  <c:y val="3.1516026708232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EE-4D03-9C69-C226DE61183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Ép'!$I$8:$AU$8</c:f>
              <c:numCache>
                <c:formatCode>"$"#,##0_);\("$"#,##0\)</c:formatCode>
                <c:ptCount val="15"/>
                <c:pt idx="0">
                  <c:v>870</c:v>
                </c:pt>
                <c:pt idx="1">
                  <c:v>800</c:v>
                </c:pt>
                <c:pt idx="2">
                  <c:v>805</c:v>
                </c:pt>
                <c:pt idx="3">
                  <c:v>805</c:v>
                </c:pt>
                <c:pt idx="4">
                  <c:v>765</c:v>
                </c:pt>
                <c:pt idx="5">
                  <c:v>765</c:v>
                </c:pt>
                <c:pt idx="6">
                  <c:v>780</c:v>
                </c:pt>
                <c:pt idx="7">
                  <c:v>760</c:v>
                </c:pt>
                <c:pt idx="8">
                  <c:v>760</c:v>
                </c:pt>
                <c:pt idx="9">
                  <c:v>760</c:v>
                </c:pt>
                <c:pt idx="10">
                  <c:v>740</c:v>
                </c:pt>
                <c:pt idx="11">
                  <c:v>740</c:v>
                </c:pt>
                <c:pt idx="12">
                  <c:v>740</c:v>
                </c:pt>
                <c:pt idx="13">
                  <c:v>740</c:v>
                </c:pt>
                <c:pt idx="14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43-40C3-8D82-85D3512F2C8E}"/>
            </c:ext>
          </c:extLst>
        </c:ser>
        <c:ser>
          <c:idx val="0"/>
          <c:order val="4"/>
          <c:tx>
            <c:strRef>
              <c:f>'Ma trận HDPE Ép'!$H$18</c:f>
              <c:strCache>
                <c:ptCount val="1"/>
                <c:pt idx="0">
                  <c:v>Điểm hòa vốn sử dụng 100% Olefin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 trận HDPE Ép'!$I$5:$AU$5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HDPE Ép'!$K$18:$P$18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FAD-4FB3-81DD-A3FC90516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smooth val="0"/>
        <c:axId val="172625807"/>
        <c:axId val="172626767"/>
        <c:extLst/>
      </c:lineChart>
      <c:catAx>
        <c:axId val="1726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626767"/>
        <c:crosses val="autoZero"/>
        <c:auto val="1"/>
        <c:lblAlgn val="ctr"/>
        <c:lblOffset val="100"/>
        <c:noMultiLvlLbl val="0"/>
      </c:catAx>
      <c:valAx>
        <c:axId val="172626767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62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66228231389661"/>
          <c:y val="0.26048945854809569"/>
          <c:w val="0.12524449419354305"/>
          <c:h val="0.64340341464977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23989506625332E-2"/>
          <c:y val="0.10133435742087492"/>
          <c:w val="0.77860380722819766"/>
          <c:h val="0.83640054024363997"/>
        </c:manualLayout>
      </c:layout>
      <c:areaChart>
        <c:grouping val="stacked"/>
        <c:varyColors val="0"/>
        <c:ser>
          <c:idx val="0"/>
          <c:order val="5"/>
          <c:tx>
            <c:strRef>
              <c:f>'Ma trận HDPE Ép'!$AZ$14</c:f>
              <c:strCache>
                <c:ptCount val="1"/>
                <c:pt idx="0">
                  <c:v>TTCP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'Ma trận HDPE Ép'!$BB$14:$BY$14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AEA-4748-859E-68298C155B0A}"/>
            </c:ext>
          </c:extLst>
        </c:ser>
        <c:ser>
          <c:idx val="1"/>
          <c:order val="6"/>
          <c:tx>
            <c:strRef>
              <c:f>'Ma trận HDPE Ép'!$AZ$15</c:f>
              <c:strCache>
                <c:ptCount val="1"/>
                <c:pt idx="0">
                  <c:v>CL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'Ma trận HDPE Ép'!$BB$15:$BY$15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AEA-4748-859E-68298C155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741855"/>
        <c:axId val="964739455"/>
        <c:extLst/>
      </c:areaChart>
      <c:lineChart>
        <c:grouping val="standard"/>
        <c:varyColors val="0"/>
        <c:ser>
          <c:idx val="4"/>
          <c:order val="0"/>
          <c:tx>
            <c:strRef>
              <c:f>'Ma trận HDPE Ép'!$AZ$12</c:f>
              <c:strCache>
                <c:ptCount val="1"/>
                <c:pt idx="0">
                  <c:v>Hạt rHD ép (Châu Âu)-ICIS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Ép'!$BA$12:$DJ$12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D5-4F5D-973E-FA172BDB65A9}"/>
            </c:ext>
          </c:extLst>
        </c:ser>
        <c:ser>
          <c:idx val="7"/>
          <c:order val="1"/>
          <c:tx>
            <c:strRef>
              <c:f>'Ma trận HDPE Ép'!$F$11</c:f>
              <c:strCache>
                <c:ptCount val="1"/>
                <c:pt idx="0">
                  <c:v>DTR FOB rHD Ép- màu trắng&amp; đỏ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\ &quot;₫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Ép'!$BB$11:$BZ$11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227-4979-A557-0079A41E20E9}"/>
            </c:ext>
          </c:extLst>
        </c:ser>
        <c:ser>
          <c:idx val="6"/>
          <c:order val="2"/>
          <c:tx>
            <c:strRef>
              <c:f>'Ma trận HDPE Ép'!$AZ$10</c:f>
              <c:strCache>
                <c:ptCount val="1"/>
                <c:pt idx="0">
                  <c:v>DTR-xuất hóa đơn (màu trắng&amp; đỏ)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Ép'!$BB$10:$CG$10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227-4979-A557-0079A41E20E9}"/>
            </c:ext>
          </c:extLst>
        </c:ser>
        <c:ser>
          <c:idx val="2"/>
          <c:order val="3"/>
          <c:tx>
            <c:strRef>
              <c:f>'Ma trận HDPE Ép'!$AZ$7</c:f>
              <c:strCache>
                <c:ptCount val="1"/>
                <c:pt idx="0">
                  <c:v>DTR (PTBV)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Ép'!$BA$7:$GA$7</c:f>
            </c:numRef>
          </c:val>
          <c:smooth val="0"/>
          <c:extLst>
            <c:ext xmlns:c16="http://schemas.microsoft.com/office/drawing/2014/chart" uri="{C3380CC4-5D6E-409C-BE32-E72D297353CC}">
              <c16:uniqueId val="{00000002-39D5-4F5D-973E-FA172BDB65A9}"/>
            </c:ext>
          </c:extLst>
        </c:ser>
        <c:ser>
          <c:idx val="5"/>
          <c:order val="4"/>
          <c:tx>
            <c:strRef>
              <c:f>'Ma trận HDPE Ép'!$AZ$13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607841761208066E-2"/>
                  <c:y val="-2.2933149868134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B3-4C70-839F-5BBD2566A7B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C9-45C4-A6B4-3BE57A7D512A}"/>
                </c:ext>
              </c:extLst>
            </c:dLbl>
            <c:dLbl>
              <c:idx val="8"/>
              <c:layout>
                <c:manualLayout>
                  <c:x val="-2.7183598805311186E-2"/>
                  <c:y val="-3.4514390551542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6D-44D2-B413-FCDB4A87496D}"/>
                </c:ext>
              </c:extLst>
            </c:dLbl>
            <c:dLbl>
              <c:idx val="9"/>
              <c:layout>
                <c:manualLayout>
                  <c:x val="-3.3422457547513752E-2"/>
                  <c:y val="-3.4514390551542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D-44D2-B413-FCDB4A87496D}"/>
                </c:ext>
              </c:extLst>
            </c:dLbl>
            <c:dLbl>
              <c:idx val="10"/>
              <c:layout>
                <c:manualLayout>
                  <c:x val="-3.0971477327362742E-2"/>
                  <c:y val="-3.6807705538355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59-4D9D-8CF5-734CD3848C05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Ép'!$BA$13:$HJ$13</c:f>
              <c:numCache>
                <c:formatCode>_(* #,##0_);_(* \(#,##0\);_(* "-"??_);_(@_)</c:formatCode>
                <c:ptCount val="13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  <c:pt idx="12">
                  <c:v>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D5-4F5D-973E-FA172BDB65A9}"/>
            </c:ext>
          </c:extLst>
        </c:ser>
        <c:ser>
          <c:idx val="3"/>
          <c:order val="7"/>
          <c:tx>
            <c:strRef>
              <c:f>'Ma trận HDPE Ép'!$AZ$16</c:f>
              <c:strCache>
                <c:ptCount val="1"/>
                <c:pt idx="0">
                  <c:v>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Ép'!$BB$16:$BY$16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AEA-4748-859E-68298C155B0A}"/>
            </c:ext>
          </c:extLst>
        </c:ser>
        <c:ser>
          <c:idx val="8"/>
          <c:order val="8"/>
          <c:tx>
            <c:strRef>
              <c:f>'Ma trận HDPE Ép'!$AZ$8</c:f>
              <c:strCache>
                <c:ptCount val="1"/>
                <c:pt idx="0">
                  <c:v>DTR-nội địa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0944740063108619E-2"/>
                  <c:y val="-3.428505905286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87-411E-B2D3-E07EDA9C604A}"/>
                </c:ext>
              </c:extLst>
            </c:dLbl>
            <c:dLbl>
              <c:idx val="12"/>
              <c:layout>
                <c:manualLayout>
                  <c:x val="-2.0053474528508381E-2"/>
                  <c:y val="-2.96984290792342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55-4B5E-AFF1-6A988B10ACFD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Ép'!$BB$8:$HJ$8</c:f>
              <c:numCache>
                <c:formatCode>"$"#,##0_);\("$"#,##0\)</c:formatCode>
                <c:ptCount val="13"/>
                <c:pt idx="0">
                  <c:v>740</c:v>
                </c:pt>
                <c:pt idx="1">
                  <c:v>740</c:v>
                </c:pt>
                <c:pt idx="2">
                  <c:v>740</c:v>
                </c:pt>
                <c:pt idx="3">
                  <c:v>740</c:v>
                </c:pt>
                <c:pt idx="4">
                  <c:v>740</c:v>
                </c:pt>
                <c:pt idx="5">
                  <c:v>740</c:v>
                </c:pt>
                <c:pt idx="6">
                  <c:v>740</c:v>
                </c:pt>
                <c:pt idx="7">
                  <c:v>740</c:v>
                </c:pt>
                <c:pt idx="8">
                  <c:v>740</c:v>
                </c:pt>
                <c:pt idx="9">
                  <c:v>740</c:v>
                </c:pt>
                <c:pt idx="10">
                  <c:v>740</c:v>
                </c:pt>
                <c:pt idx="11">
                  <c:v>790</c:v>
                </c:pt>
                <c:pt idx="12">
                  <c:v>790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837-412E-A8F2-59B2742DF986}"/>
            </c:ext>
          </c:extLst>
        </c:ser>
        <c:ser>
          <c:idx val="9"/>
          <c:order val="9"/>
          <c:tx>
            <c:strRef>
              <c:f>'Ma trận HDPE Ép'!$AZ$17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4B3-4C70-839F-5BBD2566A7B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55-4B5E-AFF1-6A988B10ACFD}"/>
                </c:ext>
              </c:extLst>
            </c:dLbl>
            <c:dLbl>
              <c:idx val="12"/>
              <c:layout>
                <c:manualLayout>
                  <c:x val="-4.0106949057017813E-3"/>
                  <c:y val="-4.701295722967549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55-4B5E-AFF1-6A988B10ACFD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Ép'!$BA$17:$HJ$17</c:f>
              <c:numCache>
                <c:formatCode>_(* #,##0_);_(* \(#,##0\);_(* "-"??_);_(@_)</c:formatCode>
                <c:ptCount val="13"/>
                <c:pt idx="0">
                  <c:v>747.86078922841239</c:v>
                </c:pt>
                <c:pt idx="1">
                  <c:v>747.86078922841239</c:v>
                </c:pt>
                <c:pt idx="2">
                  <c:v>747.86078922841239</c:v>
                </c:pt>
                <c:pt idx="3">
                  <c:v>747.86078922841239</c:v>
                </c:pt>
                <c:pt idx="4">
                  <c:v>747.86078922841239</c:v>
                </c:pt>
                <c:pt idx="5">
                  <c:v>747.86078922841239</c:v>
                </c:pt>
                <c:pt idx="6">
                  <c:v>747.86078922841239</c:v>
                </c:pt>
                <c:pt idx="7">
                  <c:v>747.86078922841239</c:v>
                </c:pt>
                <c:pt idx="8">
                  <c:v>747.86078922841239</c:v>
                </c:pt>
                <c:pt idx="9">
                  <c:v>746.42906346587836</c:v>
                </c:pt>
                <c:pt idx="10">
                  <c:v>746.42906346587836</c:v>
                </c:pt>
                <c:pt idx="11">
                  <c:v>746.42906346587836</c:v>
                </c:pt>
                <c:pt idx="12">
                  <c:v>746.42906346587836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39D5-4F5D-973E-FA172BDB65A9}"/>
            </c:ext>
          </c:extLst>
        </c:ser>
        <c:ser>
          <c:idx val="10"/>
          <c:order val="10"/>
          <c:tx>
            <c:strRef>
              <c:f>'Ma trận HDPE Ép'!$AZ$18</c:f>
              <c:strCache>
                <c:ptCount val="1"/>
                <c:pt idx="0">
                  <c:v>Điểm hòa vốn sử dụng 100% Olefin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CD8D4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Ép'!$BB$18:$CF$18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271-4692-B834-071E13C2BBC1}"/>
            </c:ext>
          </c:extLst>
        </c:ser>
        <c:ser>
          <c:idx val="11"/>
          <c:order val="11"/>
          <c:tx>
            <c:strRef>
              <c:f>'Ma trận HDPE Ép'!$AZ$19</c:f>
              <c:strCache>
                <c:ptCount val="1"/>
                <c:pt idx="0">
                  <c:v>Giá bán vảy</c:v>
                </c:pt>
              </c:strCache>
            </c:strRef>
          </c:tx>
          <c:spPr>
            <a:ln w="508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955434968810267E-2"/>
                  <c:y val="2.52264648549478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BD-44A3-99CC-2C6C378F7F9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C0-403E-9B1A-2015055EE0B7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Ép'!$BB$5:$HJ$5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HDPE Ép'!$BB$19:$HJ$19</c:f>
              <c:numCache>
                <c:formatCode>General</c:formatCode>
                <c:ptCount val="13"/>
                <c:pt idx="0">
                  <c:v>665</c:v>
                </c:pt>
                <c:pt idx="1">
                  <c:v>665</c:v>
                </c:pt>
                <c:pt idx="2">
                  <c:v>665</c:v>
                </c:pt>
                <c:pt idx="3">
                  <c:v>665</c:v>
                </c:pt>
                <c:pt idx="4">
                  <c:v>665</c:v>
                </c:pt>
                <c:pt idx="5">
                  <c:v>665</c:v>
                </c:pt>
                <c:pt idx="6">
                  <c:v>665</c:v>
                </c:pt>
                <c:pt idx="7">
                  <c:v>665</c:v>
                </c:pt>
                <c:pt idx="8">
                  <c:v>665</c:v>
                </c:pt>
                <c:pt idx="9">
                  <c:v>665</c:v>
                </c:pt>
                <c:pt idx="10">
                  <c:v>665</c:v>
                </c:pt>
                <c:pt idx="11">
                  <c:v>715</c:v>
                </c:pt>
                <c:pt idx="12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9-4310-850D-373DF4358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964741855"/>
        <c:axId val="964739455"/>
        <c:extLst/>
      </c:lineChart>
      <c:catAx>
        <c:axId val="9647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4739455"/>
        <c:crosses val="autoZero"/>
        <c:auto val="1"/>
        <c:lblAlgn val="ctr"/>
        <c:lblOffset val="100"/>
        <c:noMultiLvlLbl val="0"/>
      </c:catAx>
      <c:valAx>
        <c:axId val="964739455"/>
        <c:scaling>
          <c:orientation val="minMax"/>
          <c:max val="1500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47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877903079755026"/>
          <c:y val="0.19904013457906933"/>
          <c:w val="0.1312209692024498"/>
          <c:h val="0.68690206357220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436956978705933"/>
          <c:y val="9.2538213910460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05390282987E-2"/>
          <c:y val="0.12379200207629547"/>
          <c:w val="0.82500047697884893"/>
          <c:h val="0.73413685175126897"/>
        </c:manualLayout>
      </c:layout>
      <c:areaChart>
        <c:grouping val="stacked"/>
        <c:varyColors val="0"/>
        <c:ser>
          <c:idx val="0"/>
          <c:order val="6"/>
          <c:tx>
            <c:strRef>
              <c:f>'Ma trận giá bán rPP'!$H$14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giá bán rPP'!$I$14:$AU$14</c:f>
              <c:numCache>
                <c:formatCode>_(* #,##0_);_(* \(#,##0\);_(* "-"??_);_(@_)</c:formatCode>
                <c:ptCount val="15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2-444D-A603-3134BB4F080D}"/>
            </c:ext>
          </c:extLst>
        </c:ser>
        <c:ser>
          <c:idx val="3"/>
          <c:order val="7"/>
          <c:tx>
            <c:strRef>
              <c:f>'Ma trận giá bán rPP'!$H$15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rPP'!$I$15:$AU$15</c:f>
              <c:numCache>
                <c:formatCode>"$"#,##0_);\("$"#,##0\)</c:formatCode>
                <c:ptCount val="15"/>
                <c:pt idx="0">
                  <c:v>-70</c:v>
                </c:pt>
                <c:pt idx="1">
                  <c:v>-165</c:v>
                </c:pt>
                <c:pt idx="2">
                  <c:v>-140</c:v>
                </c:pt>
                <c:pt idx="3">
                  <c:v>-130</c:v>
                </c:pt>
                <c:pt idx="4">
                  <c:v>-117</c:v>
                </c:pt>
                <c:pt idx="5">
                  <c:v>-107.5</c:v>
                </c:pt>
                <c:pt idx="6">
                  <c:v>-128.5</c:v>
                </c:pt>
                <c:pt idx="7">
                  <c:v>-125.5</c:v>
                </c:pt>
                <c:pt idx="8">
                  <c:v>-115.5</c:v>
                </c:pt>
                <c:pt idx="9">
                  <c:v>-102</c:v>
                </c:pt>
                <c:pt idx="10">
                  <c:v>-112.5</c:v>
                </c:pt>
                <c:pt idx="11">
                  <c:v>-115</c:v>
                </c:pt>
                <c:pt idx="12">
                  <c:v>-121</c:v>
                </c:pt>
                <c:pt idx="13">
                  <c:v>-152.5</c:v>
                </c:pt>
                <c:pt idx="14">
                  <c:v>-530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rPP'!$AZ$5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rPP'!$BA$5:$BM$5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2-D8E2-444D-A603-3134BB4F080D}"/>
            </c:ext>
          </c:extLst>
        </c:ser>
        <c:ser>
          <c:idx val="9"/>
          <c:order val="1"/>
          <c:tx>
            <c:strRef>
              <c:f>'Ma trận giá bán rPP'!$AZ$6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rPP'!$BA$6:$BM$6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D8E2-444D-A603-3134BB4F080D}"/>
            </c:ext>
          </c:extLst>
        </c:ser>
        <c:ser>
          <c:idx val="7"/>
          <c:order val="2"/>
          <c:tx>
            <c:strRef>
              <c:f>'Ma trận giá bán rPP'!$AZ$7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rPP'!$BA$7:$BM$7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D8E2-444D-A603-3134BB4F080D}"/>
            </c:ext>
          </c:extLst>
        </c:ser>
        <c:ser>
          <c:idx val="4"/>
          <c:order val="3"/>
          <c:tx>
            <c:strRef>
              <c:f>'Ma trận giá bán rPP'!$AZ$8</c:f>
              <c:strCache>
                <c:ptCount val="1"/>
                <c:pt idx="0">
                  <c:v>Vảy PP tuyển mua ngoài - 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rPP'!$BA$8:$BM$8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5-D8E2-444D-A603-3134BB4F080D}"/>
            </c:ext>
          </c:extLst>
        </c:ser>
        <c:ser>
          <c:idx val="1"/>
          <c:order val="4"/>
          <c:tx>
            <c:strRef>
              <c:f>'Ma trận giá bán rPP'!$H$12</c:f>
              <c:strCache>
                <c:ptCount val="1"/>
                <c:pt idx="0">
                  <c:v>Hạt màu (Châu Âu) - ICIS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rPP'!$I$12:$AB$12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8E2-444D-A603-3134BB4F080D}"/>
            </c:ext>
          </c:extLst>
        </c:ser>
        <c:ser>
          <c:idx val="11"/>
          <c:order val="5"/>
          <c:tx>
            <c:strRef>
              <c:f>'Ma trận giá bán rPP'!$H$9</c:f>
              <c:strCache>
                <c:ptCount val="1"/>
                <c:pt idx="0">
                  <c:v>DTR 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rPP'!$I$9:$AU$9</c:f>
              <c:numCache>
                <c:formatCode>"$"#,##0_);\("$"#,##0\)</c:formatCode>
                <c:ptCount val="15"/>
                <c:pt idx="0">
                  <c:v>900</c:v>
                </c:pt>
                <c:pt idx="1">
                  <c:v>820</c:v>
                </c:pt>
                <c:pt idx="2">
                  <c:v>840</c:v>
                </c:pt>
                <c:pt idx="3">
                  <c:v>835</c:v>
                </c:pt>
                <c:pt idx="4">
                  <c:v>815</c:v>
                </c:pt>
                <c:pt idx="5">
                  <c:v>815</c:v>
                </c:pt>
                <c:pt idx="6">
                  <c:v>789.5</c:v>
                </c:pt>
                <c:pt idx="7">
                  <c:v>769.5</c:v>
                </c:pt>
                <c:pt idx="8">
                  <c:v>754.5</c:v>
                </c:pt>
                <c:pt idx="9">
                  <c:v>740</c:v>
                </c:pt>
                <c:pt idx="10">
                  <c:v>715</c:v>
                </c:pt>
                <c:pt idx="11">
                  <c:v>705</c:v>
                </c:pt>
                <c:pt idx="12">
                  <c:v>695</c:v>
                </c:pt>
                <c:pt idx="13">
                  <c:v>695</c:v>
                </c:pt>
                <c:pt idx="14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8E2-444D-A603-3134BB4F080D}"/>
            </c:ext>
          </c:extLst>
        </c:ser>
        <c:ser>
          <c:idx val="2"/>
          <c:order val="8"/>
          <c:tx>
            <c:strRef>
              <c:f>'Ma trận giá bán rPP'!$H$13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894766485132841E-2"/>
                  <c:y val="-2.5332336057988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8E2-444D-A603-3134BB4F080D}"/>
                </c:ext>
              </c:extLst>
            </c:dLbl>
            <c:dLbl>
              <c:idx val="1"/>
              <c:layout>
                <c:manualLayout>
                  <c:x val="-2.0820104461185533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8E2-444D-A603-3134BB4F080D}"/>
                </c:ext>
              </c:extLst>
            </c:dLbl>
            <c:dLbl>
              <c:idx val="2"/>
              <c:layout>
                <c:manualLayout>
                  <c:x val="-2.10724462960502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08-44FA-BB27-DD14398C1576}"/>
                </c:ext>
              </c:extLst>
            </c:dLbl>
            <c:dLbl>
              <c:idx val="3"/>
              <c:layout>
                <c:manualLayout>
                  <c:x val="-2.107244629605021E-2"/>
                  <c:y val="-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08-44FA-BB27-DD14398C1576}"/>
                </c:ext>
              </c:extLst>
            </c:dLbl>
            <c:dLbl>
              <c:idx val="4"/>
              <c:layout>
                <c:manualLayout>
                  <c:x val="-1.9199339958623524E-2"/>
                  <c:y val="-3.6899612796796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2B-40FE-8DEB-7B668A1DA024}"/>
                </c:ext>
              </c:extLst>
            </c:dLbl>
            <c:dLbl>
              <c:idx val="5"/>
              <c:layout>
                <c:manualLayout>
                  <c:x val="-1.7326233621196976E-2"/>
                  <c:y val="-2.3018880710227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08-44FA-BB27-DD14398C1576}"/>
                </c:ext>
              </c:extLst>
            </c:dLbl>
            <c:dLbl>
              <c:idx val="6"/>
              <c:layout>
                <c:manualLayout>
                  <c:x val="-2.0135893127336865E-2"/>
                  <c:y val="-2.533233605798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08-44FA-BB27-DD14398C1576}"/>
                </c:ext>
              </c:extLst>
            </c:dLbl>
            <c:dLbl>
              <c:idx val="7"/>
              <c:layout>
                <c:manualLayout>
                  <c:x val="-1.6389680452483495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F5-4BD1-AF08-F827147DB70B}"/>
                </c:ext>
              </c:extLst>
            </c:dLbl>
            <c:dLbl>
              <c:idx val="8"/>
              <c:layout>
                <c:manualLayout>
                  <c:x val="-1.451657411505681E-2"/>
                  <c:y val="-2.7645791405750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B-4ED0-81D5-64487ACD5A9C}"/>
                </c:ext>
              </c:extLst>
            </c:dLbl>
            <c:dLbl>
              <c:idx val="14"/>
              <c:layout>
                <c:manualLayout>
                  <c:x val="-2.1306584588228546E-2"/>
                  <c:y val="-3.689961279679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B6-4C83-84A0-4309960E604C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rPP'!$I$13:$AU$13</c:f>
              <c:numCache>
                <c:formatCode>_(* #,##0_);_(* \(#,##0\);_(* "-"??_);_(@_)</c:formatCode>
                <c:ptCount val="15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D-D8E2-444D-A603-3134BB4F080D}"/>
            </c:ext>
          </c:extLst>
        </c:ser>
        <c:ser>
          <c:idx val="6"/>
          <c:order val="9"/>
          <c:tx>
            <c:strRef>
              <c:f>'Ma trận giá bán rPP'!$H$17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1779064600192966E-2"/>
                  <c:y val="-3.227270210127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5-48C5-B372-420532D8BE71}"/>
                </c:ext>
              </c:extLst>
            </c:dLbl>
            <c:dLbl>
              <c:idx val="4"/>
              <c:layout>
                <c:manualLayout>
                  <c:x val="-1.8262786789910182E-2"/>
                  <c:y val="-2.301888071022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8-401C-8C51-E862626FE024}"/>
                </c:ext>
              </c:extLst>
            </c:dLbl>
            <c:dLbl>
              <c:idx val="5"/>
              <c:layout>
                <c:manualLayout>
                  <c:x val="-2.0135893127337004E-2"/>
                  <c:y val="-2.99592467535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A8-401C-8C51-E862626FE024}"/>
                </c:ext>
              </c:extLst>
            </c:dLbl>
            <c:dLbl>
              <c:idx val="6"/>
              <c:layout>
                <c:manualLayout>
                  <c:x val="-2.2008999464763552E-2"/>
                  <c:y val="-2.9959246753511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A8-401C-8C51-E862626FE024}"/>
                </c:ext>
              </c:extLst>
            </c:dLbl>
            <c:dLbl>
              <c:idx val="7"/>
              <c:layout>
                <c:manualLayout>
                  <c:x val="-2.107244629605021E-2"/>
                  <c:y val="-2.301888071022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A8-401C-8C51-E862626FE024}"/>
                </c:ext>
              </c:extLst>
            </c:dLbl>
            <c:dLbl>
              <c:idx val="8"/>
              <c:layout>
                <c:manualLayout>
                  <c:x val="-1.1706914608916919E-2"/>
                  <c:y val="2.3250226245003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A8-401C-8C51-E862626FE024}"/>
                </c:ext>
              </c:extLst>
            </c:dLbl>
            <c:dLbl>
              <c:idx val="9"/>
              <c:layout>
                <c:manualLayout>
                  <c:x val="-2.0135893127336865E-2"/>
                  <c:y val="-3.9213068144557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A8-401C-8C51-E862626FE024}"/>
                </c:ext>
              </c:extLst>
            </c:dLbl>
            <c:dLbl>
              <c:idx val="10"/>
              <c:layout>
                <c:manualLayout>
                  <c:x val="-2.107244629605021E-2"/>
                  <c:y val="-3.2272702101273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A8-401C-8C51-E862626FE024}"/>
                </c:ext>
              </c:extLst>
            </c:dLbl>
            <c:dLbl>
              <c:idx val="11"/>
              <c:layout>
                <c:manualLayout>
                  <c:x val="-2.0135893127336865E-2"/>
                  <c:y val="-3.458615744903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A8-401C-8C51-E862626FE024}"/>
                </c:ext>
              </c:extLst>
            </c:dLbl>
            <c:dLbl>
              <c:idx val="12"/>
              <c:layout>
                <c:manualLayout>
                  <c:x val="-9.8338082714902342E-3"/>
                  <c:y val="-2.7645791405750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A8-401C-8C51-E862626FE024}"/>
                </c:ext>
              </c:extLst>
            </c:dLbl>
            <c:dLbl>
              <c:idx val="13"/>
              <c:layout>
                <c:manualLayout>
                  <c:x val="-2.7628318477043608E-2"/>
                  <c:y val="-3.921306814455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F8-4F1D-A2A5-2C56E992E51F}"/>
                </c:ext>
              </c:extLst>
            </c:dLbl>
            <c:dLbl>
              <c:idx val="14"/>
              <c:layout>
                <c:manualLayout>
                  <c:x val="-1.8262786789910182E-2"/>
                  <c:y val="-3.227270210127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97-4EBC-8F4D-1F91BDA53E3F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rPP'!$I$17:$AU$17</c:f>
              <c:numCache>
                <c:formatCode>"$"#,##0_);\("$"#,##0\)</c:formatCode>
                <c:ptCount val="15"/>
                <c:pt idx="0">
                  <c:v>842.58758463763786</c:v>
                </c:pt>
                <c:pt idx="1">
                  <c:v>835.02956014903214</c:v>
                </c:pt>
                <c:pt idx="2">
                  <c:v>835.02956014903214</c:v>
                </c:pt>
                <c:pt idx="3">
                  <c:v>821.92388317274299</c:v>
                </c:pt>
                <c:pt idx="4">
                  <c:v>838</c:v>
                </c:pt>
                <c:pt idx="5">
                  <c:v>863.68590309795047</c:v>
                </c:pt>
                <c:pt idx="6">
                  <c:v>864.84654926023097</c:v>
                </c:pt>
                <c:pt idx="7">
                  <c:v>864.84654926023097</c:v>
                </c:pt>
                <c:pt idx="8">
                  <c:v>864.84654926023097</c:v>
                </c:pt>
                <c:pt idx="9">
                  <c:v>877</c:v>
                </c:pt>
                <c:pt idx="10">
                  <c:v>899.20414893105215</c:v>
                </c:pt>
                <c:pt idx="11">
                  <c:v>896.54965726587238</c:v>
                </c:pt>
                <c:pt idx="12">
                  <c:v>896.54965726587238</c:v>
                </c:pt>
                <c:pt idx="13">
                  <c:v>872.02588664698362</c:v>
                </c:pt>
                <c:pt idx="14">
                  <c:v>886.41271510495631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8E2-444D-A603-3134BB4F080D}"/>
            </c:ext>
          </c:extLst>
        </c:ser>
        <c:ser>
          <c:idx val="14"/>
          <c:order val="10"/>
          <c:tx>
            <c:strRef>
              <c:f>'Ma trận giá bán rPP'!$H$11</c:f>
              <c:strCache>
                <c:ptCount val="1"/>
                <c:pt idx="0">
                  <c:v>Hạt đen (Châu Âu) - ICIS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giá bán rPP'!$I$5:$AU$5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rPP'!$I$11:$Y$11</c:f>
            </c:numRef>
          </c:val>
          <c:smooth val="0"/>
          <c:extLst>
            <c:ext xmlns:c16="http://schemas.microsoft.com/office/drawing/2014/chart" uri="{C3380CC4-5D6E-409C-BE32-E72D297353CC}">
              <c16:uniqueId val="{0000002A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11"/>
          <c:tx>
            <c:strRef>
              <c:f>'Ma trận giá bán rPP'!$H$16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rPP'!$I$16:$S$16</c:f>
            </c:numRef>
          </c:val>
          <c:smooth val="0"/>
          <c:extLst>
            <c:ext xmlns:c16="http://schemas.microsoft.com/office/drawing/2014/chart" uri="{C3380CC4-5D6E-409C-BE32-E72D297353CC}">
              <c16:uniqueId val="{00000041-D8E2-444D-A603-3134BB4F0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571113386264355"/>
          <c:y val="0.24276187332958921"/>
          <c:w val="0.10882333406350547"/>
          <c:h val="0.54010871105442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3697591595079928"/>
          <c:y val="1.616002048182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083559538171E-2"/>
          <c:y val="0.1283871973212469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9"/>
          <c:tx>
            <c:strRef>
              <c:f>'Ma trận giá bán rPP'!$AZ$14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solidFill>
                <a:schemeClr val="bg1"/>
              </a:solidFill>
            </a:ln>
            <a:effectLst/>
          </c:spPr>
          <c:val>
            <c:numRef>
              <c:f>'Ma trận giá bán rPP'!$BA$14:$HJ$14</c:f>
              <c:numCache>
                <c:formatCode>"$"#,##0_);\("$"#,##0\)</c:formatCode>
                <c:ptCount val="13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B92D-4F4B-99DE-3C531E2FE68B}"/>
            </c:ext>
          </c:extLst>
        </c:ser>
        <c:ser>
          <c:idx val="3"/>
          <c:order val="10"/>
          <c:tx>
            <c:strRef>
              <c:f>'Ma trận giá bán rPP'!$AZ$15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val>
            <c:numRef>
              <c:f>'Ma trận giá bán rPP'!$BA$15:$HJ$15</c:f>
              <c:numCache>
                <c:formatCode>"$"#,##0_);\("$"#,##0\)</c:formatCode>
                <c:ptCount val="13"/>
                <c:pt idx="0">
                  <c:v>-115</c:v>
                </c:pt>
                <c:pt idx="1">
                  <c:v>-115</c:v>
                </c:pt>
                <c:pt idx="2">
                  <c:v>-125</c:v>
                </c:pt>
                <c:pt idx="3">
                  <c:v>-125</c:v>
                </c:pt>
                <c:pt idx="4">
                  <c:v>-125</c:v>
                </c:pt>
                <c:pt idx="5">
                  <c:v>-145</c:v>
                </c:pt>
                <c:pt idx="6">
                  <c:v>-155</c:v>
                </c:pt>
                <c:pt idx="7">
                  <c:v>-155</c:v>
                </c:pt>
                <c:pt idx="8">
                  <c:v>-155</c:v>
                </c:pt>
                <c:pt idx="9">
                  <c:v>-280</c:v>
                </c:pt>
                <c:pt idx="10">
                  <c:v>-480</c:v>
                </c:pt>
                <c:pt idx="11">
                  <c:v>-630</c:v>
                </c:pt>
                <c:pt idx="12">
                  <c:v>-630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B92D-4F4B-99DE-3C531E2F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rPP'!$AZ$5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rPP'!$BA$5:$BM$5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B92D-4F4B-99DE-3C531E2FE68B}"/>
            </c:ext>
          </c:extLst>
        </c:ser>
        <c:ser>
          <c:idx val="9"/>
          <c:order val="1"/>
          <c:tx>
            <c:strRef>
              <c:f>'Ma trận giá bán rPP'!$AZ$18</c:f>
              <c:strCache>
                <c:ptCount val="1"/>
                <c:pt idx="0">
                  <c:v>Giá bán vảy PP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rPP'!$BB$18:$CU$18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5-B92D-4F4B-99DE-3C531E2FE68B}"/>
            </c:ext>
          </c:extLst>
        </c:ser>
        <c:ser>
          <c:idx val="7"/>
          <c:order val="2"/>
          <c:tx>
            <c:strRef>
              <c:f>'Ma trận giá bán rPP'!$AZ$7</c:f>
              <c:strCache>
                <c:ptCount val="1"/>
                <c:pt idx="0">
                  <c:v>Vảy PP tuyển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rPP'!$BA$7:$BM$7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A-B92D-4F4B-99DE-3C531E2FE68B}"/>
            </c:ext>
          </c:extLst>
        </c:ser>
        <c:ser>
          <c:idx val="2"/>
          <c:order val="3"/>
          <c:tx>
            <c:strRef>
              <c:f>'Ma trận giá bán rPP'!$AZ$13</c:f>
              <c:strCache>
                <c:ptCount val="1"/>
                <c:pt idx="0">
                  <c:v>RESIN</c:v>
                </c:pt>
              </c:strCache>
            </c:strRef>
          </c:tx>
          <c:spPr>
            <a:ln w="444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0479729064612755E-2"/>
                  <c:y val="-2.325815211966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17-4F86-8F48-38106ADFA263}"/>
                </c:ext>
              </c:extLst>
            </c:dLbl>
            <c:dLbl>
              <c:idx val="2"/>
              <c:layout>
                <c:manualLayout>
                  <c:x val="-1.7808460056185024E-2"/>
                  <c:y val="-2.558396733163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C8-48B3-9817-F252ACE18A17}"/>
                </c:ext>
              </c:extLst>
            </c:dLbl>
            <c:dLbl>
              <c:idx val="5"/>
              <c:layout>
                <c:manualLayout>
                  <c:x val="-2.1815363568826612E-2"/>
                  <c:y val="3.244512220693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8C-4A2A-8332-7FA0B3A0C25C}"/>
                </c:ext>
              </c:extLst>
            </c:dLbl>
            <c:dLbl>
              <c:idx val="6"/>
              <c:layout>
                <c:manualLayout>
                  <c:x val="-1.9144094560398995E-2"/>
                  <c:y val="2.5467676571037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51-4361-84E5-6C2C5FD7ECD4}"/>
                </c:ext>
              </c:extLst>
            </c:dLbl>
            <c:dLbl>
              <c:idx val="7"/>
              <c:layout>
                <c:manualLayout>
                  <c:x val="-2.0034517563208114E-2"/>
                  <c:y val="3.2445122206938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C8-48B3-9817-F252ACE18A17}"/>
                </c:ext>
              </c:extLst>
            </c:dLbl>
            <c:dLbl>
              <c:idx val="8"/>
              <c:layout>
                <c:manualLayout>
                  <c:x val="-2.8048324588491359E-2"/>
                  <c:y val="2.77934917830047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51-4361-84E5-6C2C5FD7ECD4}"/>
                </c:ext>
              </c:extLst>
            </c:dLbl>
            <c:dLbl>
              <c:idx val="9"/>
              <c:layout>
                <c:manualLayout>
                  <c:x val="-3.8956006372904799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8C-4A2A-8332-7FA0B3A0C25C}"/>
                </c:ext>
              </c:extLst>
            </c:dLbl>
            <c:dLbl>
              <c:idx val="10"/>
              <c:layout>
                <c:manualLayout>
                  <c:x val="-3.628473736447705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D9-494D-B214-358C8ADFF380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rPP'!$BA$13:$HJ$13</c:f>
              <c:numCache>
                <c:formatCode>"$"#,##0_);\("$"#,##0\)</c:formatCode>
                <c:ptCount val="13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D-B92D-4F4B-99DE-3C531E2FE68B}"/>
            </c:ext>
          </c:extLst>
        </c:ser>
        <c:ser>
          <c:idx val="4"/>
          <c:order val="4"/>
          <c:tx>
            <c:strRef>
              <c:f>'Ma trận giá bán rPP'!$AZ$8</c:f>
              <c:strCache>
                <c:ptCount val="1"/>
                <c:pt idx="0">
                  <c:v>Vảy PP tuyển mua ngoài - ICIS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rPP'!$BA$8:$BM$8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B92D-4F4B-99DE-3C531E2FE68B}"/>
            </c:ext>
          </c:extLst>
        </c:ser>
        <c:ser>
          <c:idx val="1"/>
          <c:order val="5"/>
          <c:tx>
            <c:strRef>
              <c:f>'Ma trận giá bán rPP'!$AZ$12</c:f>
              <c:strCache>
                <c:ptCount val="1"/>
                <c:pt idx="0">
                  <c:v>Hạt màu (Châu Âu) - ICIS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rPP'!$BA$12:$DU$12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C-B92D-4F4B-99DE-3C531E2FE68B}"/>
            </c:ext>
          </c:extLst>
        </c:ser>
        <c:ser>
          <c:idx val="11"/>
          <c:order val="6"/>
          <c:tx>
            <c:strRef>
              <c:f>'Ma trận giá bán rPP'!$AZ$9</c:f>
              <c:strCache>
                <c:ptCount val="1"/>
                <c:pt idx="0">
                  <c:v>DTR 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164805098323742E-2"/>
                  <c:y val="-3.0235597755570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17-4F86-8F48-38106ADFA26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B2D-422A-BCBF-914858BE8505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rPP'!$BA$9:$HJ$9</c:f>
              <c:numCache>
                <c:formatCode>"$"#,##0_);\("$"#,##0\)</c:formatCode>
                <c:ptCount val="13"/>
                <c:pt idx="0">
                  <c:v>695</c:v>
                </c:pt>
                <c:pt idx="1">
                  <c:v>695</c:v>
                </c:pt>
                <c:pt idx="2">
                  <c:v>695</c:v>
                </c:pt>
                <c:pt idx="3">
                  <c:v>695</c:v>
                </c:pt>
                <c:pt idx="4">
                  <c:v>695</c:v>
                </c:pt>
                <c:pt idx="5">
                  <c:v>695</c:v>
                </c:pt>
                <c:pt idx="6">
                  <c:v>695</c:v>
                </c:pt>
                <c:pt idx="7">
                  <c:v>695</c:v>
                </c:pt>
                <c:pt idx="8">
                  <c:v>695</c:v>
                </c:pt>
                <c:pt idx="9">
                  <c:v>720</c:v>
                </c:pt>
                <c:pt idx="10">
                  <c:v>720</c:v>
                </c:pt>
                <c:pt idx="11">
                  <c:v>770</c:v>
                </c:pt>
                <c:pt idx="12">
                  <c:v>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92D-4F4B-99DE-3C531E2FE68B}"/>
            </c:ext>
          </c:extLst>
        </c:ser>
        <c:ser>
          <c:idx val="6"/>
          <c:order val="7"/>
          <c:tx>
            <c:strRef>
              <c:f>'Ma trận giá bán rPP'!$AZ$17</c:f>
              <c:strCache>
                <c:ptCount val="1"/>
                <c:pt idx="0">
                  <c:v>Điểm hòa vốn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rPP'!$BA$17:$HJ$17</c:f>
              <c:numCache>
                <c:formatCode>"$"#,##0_);\("$"#,##0\)</c:formatCode>
                <c:ptCount val="13"/>
                <c:pt idx="0">
                  <c:v>896.54965726587238</c:v>
                </c:pt>
                <c:pt idx="1">
                  <c:v>896.54965726587238</c:v>
                </c:pt>
                <c:pt idx="2">
                  <c:v>896.54965726587238</c:v>
                </c:pt>
                <c:pt idx="3">
                  <c:v>896.54965726587238</c:v>
                </c:pt>
                <c:pt idx="4">
                  <c:v>896.54965726587238</c:v>
                </c:pt>
                <c:pt idx="5">
                  <c:v>872.02588664698362</c:v>
                </c:pt>
                <c:pt idx="6">
                  <c:v>872.02588664698362</c:v>
                </c:pt>
                <c:pt idx="7">
                  <c:v>872.02588664698362</c:v>
                </c:pt>
                <c:pt idx="8">
                  <c:v>872.02588664698362</c:v>
                </c:pt>
                <c:pt idx="9">
                  <c:v>886.41271510495631</c:v>
                </c:pt>
                <c:pt idx="10">
                  <c:v>886.41271510495631</c:v>
                </c:pt>
                <c:pt idx="11">
                  <c:v>886.41271510495631</c:v>
                </c:pt>
                <c:pt idx="12">
                  <c:v>886.41271510495631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0E7-448D-A15E-C846A7826003}"/>
            </c:ext>
          </c:extLst>
        </c:ser>
        <c:ser>
          <c:idx val="14"/>
          <c:order val="8"/>
          <c:tx>
            <c:strRef>
              <c:f>'Ma trận giá bán rPP'!$AZ$11</c:f>
              <c:strCache>
                <c:ptCount val="1"/>
                <c:pt idx="0">
                  <c:v>Hạt đen (Châu Âu) - ICIS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5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giá bán rPP'!$BA$5:$HJ$5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rPP'!$BA$11:$DZ$11</c:f>
            </c:numRef>
          </c:val>
          <c:smooth val="0"/>
          <c:extLst>
            <c:ext xmlns:c16="http://schemas.microsoft.com/office/drawing/2014/chart" uri="{C3380CC4-5D6E-409C-BE32-E72D297353CC}">
              <c16:uniqueId val="{00000037-B92D-4F4B-99DE-3C531E2F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11"/>
          <c:tx>
            <c:strRef>
              <c:f>'Ma trận giá bán rPP'!$AZ$16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rPP'!$BA$16:$DN$16</c:f>
            </c:numRef>
          </c:val>
          <c:smooth val="0"/>
          <c:extLst>
            <c:ext xmlns:c16="http://schemas.microsoft.com/office/drawing/2014/chart" uri="{C3380CC4-5D6E-409C-BE32-E72D297353CC}">
              <c16:uniqueId val="{0000008A-B92D-4F4B-99DE-3C531E2FE68B}"/>
            </c:ext>
          </c:extLst>
        </c:ser>
        <c:ser>
          <c:idx val="8"/>
          <c:order val="12"/>
          <c:tx>
            <c:strRef>
              <c:f>'Ma trận giá bán rPP'!$AZ$18</c:f>
              <c:strCache>
                <c:ptCount val="1"/>
                <c:pt idx="0">
                  <c:v>Giá bán vảy PP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rPP'!$BA$18:$HJ$18</c:f>
              <c:numCache>
                <c:formatCode>General</c:formatCode>
                <c:ptCount val="13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680</c:v>
                </c:pt>
                <c:pt idx="10">
                  <c:v>680</c:v>
                </c:pt>
                <c:pt idx="11">
                  <c:v>730</c:v>
                </c:pt>
                <c:pt idx="12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4-4C75-9D40-FE3212E75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400"/>
          <c:min val="6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700616124171"/>
          <c:y val="0.25120672266814587"/>
          <c:w val="0.11340299383875832"/>
          <c:h val="0.5862982746296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0352816443013902"/>
          <c:y val="1.395489127180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3"/>
          <c:tx>
            <c:strRef>
              <c:f>'Ma trận giá bán vảy PP'!$H$8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PP'!$I$8:$AJ$8</c:f>
              <c:numCache>
                <c:formatCode>_(* #,##0_);_(* \(#,##0\);_(* "-"??_);_(@_)</c:formatCode>
                <c:ptCount val="15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D-4BC9-B726-DB0F4A67ED34}"/>
            </c:ext>
          </c:extLst>
        </c:ser>
        <c:ser>
          <c:idx val="3"/>
          <c:order val="4"/>
          <c:tx>
            <c:strRef>
              <c:f>'Ma trận giá bán vảy PP'!$H$9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PP'!$I$9:$AJ$9</c:f>
              <c:numCache>
                <c:formatCode>"$"#,##0_);\("$"#,##0\)</c:formatCode>
                <c:ptCount val="15"/>
                <c:pt idx="0">
                  <c:v>-115</c:v>
                </c:pt>
                <c:pt idx="1">
                  <c:v>-205</c:v>
                </c:pt>
                <c:pt idx="2">
                  <c:v>-190</c:v>
                </c:pt>
                <c:pt idx="3">
                  <c:v>-180</c:v>
                </c:pt>
                <c:pt idx="4">
                  <c:v>-167</c:v>
                </c:pt>
                <c:pt idx="5">
                  <c:v>-157.5</c:v>
                </c:pt>
                <c:pt idx="6">
                  <c:v>-238</c:v>
                </c:pt>
                <c:pt idx="7">
                  <c:v>-235</c:v>
                </c:pt>
                <c:pt idx="8">
                  <c:v>-210</c:v>
                </c:pt>
                <c:pt idx="9">
                  <c:v>-192</c:v>
                </c:pt>
                <c:pt idx="10">
                  <c:v>-177.5</c:v>
                </c:pt>
                <c:pt idx="11">
                  <c:v>-170</c:v>
                </c:pt>
                <c:pt idx="12">
                  <c:v>-166</c:v>
                </c:pt>
                <c:pt idx="13">
                  <c:v>-197.5</c:v>
                </c:pt>
                <c:pt idx="14">
                  <c:v>-570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rPP'!$AZ$5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PP'!$I$5:$AJ$5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rPP'!$BA$5:$BM$5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93D-4BC9-B726-DB0F4A67ED34}"/>
            </c:ext>
          </c:extLst>
        </c:ser>
        <c:ser>
          <c:idx val="2"/>
          <c:order val="1"/>
          <c:tx>
            <c:strRef>
              <c:f>'Ma trận giá bán vảy PP'!$H$7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2.9829170594109857E-2"/>
                  <c:y val="-3.2328831446340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A1-4A07-8D1D-632EC552637B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PP'!$I$5:$AJ$5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PP'!$I$7:$AJ$7</c:f>
              <c:numCache>
                <c:formatCode>_(* #,##0_);_(* \(#,##0\);_(* "-"??_);_(@_)</c:formatCode>
                <c:ptCount val="15"/>
                <c:pt idx="0">
                  <c:v>970</c:v>
                </c:pt>
                <c:pt idx="1">
                  <c:v>985</c:v>
                </c:pt>
                <c:pt idx="2">
                  <c:v>980</c:v>
                </c:pt>
                <c:pt idx="3">
                  <c:v>965</c:v>
                </c:pt>
                <c:pt idx="4">
                  <c:v>932</c:v>
                </c:pt>
                <c:pt idx="5">
                  <c:v>922.5</c:v>
                </c:pt>
                <c:pt idx="6">
                  <c:v>918</c:v>
                </c:pt>
                <c:pt idx="7">
                  <c:v>895</c:v>
                </c:pt>
                <c:pt idx="8">
                  <c:v>870</c:v>
                </c:pt>
                <c:pt idx="9">
                  <c:v>842</c:v>
                </c:pt>
                <c:pt idx="10">
                  <c:v>827.5</c:v>
                </c:pt>
                <c:pt idx="11">
                  <c:v>820</c:v>
                </c:pt>
                <c:pt idx="12">
                  <c:v>816</c:v>
                </c:pt>
                <c:pt idx="13">
                  <c:v>847.5</c:v>
                </c:pt>
                <c:pt idx="14">
                  <c:v>1250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893D-4BC9-B726-DB0F4A67ED34}"/>
            </c:ext>
          </c:extLst>
        </c:ser>
        <c:ser>
          <c:idx val="11"/>
          <c:order val="2"/>
          <c:tx>
            <c:strRef>
              <c:f>'Ma trận giá bán vảy PP'!$H$6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883436188450439E-3"/>
                  <c:y val="-2.5692056184628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05-4267-9EAE-96CF77168A94}"/>
                </c:ext>
              </c:extLst>
            </c:dLbl>
            <c:dLbl>
              <c:idx val="2"/>
              <c:layout>
                <c:manualLayout>
                  <c:x val="-1.731400103177896E-2"/>
                  <c:y val="-2.5692056184628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05-4267-9EAE-96CF77168A94}"/>
                </c:ext>
              </c:extLst>
            </c:dLbl>
            <c:dLbl>
              <c:idx val="3"/>
              <c:layout>
                <c:manualLayout>
                  <c:x val="-1.6472825551971246E-2"/>
                  <c:y val="-3.04681792767667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05-4267-9EAE-96CF77168A94}"/>
                </c:ext>
              </c:extLst>
            </c:dLbl>
            <c:dLbl>
              <c:idx val="4"/>
              <c:layout>
                <c:manualLayout>
                  <c:x val="-1.5582402549161867E-2"/>
                  <c:y val="-2.349073364086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05-4267-9EAE-96CF77168A94}"/>
                </c:ext>
              </c:extLst>
            </c:dLbl>
            <c:dLbl>
              <c:idx val="5"/>
              <c:layout>
                <c:manualLayout>
                  <c:x val="-2.0034517563208114E-2"/>
                  <c:y val="-2.349073364086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05-4267-9EAE-96CF77168A94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PP'!$I$5:$AJ$5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PP'!$I$6:$AJ$6</c:f>
              <c:numCache>
                <c:formatCode>"$"#,##0_);\("$"#,##0\)</c:formatCode>
                <c:ptCount val="15"/>
                <c:pt idx="0">
                  <c:v>855</c:v>
                </c:pt>
                <c:pt idx="1">
                  <c:v>780</c:v>
                </c:pt>
                <c:pt idx="2">
                  <c:v>790</c:v>
                </c:pt>
                <c:pt idx="3">
                  <c:v>785</c:v>
                </c:pt>
                <c:pt idx="4">
                  <c:v>765</c:v>
                </c:pt>
                <c:pt idx="5">
                  <c:v>765</c:v>
                </c:pt>
                <c:pt idx="6">
                  <c:v>680</c:v>
                </c:pt>
                <c:pt idx="7">
                  <c:v>660</c:v>
                </c:pt>
                <c:pt idx="8">
                  <c:v>660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5"/>
          <c:tx>
            <c:strRef>
              <c:f>'Ma trận giá bán vảy PP'!$AN$10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'Ma trận giá bán vảy PP'!$AO$10:$AW$10</c:f>
            </c:numRef>
          </c:val>
          <c:smooth val="0"/>
          <c:extLst>
            <c:ext xmlns:c16="http://schemas.microsoft.com/office/drawing/2014/chart" uri="{C3380CC4-5D6E-409C-BE32-E72D297353CC}">
              <c16:uniqueId val="{00000023-893D-4BC9-B726-DB0F4A67ED34}"/>
            </c:ext>
          </c:extLst>
        </c:ser>
        <c:ser>
          <c:idx val="1"/>
          <c:order val="6"/>
          <c:tx>
            <c:strRef>
              <c:f>'Ma trận giá bán vảy PP'!$H$11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3762411076542146E-2"/>
                  <c:y val="2.5229136253374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05-4267-9EAE-96CF77168A94}"/>
                </c:ext>
              </c:extLst>
            </c:dLbl>
            <c:dLbl>
              <c:idx val="3"/>
              <c:layout>
                <c:manualLayout>
                  <c:x val="-2.1995481418764957E-2"/>
                  <c:y val="2.7812904098947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05-4267-9EAE-96CF77168A94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vảy PP'!$I$11:$AJ$11</c:f>
              <c:numCache>
                <c:formatCode>0</c:formatCode>
                <c:ptCount val="15"/>
                <c:pt idx="0">
                  <c:v>790.71342693105714</c:v>
                </c:pt>
                <c:pt idx="1">
                  <c:v>780.14594515953695</c:v>
                </c:pt>
                <c:pt idx="2">
                  <c:v>780.14594515953695</c:v>
                </c:pt>
                <c:pt idx="3">
                  <c:v>767.45783789288964</c:v>
                </c:pt>
                <c:pt idx="4">
                  <c:v>720.25560128568611</c:v>
                </c:pt>
                <c:pt idx="5">
                  <c:v>754.85044113798847</c:v>
                </c:pt>
                <c:pt idx="6">
                  <c:v>757.17190222429883</c:v>
                </c:pt>
                <c:pt idx="7">
                  <c:v>757.17190222429883</c:v>
                </c:pt>
                <c:pt idx="8">
                  <c:v>757.17190222429883</c:v>
                </c:pt>
                <c:pt idx="9">
                  <c:v>760.07393351542305</c:v>
                </c:pt>
                <c:pt idx="10">
                  <c:v>760.79553063281901</c:v>
                </c:pt>
                <c:pt idx="11">
                  <c:v>765.98333885599538</c:v>
                </c:pt>
                <c:pt idx="12">
                  <c:v>765.98333885599538</c:v>
                </c:pt>
                <c:pt idx="13">
                  <c:v>765.48148735896382</c:v>
                </c:pt>
                <c:pt idx="14">
                  <c:v>799.47433626065799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93D-4BC9-B726-DB0F4A67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400"/>
          <c:min val="6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8837906831"/>
          <c:y val="0.36360311629936792"/>
          <c:w val="0.11340299383875832"/>
          <c:h val="0.463983835767411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3"/>
          <c:tx>
            <c:strRef>
              <c:f>'Ma trận giá bán vảy PP'!$AN$8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giá bán vảy PP'!$AO$8:$FC$8</c:f>
              <c:numCache>
                <c:formatCode>"$"#,##0_);\("$"#,##0\)</c:formatCode>
                <c:ptCount val="13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9-4260-A703-FCB7718B0DF0}"/>
            </c:ext>
          </c:extLst>
        </c:ser>
        <c:ser>
          <c:idx val="3"/>
          <c:order val="4"/>
          <c:tx>
            <c:strRef>
              <c:f>'Ma trận giá bán vảy PP'!$AN$9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PP'!$AO$9:$FC$9</c:f>
              <c:numCache>
                <c:formatCode>"$"#,##0_);\("$"#,##0\)</c:formatCode>
                <c:ptCount val="13"/>
                <c:pt idx="0">
                  <c:v>-160</c:v>
                </c:pt>
                <c:pt idx="1">
                  <c:v>-160</c:v>
                </c:pt>
                <c:pt idx="2">
                  <c:v>-170</c:v>
                </c:pt>
                <c:pt idx="3">
                  <c:v>-170</c:v>
                </c:pt>
                <c:pt idx="4">
                  <c:v>-170</c:v>
                </c:pt>
                <c:pt idx="5">
                  <c:v>-190</c:v>
                </c:pt>
                <c:pt idx="6">
                  <c:v>-200</c:v>
                </c:pt>
                <c:pt idx="7">
                  <c:v>-200</c:v>
                </c:pt>
                <c:pt idx="8">
                  <c:v>-200</c:v>
                </c:pt>
                <c:pt idx="9">
                  <c:v>-320</c:v>
                </c:pt>
                <c:pt idx="10">
                  <c:v>-520</c:v>
                </c:pt>
                <c:pt idx="11">
                  <c:v>-670</c:v>
                </c:pt>
                <c:pt idx="12">
                  <c:v>-670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9-4260-A703-FCB7718B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3"/>
          <c:order val="0"/>
          <c:tx>
            <c:strRef>
              <c:f>'Ma trận giá bán rPP'!$AZ$5</c:f>
              <c:strCache>
                <c:ptCount val="1"/>
                <c:pt idx="0">
                  <c:v>Diễn giải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'Ma trận giá bán vảy PP'!$AO$5:$FC$5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rPP'!$BA$5:$BM$5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EF-1A79-4260-A703-FCB7718B0DF0}"/>
            </c:ext>
          </c:extLst>
        </c:ser>
        <c:ser>
          <c:idx val="2"/>
          <c:order val="1"/>
          <c:tx>
            <c:strRef>
              <c:f>'Ma trận giá bán vảy PP'!$AN$7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448592024487425E-2"/>
                  <c:y val="-3.0425142999093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6E-46BA-8267-88B3812894CD}"/>
                </c:ext>
              </c:extLst>
            </c:dLbl>
            <c:dLbl>
              <c:idx val="2"/>
              <c:layout>
                <c:manualLayout>
                  <c:x val="-1.9661209355780172E-2"/>
                  <c:y val="-3.5105934229723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17-4CBF-B0D3-4A0C619DCD52}"/>
                </c:ext>
              </c:extLst>
            </c:dLbl>
            <c:dLbl>
              <c:idx val="8"/>
              <c:layout>
                <c:manualLayout>
                  <c:x val="-2.7116679638709489E-2"/>
                  <c:y val="-4.224414085643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79-49B6-9115-C0959264A886}"/>
                </c:ext>
              </c:extLst>
            </c:dLbl>
            <c:dLbl>
              <c:idx val="9"/>
              <c:layout>
                <c:manualLayout>
                  <c:x val="-4.2453162385192651E-2"/>
                  <c:y val="-3.52229540104890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79-49B6-9115-C0959264A886}"/>
                </c:ext>
              </c:extLst>
            </c:dLbl>
            <c:dLbl>
              <c:idx val="10"/>
              <c:layout>
                <c:manualLayout>
                  <c:x val="-4.4231305312321001E-2"/>
                  <c:y val="-3.054216277985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32-40A5-8942-B5E64B6BD282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PP'!$AO$5:$FC$5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vảy PP'!$AO$7:$FC$7</c:f>
              <c:numCache>
                <c:formatCode>"$"#,##0_);\("$"#,##0\)</c:formatCode>
                <c:ptCount val="13"/>
                <c:pt idx="0">
                  <c:v>810</c:v>
                </c:pt>
                <c:pt idx="1">
                  <c:v>810</c:v>
                </c:pt>
                <c:pt idx="2">
                  <c:v>820</c:v>
                </c:pt>
                <c:pt idx="3">
                  <c:v>820</c:v>
                </c:pt>
                <c:pt idx="4">
                  <c:v>820</c:v>
                </c:pt>
                <c:pt idx="5">
                  <c:v>840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1000</c:v>
                </c:pt>
                <c:pt idx="10">
                  <c:v>1200</c:v>
                </c:pt>
                <c:pt idx="11">
                  <c:v>1400</c:v>
                </c:pt>
                <c:pt idx="12">
                  <c:v>1400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EB-1A79-4260-A703-FCB7718B0DF0}"/>
            </c:ext>
          </c:extLst>
        </c:ser>
        <c:ser>
          <c:idx val="11"/>
          <c:order val="2"/>
          <c:tx>
            <c:strRef>
              <c:f>'Ma trận giá bán vảy PP'!$AN$6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428727377206637E-2"/>
                  <c:y val="-1.6382769307204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6E-46BA-8267-88B3812894C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DD-43A9-BEFF-B016EF086044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PP'!$AO$5:$FC$5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vảy PP'!$AO$6:$FC$6</c:f>
              <c:numCache>
                <c:formatCode>"$"#,##0_);\("$"#,##0\)</c:formatCode>
                <c:ptCount val="13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680</c:v>
                </c:pt>
                <c:pt idx="10">
                  <c:v>680</c:v>
                </c:pt>
                <c:pt idx="11">
                  <c:v>730</c:v>
                </c:pt>
                <c:pt idx="12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A79-4260-A703-FCB7718B0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/>
      </c:lineChart>
      <c:lineChart>
        <c:grouping val="standard"/>
        <c:varyColors val="0"/>
        <c:ser>
          <c:idx val="5"/>
          <c:order val="5"/>
          <c:tx>
            <c:strRef>
              <c:f>'Ma trận giá bán vảy PP'!$AN$10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'Ma trận giá bán vảy PP'!$AO$5:$AR$5</c:f>
            </c:multiLvlStrRef>
          </c:cat>
          <c:val>
            <c:numRef>
              <c:f>'Ma trận giá bán vảy PP'!$AO$10:$AW$10</c:f>
            </c:numRef>
          </c:val>
          <c:smooth val="0"/>
          <c:extLst>
            <c:ext xmlns:c16="http://schemas.microsoft.com/office/drawing/2014/chart" uri="{C3380CC4-5D6E-409C-BE32-E72D297353CC}">
              <c16:uniqueId val="{000000EC-1A79-4260-A703-FCB7718B0DF0}"/>
            </c:ext>
          </c:extLst>
        </c:ser>
        <c:ser>
          <c:idx val="1"/>
          <c:order val="6"/>
          <c:tx>
            <c:strRef>
              <c:f>'Ma trận giá bán vảy PP'!$AN$11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4853962039792075E-2"/>
                  <c:y val="-8.581351456983607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03-4650-A710-1B5DC92DF5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6E-46BA-8267-88B3812894CD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giá bán vảy PP'!$AO$11:$FC$11</c:f>
              <c:numCache>
                <c:formatCode>0</c:formatCode>
                <c:ptCount val="13"/>
                <c:pt idx="0">
                  <c:v>765.98333885599538</c:v>
                </c:pt>
                <c:pt idx="1">
                  <c:v>765.98333885599538</c:v>
                </c:pt>
                <c:pt idx="2">
                  <c:v>765.98333885599538</c:v>
                </c:pt>
                <c:pt idx="3">
                  <c:v>765.98333885599538</c:v>
                </c:pt>
                <c:pt idx="4">
                  <c:v>765.98333885599538</c:v>
                </c:pt>
                <c:pt idx="5">
                  <c:v>765.48148735896382</c:v>
                </c:pt>
                <c:pt idx="6">
                  <c:v>765.48148735896382</c:v>
                </c:pt>
                <c:pt idx="7">
                  <c:v>765.48148735896382</c:v>
                </c:pt>
                <c:pt idx="8">
                  <c:v>765.48148735896382</c:v>
                </c:pt>
                <c:pt idx="9">
                  <c:v>799.47433626065799</c:v>
                </c:pt>
                <c:pt idx="10">
                  <c:v>799.47433626065799</c:v>
                </c:pt>
                <c:pt idx="11">
                  <c:v>799.47433626065799</c:v>
                </c:pt>
                <c:pt idx="12">
                  <c:v>799.47433626065799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5-4AEC-9C56-A6D2B2FA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ax val="1400"/>
          <c:min val="6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697328559572"/>
          <c:y val="0.21876101667522665"/>
          <c:w val="9.473252460032737E-2"/>
          <c:h val="0.49939601207644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ÉP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2025 &amp;2026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096997686023E-2"/>
          <c:y val="0.12606144141801962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2"/>
          <c:tx>
            <c:strRef>
              <c:f>'Ma trận giá bán vảy HDPE ÉP'!$D$8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HDPE ÉP'!$E$8:$AF$8</c:f>
              <c:numCache>
                <c:formatCode>_(* #,##0_);_(* \(#,##0\);_(* "-"??_);_(@_)</c:formatCode>
                <c:ptCount val="15"/>
                <c:pt idx="0">
                  <c:v>940</c:v>
                </c:pt>
                <c:pt idx="1">
                  <c:v>945</c:v>
                </c:pt>
                <c:pt idx="2">
                  <c:v>940</c:v>
                </c:pt>
                <c:pt idx="3">
                  <c:v>905</c:v>
                </c:pt>
                <c:pt idx="4">
                  <c:v>908</c:v>
                </c:pt>
                <c:pt idx="5">
                  <c:v>915</c:v>
                </c:pt>
                <c:pt idx="6">
                  <c:v>930</c:v>
                </c:pt>
                <c:pt idx="7">
                  <c:v>930</c:v>
                </c:pt>
                <c:pt idx="8">
                  <c:v>915</c:v>
                </c:pt>
                <c:pt idx="9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8-4B6E-B6F0-2DBBB1791223}"/>
            </c:ext>
          </c:extLst>
        </c:ser>
        <c:ser>
          <c:idx val="3"/>
          <c:order val="3"/>
          <c:tx>
            <c:strRef>
              <c:f>'Ma trận giá bán vảy HDPE ÉP'!$AI$9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HDPE ÉP'!$E$9:$AF$9</c:f>
              <c:numCache>
                <c:formatCode>"$"#,##0_);\("$"#,##0\)</c:formatCode>
                <c:ptCount val="15"/>
                <c:pt idx="0">
                  <c:v>-115</c:v>
                </c:pt>
                <c:pt idx="1">
                  <c:v>-195</c:v>
                </c:pt>
                <c:pt idx="2">
                  <c:v>-190</c:v>
                </c:pt>
                <c:pt idx="3">
                  <c:v>-155</c:v>
                </c:pt>
                <c:pt idx="4">
                  <c:v>-188</c:v>
                </c:pt>
                <c:pt idx="5">
                  <c:v>-195</c:v>
                </c:pt>
                <c:pt idx="6">
                  <c:v>-210</c:v>
                </c:pt>
                <c:pt idx="7">
                  <c:v>-230</c:v>
                </c:pt>
                <c:pt idx="8">
                  <c:v>-215</c:v>
                </c:pt>
                <c:pt idx="9">
                  <c:v>-170</c:v>
                </c:pt>
                <c:pt idx="10">
                  <c:v>-150</c:v>
                </c:pt>
                <c:pt idx="11">
                  <c:v>-165</c:v>
                </c:pt>
                <c:pt idx="12">
                  <c:v>-165</c:v>
                </c:pt>
                <c:pt idx="13">
                  <c:v>-165</c:v>
                </c:pt>
                <c:pt idx="14">
                  <c:v>-603.75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8-4B6E-B6F0-2DBBB1791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2"/>
          <c:order val="0"/>
          <c:tx>
            <c:strRef>
              <c:f>'Ma trận giá bán vảy HDPE ÉP'!$D$7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3.2500439602537609E-2"/>
                  <c:y val="-4.3957907506174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0D-4C40-ABFD-C0CFD5AFF1C9}"/>
                </c:ext>
              </c:extLst>
            </c:dLbl>
            <c:numFmt formatCode="&quot;$&quot;#,##0_);\(&quot;$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ÉP'!$E$5:$AF$5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HDPE ÉP'!$E$7:$AF$7</c:f>
              <c:numCache>
                <c:formatCode>_(* #,##0_);_(* \(#,##0\);_(* "-"??_);_(@_)</c:formatCode>
                <c:ptCount val="15"/>
                <c:pt idx="0">
                  <c:v>940</c:v>
                </c:pt>
                <c:pt idx="1">
                  <c:v>945</c:v>
                </c:pt>
                <c:pt idx="2">
                  <c:v>940</c:v>
                </c:pt>
                <c:pt idx="3">
                  <c:v>905</c:v>
                </c:pt>
                <c:pt idx="4">
                  <c:v>908</c:v>
                </c:pt>
                <c:pt idx="5">
                  <c:v>915</c:v>
                </c:pt>
                <c:pt idx="6">
                  <c:v>930</c:v>
                </c:pt>
                <c:pt idx="7">
                  <c:v>930</c:v>
                </c:pt>
                <c:pt idx="8">
                  <c:v>915</c:v>
                </c:pt>
                <c:pt idx="9">
                  <c:v>870</c:v>
                </c:pt>
                <c:pt idx="10">
                  <c:v>840</c:v>
                </c:pt>
                <c:pt idx="11">
                  <c:v>830</c:v>
                </c:pt>
                <c:pt idx="12">
                  <c:v>830</c:v>
                </c:pt>
                <c:pt idx="13">
                  <c:v>830</c:v>
                </c:pt>
                <c:pt idx="14">
                  <c:v>1268.75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B78-4B6E-B6F0-2DBBB1791223}"/>
            </c:ext>
          </c:extLst>
        </c:ser>
        <c:ser>
          <c:idx val="11"/>
          <c:order val="1"/>
          <c:tx>
            <c:strRef>
              <c:f>'Ma trận giá bán vảy HDPE ÉP'!$D$6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ÉP'!$E$5:$AF$5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HDPE ÉP'!$E$6:$AF$6</c:f>
              <c:numCache>
                <c:formatCode>"$"#,##0_);\("$"#,##0\)</c:formatCode>
                <c:ptCount val="15"/>
                <c:pt idx="0">
                  <c:v>825</c:v>
                </c:pt>
                <c:pt idx="1">
                  <c:v>750</c:v>
                </c:pt>
                <c:pt idx="2">
                  <c:v>750</c:v>
                </c:pt>
                <c:pt idx="3">
                  <c:v>750</c:v>
                </c:pt>
                <c:pt idx="4">
                  <c:v>720</c:v>
                </c:pt>
                <c:pt idx="5">
                  <c:v>720</c:v>
                </c:pt>
                <c:pt idx="6">
                  <c:v>720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690</c:v>
                </c:pt>
                <c:pt idx="11">
                  <c:v>665</c:v>
                </c:pt>
                <c:pt idx="12">
                  <c:v>665</c:v>
                </c:pt>
                <c:pt idx="13">
                  <c:v>665</c:v>
                </c:pt>
                <c:pt idx="14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8-4B6E-B6F0-2DBBB1791223}"/>
            </c:ext>
          </c:extLst>
        </c:ser>
        <c:ser>
          <c:idx val="1"/>
          <c:order val="5"/>
          <c:tx>
            <c:strRef>
              <c:f>'Ma trận giá bán vảy HDPE ÉP'!$AI$11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5377055580063611E-2"/>
                  <c:y val="3.23288314463402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16-4823-BC95-A5A78B05C74C}"/>
                </c:ext>
              </c:extLst>
            </c:dLbl>
            <c:dLbl>
              <c:idx val="20"/>
              <c:layout>
                <c:manualLayout>
                  <c:x val="-2.8048324588491359E-2"/>
                  <c:y val="3.2328831446340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0D-489A-81C5-EABC8E4DF28A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ÉP'!$E$5:$AF$5</c:f>
              <c:strCache>
                <c:ptCount val="15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T1.26</c:v>
                </c:pt>
                <c:pt idx="13">
                  <c:v>2</c:v>
                </c:pt>
                <c:pt idx="14">
                  <c:v>3</c:v>
                </c:pt>
              </c:strCache>
            </c:strRef>
          </c:cat>
          <c:val>
            <c:numRef>
              <c:f>'Ma trận giá bán vảy HDPE ÉP'!$E$11:$AF$11</c:f>
              <c:numCache>
                <c:formatCode>0</c:formatCode>
                <c:ptCount val="15"/>
                <c:pt idx="0">
                  <c:v>673.72306796354871</c:v>
                </c:pt>
                <c:pt idx="1">
                  <c:v>686.58247571857055</c:v>
                </c:pt>
                <c:pt idx="2">
                  <c:v>717.72825827070665</c:v>
                </c:pt>
                <c:pt idx="3">
                  <c:v>706.65663489602741</c:v>
                </c:pt>
                <c:pt idx="4">
                  <c:v>684.45465379202574</c:v>
                </c:pt>
                <c:pt idx="5">
                  <c:v>669.97726780885682</c:v>
                </c:pt>
                <c:pt idx="6">
                  <c:v>676.40258353637296</c:v>
                </c:pt>
                <c:pt idx="7">
                  <c:v>675.58305269623997</c:v>
                </c:pt>
                <c:pt idx="8">
                  <c:v>690.17868644421151</c:v>
                </c:pt>
                <c:pt idx="9">
                  <c:v>524.58051926145572</c:v>
                </c:pt>
                <c:pt idx="10">
                  <c:v>523.8036567901039</c:v>
                </c:pt>
                <c:pt idx="11">
                  <c:v>541.07580104033718</c:v>
                </c:pt>
                <c:pt idx="12">
                  <c:v>570.49450264840164</c:v>
                </c:pt>
                <c:pt idx="13">
                  <c:v>600.85846313754803</c:v>
                </c:pt>
                <c:pt idx="14">
                  <c:v>615.4949916983893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D2-4BBD-82B5-6A5721AED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5"/>
          <c:order val="4"/>
          <c:tx>
            <c:strRef>
              <c:f>'Ma trận giá bán vảy HDPE ÉP'!$AI$10</c:f>
              <c:strCache>
                <c:ptCount val="1"/>
                <c:pt idx="0">
                  <c:v>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multiLvlStrRef>
              <c:f>'Ma trận giá bán vảy HDPE ÉP'!$AJ$5:$AN$5</c:f>
            </c:multiLvlStrRef>
          </c:cat>
          <c:val>
            <c:numRef>
              <c:f>'Ma trận giá bán vảy HDPE ÉP'!$E$10:$L$10</c:f>
            </c:numRef>
          </c:val>
          <c:smooth val="0"/>
          <c:extLst>
            <c:ext xmlns:c16="http://schemas.microsoft.com/office/drawing/2014/chart" uri="{C3380CC4-5D6E-409C-BE32-E72D297353CC}">
              <c16:uniqueId val="{00000004-5B78-4B6E-B6F0-2DBBB1791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659700616124171"/>
          <c:y val="0.27793007939614484"/>
          <c:w val="0.11340299383875832"/>
          <c:h val="0.497088244176167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ÉP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2026 (USD/tấn)</a:t>
            </a:r>
            <a:endParaRPr lang="en-US" sz="24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050113415520691E-2"/>
          <c:y val="0.12606143734533315"/>
          <c:w val="0.82500047697884893"/>
          <c:h val="0.78219318345479416"/>
        </c:manualLayout>
      </c:layout>
      <c:areaChart>
        <c:grouping val="stacked"/>
        <c:varyColors val="0"/>
        <c:ser>
          <c:idx val="0"/>
          <c:order val="2"/>
          <c:tx>
            <c:strRef>
              <c:f>'Ma trận giá bán vảy HDPE ÉP'!$AI$8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giá bán vảy HDPE ÉP'!$EL$8:$EX$8</c:f>
              <c:numCache>
                <c:formatCode>"$"#,##0_);\("$"#,##0\)</c:formatCode>
                <c:ptCount val="13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  <c:pt idx="12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D-460D-9793-1B8A02640FC6}"/>
            </c:ext>
          </c:extLst>
        </c:ser>
        <c:ser>
          <c:idx val="3"/>
          <c:order val="3"/>
          <c:tx>
            <c:strRef>
              <c:f>'Ma trận giá bán vảy HDPE ÉP'!$AI$9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'Ma trận giá bán vảy HDPE ÉP'!$EL$9:$EX$9</c:f>
              <c:numCache>
                <c:formatCode>"$"#,##0_);\("$"#,##0\)</c:formatCode>
                <c:ptCount val="13"/>
                <c:pt idx="0">
                  <c:v>-165</c:v>
                </c:pt>
                <c:pt idx="1">
                  <c:v>-165</c:v>
                </c:pt>
                <c:pt idx="2">
                  <c:v>-165</c:v>
                </c:pt>
                <c:pt idx="3">
                  <c:v>-165</c:v>
                </c:pt>
                <c:pt idx="4">
                  <c:v>-165</c:v>
                </c:pt>
                <c:pt idx="5">
                  <c:v>-165</c:v>
                </c:pt>
                <c:pt idx="6">
                  <c:v>-165</c:v>
                </c:pt>
                <c:pt idx="7">
                  <c:v>-165</c:v>
                </c:pt>
                <c:pt idx="8">
                  <c:v>-165</c:v>
                </c:pt>
                <c:pt idx="9">
                  <c:v>-310</c:v>
                </c:pt>
                <c:pt idx="10">
                  <c:v>-585</c:v>
                </c:pt>
                <c:pt idx="11">
                  <c:v>-685</c:v>
                </c:pt>
                <c:pt idx="12">
                  <c:v>-735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2"/>
          <c:order val="0"/>
          <c:tx>
            <c:strRef>
              <c:f>'Ma trận giá bán vảy HDPE ÉP'!$AI$7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945651103942243E-2"/>
                  <c:y val="-2.3258152119669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6D-460D-9793-1B8A02640FC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6D-460D-9793-1B8A02640FC6}"/>
                </c:ext>
              </c:extLst>
            </c:dLbl>
            <c:dLbl>
              <c:idx val="9"/>
              <c:layout>
                <c:manualLayout>
                  <c:x val="-2.893874759130061E-2"/>
                  <c:y val="-3.5003518940102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6D-460D-9793-1B8A02640FC6}"/>
                </c:ext>
              </c:extLst>
            </c:dLbl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ÉP'!$EL$5:$EX$5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vảy HDPE ÉP'!$EL$7:$EX$7</c:f>
              <c:numCache>
                <c:formatCode>"$"#,##0_);\("$"#,##0\)</c:formatCode>
                <c:ptCount val="13"/>
                <c:pt idx="0">
                  <c:v>830</c:v>
                </c:pt>
                <c:pt idx="1">
                  <c:v>830</c:v>
                </c:pt>
                <c:pt idx="2">
                  <c:v>830</c:v>
                </c:pt>
                <c:pt idx="3">
                  <c:v>830</c:v>
                </c:pt>
                <c:pt idx="4">
                  <c:v>830</c:v>
                </c:pt>
                <c:pt idx="5">
                  <c:v>830</c:v>
                </c:pt>
                <c:pt idx="6">
                  <c:v>830</c:v>
                </c:pt>
                <c:pt idx="7">
                  <c:v>830</c:v>
                </c:pt>
                <c:pt idx="8">
                  <c:v>830</c:v>
                </c:pt>
                <c:pt idx="9">
                  <c:v>975</c:v>
                </c:pt>
                <c:pt idx="10">
                  <c:v>1250</c:v>
                </c:pt>
                <c:pt idx="11">
                  <c:v>1400</c:v>
                </c:pt>
                <c:pt idx="12">
                  <c:v>1450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76D-460D-9793-1B8A02640FC6}"/>
            </c:ext>
          </c:extLst>
        </c:ser>
        <c:ser>
          <c:idx val="11"/>
          <c:order val="1"/>
          <c:tx>
            <c:strRef>
              <c:f>'Ma trận giá bán vảy HDPE ÉP'!$AI$6</c:f>
              <c:strCache>
                <c:ptCount val="1"/>
                <c:pt idx="0">
                  <c:v>DTR 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ÉP'!$EL$5:$EX$5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vảy HDPE ÉP'!$EL$6:$EX$6</c:f>
              <c:numCache>
                <c:formatCode>"$"#,##0_);\("$"#,##0\)</c:formatCode>
                <c:ptCount val="13"/>
                <c:pt idx="0">
                  <c:v>665</c:v>
                </c:pt>
                <c:pt idx="1">
                  <c:v>665</c:v>
                </c:pt>
                <c:pt idx="2">
                  <c:v>665</c:v>
                </c:pt>
                <c:pt idx="3">
                  <c:v>665</c:v>
                </c:pt>
                <c:pt idx="4">
                  <c:v>665</c:v>
                </c:pt>
                <c:pt idx="5">
                  <c:v>665</c:v>
                </c:pt>
                <c:pt idx="6">
                  <c:v>665</c:v>
                </c:pt>
                <c:pt idx="7">
                  <c:v>665</c:v>
                </c:pt>
                <c:pt idx="8">
                  <c:v>665</c:v>
                </c:pt>
                <c:pt idx="9">
                  <c:v>665</c:v>
                </c:pt>
                <c:pt idx="10">
                  <c:v>665</c:v>
                </c:pt>
                <c:pt idx="11">
                  <c:v>715</c:v>
                </c:pt>
                <c:pt idx="12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6D-460D-9793-1B8A02640FC6}"/>
            </c:ext>
          </c:extLst>
        </c:ser>
        <c:ser>
          <c:idx val="1"/>
          <c:order val="5"/>
          <c:tx>
            <c:strRef>
              <c:f>'Ma trận giá bán vảy HDPE ÉP'!$AI$11</c:f>
              <c:strCache>
                <c:ptCount val="1"/>
                <c:pt idx="0">
                  <c:v>Điểm hòa vốn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[$$-10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giá bán vảy HDPE ÉP'!$EL$5:$EX$5</c:f>
              <c:strCache>
                <c:ptCount val="13"/>
                <c:pt idx="0">
                  <c:v> 01 </c:v>
                </c:pt>
                <c:pt idx="1">
                  <c:v> 02 </c:v>
                </c:pt>
                <c:pt idx="2">
                  <c:v> 03 </c:v>
                </c:pt>
                <c:pt idx="3">
                  <c:v> 04 </c:v>
                </c:pt>
                <c:pt idx="4">
                  <c:v> 05 </c:v>
                </c:pt>
                <c:pt idx="5">
                  <c:v> 06 </c:v>
                </c:pt>
                <c:pt idx="6">
                  <c:v> 07 </c:v>
                </c:pt>
                <c:pt idx="7">
                  <c:v> 08 </c:v>
                </c:pt>
                <c:pt idx="8">
                  <c:v> 09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</c:strCache>
            </c:strRef>
          </c:cat>
          <c:val>
            <c:numRef>
              <c:f>'Ma trận giá bán vảy HDPE ÉP'!$EL$11:$EX$11</c:f>
              <c:numCache>
                <c:formatCode>0</c:formatCode>
                <c:ptCount val="13"/>
                <c:pt idx="0">
                  <c:v>570.49450264840164</c:v>
                </c:pt>
                <c:pt idx="1">
                  <c:v>570.49450264840164</c:v>
                </c:pt>
                <c:pt idx="2">
                  <c:v>570.49450264840164</c:v>
                </c:pt>
                <c:pt idx="3">
                  <c:v>570.49450264840164</c:v>
                </c:pt>
                <c:pt idx="4">
                  <c:v>570.49450264840164</c:v>
                </c:pt>
                <c:pt idx="5">
                  <c:v>600.85846313754803</c:v>
                </c:pt>
                <c:pt idx="6">
                  <c:v>600.85846313754803</c:v>
                </c:pt>
                <c:pt idx="7">
                  <c:v>600.85846313754803</c:v>
                </c:pt>
                <c:pt idx="8">
                  <c:v>600.85846313754803</c:v>
                </c:pt>
                <c:pt idx="9">
                  <c:v>615.4949916983893</c:v>
                </c:pt>
                <c:pt idx="10">
                  <c:v>615.4949916983893</c:v>
                </c:pt>
                <c:pt idx="11">
                  <c:v>615.4949916983893</c:v>
                </c:pt>
                <c:pt idx="12">
                  <c:v>615.4949916983893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</c:lineChart>
      <c:lineChart>
        <c:grouping val="standard"/>
        <c:varyColors val="0"/>
        <c:ser>
          <c:idx val="5"/>
          <c:order val="4"/>
          <c:tx>
            <c:strRef>
              <c:f>'Ma trận giá bán vảy HDPE ÉP'!$AI$10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'[1]Ma trận giá bán vảy HDPE ÉP'!$AJ$5:$AN$5</c:f>
              <c:numCache>
                <c:formatCode>General</c:formatCode>
                <c:ptCount val="5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</c:numCache>
            </c:numRef>
          </c:cat>
          <c:val>
            <c:numRef>
              <c:f>'Ma trận giá bán vảy HDPE ÉP'!$EL$10:$EW$10</c:f>
              <c:numCache>
                <c:formatCode>0%</c:formatCode>
                <c:ptCount val="12"/>
                <c:pt idx="0">
                  <c:v>-0.19879518072289157</c:v>
                </c:pt>
                <c:pt idx="1">
                  <c:v>-0.19879518072289157</c:v>
                </c:pt>
                <c:pt idx="2">
                  <c:v>-0.19879518072289157</c:v>
                </c:pt>
                <c:pt idx="3">
                  <c:v>-0.19879518072289157</c:v>
                </c:pt>
                <c:pt idx="4">
                  <c:v>-0.19879518072289157</c:v>
                </c:pt>
                <c:pt idx="5">
                  <c:v>-0.19879518072289157</c:v>
                </c:pt>
                <c:pt idx="6">
                  <c:v>-0.19879518072289157</c:v>
                </c:pt>
                <c:pt idx="7">
                  <c:v>-0.19879518072289157</c:v>
                </c:pt>
                <c:pt idx="8">
                  <c:v>-0.19879518072289157</c:v>
                </c:pt>
                <c:pt idx="9">
                  <c:v>-0.31794871794871793</c:v>
                </c:pt>
                <c:pt idx="10">
                  <c:v>-0.46800000000000003</c:v>
                </c:pt>
                <c:pt idx="11">
                  <c:v>-0.48928571428571427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6D-460D-9793-1B8A02640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3151"/>
        <c:axId val="1366632735"/>
      </c:lineChart>
      <c:catAx>
        <c:axId val="191791673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500"/>
        </c:scaling>
        <c:delete val="0"/>
        <c:axPos val="l"/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valAx>
        <c:axId val="1366632735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366633151"/>
        <c:crosses val="max"/>
        <c:crossBetween val="between"/>
      </c:valAx>
      <c:catAx>
        <c:axId val="136663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6632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8659698837906831"/>
          <c:y val="0.2802559715305567"/>
          <c:w val="0.11340299383875832"/>
          <c:h val="0.44592030951289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0.png"/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0.png"/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chart" Target="../charts/chart14.xml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51</xdr:row>
      <xdr:rowOff>15240</xdr:rowOff>
    </xdr:from>
    <xdr:to>
      <xdr:col>10</xdr:col>
      <xdr:colOff>15240</xdr:colOff>
      <xdr:row>52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32757</xdr:colOff>
      <xdr:row>39</xdr:row>
      <xdr:rowOff>127952</xdr:rowOff>
    </xdr:from>
    <xdr:to>
      <xdr:col>15</xdr:col>
      <xdr:colOff>236220</xdr:colOff>
      <xdr:row>69</xdr:row>
      <xdr:rowOff>180974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164353</xdr:rowOff>
    </xdr:from>
    <xdr:to>
      <xdr:col>1</xdr:col>
      <xdr:colOff>552823</xdr:colOff>
      <xdr:row>69</xdr:row>
      <xdr:rowOff>89648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DCFC9A62-E23D-DA2F-29E7-B11556F6422D}"/>
            </a:ext>
          </a:extLst>
        </xdr:cNvPr>
        <xdr:cNvSpPr txBox="1"/>
      </xdr:nvSpPr>
      <xdr:spPr>
        <a:xfrm>
          <a:off x="0" y="12685059"/>
          <a:ext cx="791882" cy="2988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52294</xdr:colOff>
      <xdr:row>0</xdr:row>
      <xdr:rowOff>44824</xdr:rowOff>
    </xdr:from>
    <xdr:to>
      <xdr:col>15</xdr:col>
      <xdr:colOff>268742</xdr:colOff>
      <xdr:row>30</xdr:row>
      <xdr:rowOff>117751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C360F4-11D6-EACB-6A6D-D1C916B0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94" y="44824"/>
          <a:ext cx="14253683" cy="5675868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0.00929</cdr:y>
    </cdr:from>
    <cdr:to>
      <cdr:x>0.12649</cdr:x>
      <cdr:y>0.08319</cdr:y>
    </cdr:to>
    <cdr:sp macro="" textlink="">
      <cdr:nvSpPr>
        <cdr:cNvPr id="8" name="TextBox 5">
          <a:extLst xmlns:a="http://schemas.openxmlformats.org/drawingml/2006/main">
            <a:ext uri="{FF2B5EF4-FFF2-40B4-BE49-F238E27FC236}">
              <a16:creationId xmlns:a16="http://schemas.microsoft.com/office/drawing/2014/main" id="{453CAA98-2FDA-E320-5A36-8E26E8D377B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6665EA8-707E-45E5-BFF2-33C024F7FC55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146916</xdr:colOff>
      <xdr:row>47</xdr:row>
      <xdr:rowOff>29155</xdr:rowOff>
    </xdr:from>
    <xdr:to>
      <xdr:col>15</xdr:col>
      <xdr:colOff>342265</xdr:colOff>
      <xdr:row>74</xdr:row>
      <xdr:rowOff>140335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4FFDE34-B083-4952-8241-1A64E1264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127000</xdr:colOff>
      <xdr:row>0</xdr:row>
      <xdr:rowOff>79375</xdr:rowOff>
    </xdr:from>
    <xdr:to>
      <xdr:col>15</xdr:col>
      <xdr:colOff>321530</xdr:colOff>
      <xdr:row>30</xdr:row>
      <xdr:rowOff>4024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B29651-A653-3E67-FBDE-E1CDE29B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79375"/>
          <a:ext cx="14259780" cy="5401524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0.02408</cdr:y>
    </cdr:from>
    <cdr:to>
      <cdr:x>0.10708</cdr:x>
      <cdr:y>0.09959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F606B762-38CA-4FAE-8513-8C911B0BCEE2}"/>
            </a:ext>
          </a:extLst>
        </cdr:cNvPr>
        <cdr:cNvSpPr txBox="1"/>
      </cdr:nvSpPr>
      <cdr:spPr>
        <a:xfrm xmlns:a="http://schemas.openxmlformats.org/drawingml/2006/main">
          <a:off x="49827" y="130229"/>
          <a:ext cx="1444732" cy="40826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  <cdr:relSizeAnchor xmlns:cdr="http://schemas.openxmlformats.org/drawingml/2006/chartDrawing">
    <cdr:from>
      <cdr:x>0</cdr:x>
      <cdr:y>0.9232</cdr:y>
    </cdr:from>
    <cdr:to>
      <cdr:x>0.03884</cdr:x>
      <cdr:y>0.98965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6EAF4FAF-6BB6-6C35-3BCD-18B49BD38F96}"/>
            </a:ext>
          </a:extLst>
        </cdr:cNvPr>
        <cdr:cNvSpPr txBox="1"/>
      </cdr:nvSpPr>
      <cdr:spPr>
        <a:xfrm xmlns:a="http://schemas.openxmlformats.org/drawingml/2006/main">
          <a:off x="0" y="4991790"/>
          <a:ext cx="542059" cy="3593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888A144-5731-4D36-807B-DC680C09D852}"/>
            </a:ext>
          </a:extLst>
        </xdr:cNvPr>
        <xdr:cNvSpPr/>
      </xdr:nvSpPr>
      <xdr:spPr>
        <a:xfrm>
          <a:off x="9872980" y="9038590"/>
          <a:ext cx="524510" cy="37338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118341</xdr:colOff>
      <xdr:row>47</xdr:row>
      <xdr:rowOff>25980</xdr:rowOff>
    </xdr:from>
    <xdr:to>
      <xdr:col>15</xdr:col>
      <xdr:colOff>297180</xdr:colOff>
      <xdr:row>74</xdr:row>
      <xdr:rowOff>137160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D725A5E-65BE-4F91-9B14-56760890D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39687</xdr:rowOff>
    </xdr:from>
    <xdr:to>
      <xdr:col>15</xdr:col>
      <xdr:colOff>229962</xdr:colOff>
      <xdr:row>29</xdr:row>
      <xdr:rowOff>140802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74ED4D-8A61-84FD-BF6C-F0BD5B0C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9687"/>
          <a:ext cx="14247587" cy="5395428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0.0048</cdr:x>
      <cdr:y>0.0265</cdr:y>
    </cdr:from>
    <cdr:to>
      <cdr:x>0.14877</cdr:x>
      <cdr:y>0.08821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EF47B612-4BD5-4B24-8A98-A5F5A7E2FDC3}"/>
            </a:ext>
          </a:extLst>
        </cdr:cNvPr>
        <cdr:cNvSpPr txBox="1"/>
      </cdr:nvSpPr>
      <cdr:spPr>
        <a:xfrm xmlns:a="http://schemas.openxmlformats.org/drawingml/2006/main">
          <a:off x="68117" y="140932"/>
          <a:ext cx="2043097" cy="32818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THÁNG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0.0021</cdr:x>
      <cdr:y>0.92683</cdr:y>
    </cdr:from>
    <cdr:to>
      <cdr:x>0.04635</cdr:x>
      <cdr:y>0.99328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1E52F53-1CCF-9EED-E5C0-38C734972BC1}"/>
            </a:ext>
          </a:extLst>
        </cdr:cNvPr>
        <cdr:cNvSpPr txBox="1"/>
      </cdr:nvSpPr>
      <cdr:spPr>
        <a:xfrm xmlns:a="http://schemas.openxmlformats.org/drawingml/2006/main">
          <a:off x="29826" y="4929049"/>
          <a:ext cx="627935" cy="35339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49</xdr:row>
      <xdr:rowOff>15240</xdr:rowOff>
    </xdr:from>
    <xdr:to>
      <xdr:col>10</xdr:col>
      <xdr:colOff>15240</xdr:colOff>
      <xdr:row>50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4F1C112-E4D3-4ABB-B840-B6BFA202C6BC}"/>
            </a:ext>
          </a:extLst>
        </xdr:cNvPr>
        <xdr:cNvSpPr/>
      </xdr:nvSpPr>
      <xdr:spPr>
        <a:xfrm>
          <a:off x="9872980" y="9038590"/>
          <a:ext cx="524510" cy="37338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97174</xdr:colOff>
      <xdr:row>47</xdr:row>
      <xdr:rowOff>25980</xdr:rowOff>
    </xdr:from>
    <xdr:to>
      <xdr:col>15</xdr:col>
      <xdr:colOff>276013</xdr:colOff>
      <xdr:row>74</xdr:row>
      <xdr:rowOff>137160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ADD24436-1A82-45D7-9783-364E5234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45356</xdr:colOff>
      <xdr:row>0</xdr:row>
      <xdr:rowOff>90714</xdr:rowOff>
    </xdr:from>
    <xdr:to>
      <xdr:col>15</xdr:col>
      <xdr:colOff>232229</xdr:colOff>
      <xdr:row>30</xdr:row>
      <xdr:rowOff>12802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C7EF9-18F3-BCDD-671A-4A712B8E3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56" y="90714"/>
          <a:ext cx="14247587" cy="5364945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0.0048</cdr:x>
      <cdr:y>0.0265</cdr:y>
    </cdr:from>
    <cdr:to>
      <cdr:x>0.13254</cdr:x>
      <cdr:y>0.08821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EF47B612-4BD5-4B24-8A98-A5F5A7E2FDC3}"/>
            </a:ext>
          </a:extLst>
        </cdr:cNvPr>
        <cdr:cNvSpPr txBox="1"/>
      </cdr:nvSpPr>
      <cdr:spPr>
        <a:xfrm xmlns:a="http://schemas.openxmlformats.org/drawingml/2006/main">
          <a:off x="66854" y="143278"/>
          <a:ext cx="1780765" cy="3336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TUẦN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0.00747</cdr:x>
      <cdr:y>0.92683</cdr:y>
    </cdr:from>
    <cdr:to>
      <cdr:x>0.04635</cdr:x>
      <cdr:y>0.99328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1E52F53-1CCF-9EED-E5C0-38C734972BC1}"/>
            </a:ext>
          </a:extLst>
        </cdr:cNvPr>
        <cdr:cNvSpPr txBox="1"/>
      </cdr:nvSpPr>
      <cdr:spPr>
        <a:xfrm xmlns:a="http://schemas.openxmlformats.org/drawingml/2006/main">
          <a:off x="104140" y="5011420"/>
          <a:ext cx="542059" cy="3593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37701</xdr:colOff>
      <xdr:row>39</xdr:row>
      <xdr:rowOff>56148</xdr:rowOff>
    </xdr:from>
    <xdr:to>
      <xdr:col>22</xdr:col>
      <xdr:colOff>186266</xdr:colOff>
      <xdr:row>72</xdr:row>
      <xdr:rowOff>8467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119062</xdr:colOff>
      <xdr:row>68</xdr:row>
      <xdr:rowOff>158750</xdr:rowOff>
    </xdr:from>
    <xdr:to>
      <xdr:col>2</xdr:col>
      <xdr:colOff>249517</xdr:colOff>
      <xdr:row>71</xdr:row>
      <xdr:rowOff>23812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BECCE8C7-D539-0A4D-B24C-E445EF475248}"/>
            </a:ext>
          </a:extLst>
        </xdr:cNvPr>
        <xdr:cNvSpPr txBox="1"/>
      </xdr:nvSpPr>
      <xdr:spPr>
        <a:xfrm>
          <a:off x="119062" y="12565063"/>
          <a:ext cx="773393" cy="388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79375</xdr:colOff>
      <xdr:row>0</xdr:row>
      <xdr:rowOff>71437</xdr:rowOff>
    </xdr:from>
    <xdr:to>
      <xdr:col>22</xdr:col>
      <xdr:colOff>243100</xdr:colOff>
      <xdr:row>33</xdr:row>
      <xdr:rowOff>3182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2E88B6-C9F5-3722-1DC6-78AAAC60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" y="71437"/>
          <a:ext cx="15649788" cy="5956308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0.00325</cdr:x>
      <cdr:y>0.0253</cdr:y>
    </cdr:from>
    <cdr:to>
      <cdr:x>0.1153</cdr:x>
      <cdr:y>0.09215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87F31243-0BE0-8831-5DE6-0F9C67F80365}"/>
            </a:ext>
          </a:extLst>
        </cdr:cNvPr>
        <cdr:cNvSpPr txBox="1"/>
      </cdr:nvSpPr>
      <cdr:spPr>
        <a:xfrm xmlns:a="http://schemas.openxmlformats.org/drawingml/2006/main">
          <a:off x="50800" y="150226"/>
          <a:ext cx="1750006" cy="3968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49694</xdr:colOff>
      <xdr:row>41</xdr:row>
      <xdr:rowOff>253517</xdr:rowOff>
    </xdr:from>
    <xdr:to>
      <xdr:col>18</xdr:col>
      <xdr:colOff>1242060</xdr:colOff>
      <xdr:row>62</xdr:row>
      <xdr:rowOff>37148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8296BE9-2E7B-0B83-C54D-551D5A375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146050</xdr:colOff>
      <xdr:row>60</xdr:row>
      <xdr:rowOff>107951</xdr:rowOff>
    </xdr:from>
    <xdr:to>
      <xdr:col>1</xdr:col>
      <xdr:colOff>482600</xdr:colOff>
      <xdr:row>62</xdr:row>
      <xdr:rowOff>12701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A981D273-ADEE-C909-2A38-798E854CFD2D}"/>
            </a:ext>
          </a:extLst>
        </xdr:cNvPr>
        <xdr:cNvSpPr txBox="1"/>
      </xdr:nvSpPr>
      <xdr:spPr>
        <a:xfrm>
          <a:off x="146050" y="12979401"/>
          <a:ext cx="577850" cy="27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63500</xdr:rowOff>
    </xdr:from>
    <xdr:to>
      <xdr:col>18</xdr:col>
      <xdr:colOff>1270228</xdr:colOff>
      <xdr:row>30</xdr:row>
      <xdr:rowOff>93631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C18ABE-9B15-2586-AA9D-E483FE51F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63500"/>
          <a:ext cx="14351228" cy="549906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0.00355</cdr:x>
      <cdr:y>0.00928</cdr:y>
    </cdr:from>
    <cdr:to>
      <cdr:x>0.10646</cdr:x>
      <cdr:y>0.06821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F8AB38DF-847C-8271-69C0-44AFEC9B5EE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</xdr:colOff>
      <xdr:row>36</xdr:row>
      <xdr:rowOff>38100</xdr:rowOff>
    </xdr:from>
    <xdr:to>
      <xdr:col>22</xdr:col>
      <xdr:colOff>434340</xdr:colOff>
      <xdr:row>65</xdr:row>
      <xdr:rowOff>2540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7AB3081-0BA0-A31C-AC13-D6B2D97DE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62</xdr:row>
      <xdr:rowOff>120651</xdr:rowOff>
    </xdr:from>
    <xdr:to>
      <xdr:col>1</xdr:col>
      <xdr:colOff>279400</xdr:colOff>
      <xdr:row>64</xdr:row>
      <xdr:rowOff>107951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0F8682D4-A48C-40EF-9EA1-1A4CE9ECFF5F}"/>
            </a:ext>
          </a:extLst>
        </xdr:cNvPr>
        <xdr:cNvSpPr txBox="1"/>
      </xdr:nvSpPr>
      <xdr:spPr>
        <a:xfrm>
          <a:off x="76200" y="11537951"/>
          <a:ext cx="8255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39687</xdr:rowOff>
    </xdr:from>
    <xdr:to>
      <xdr:col>22</xdr:col>
      <xdr:colOff>461083</xdr:colOff>
      <xdr:row>29</xdr:row>
      <xdr:rowOff>18871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434FF0-EAB8-6624-2513-19BC2F239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9687"/>
          <a:ext cx="14034208" cy="5273497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0.00361</cdr:x>
      <cdr:y>0.00958</cdr:y>
    </cdr:from>
    <cdr:to>
      <cdr:x>0.12785</cdr:x>
      <cdr:y>0.08573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93E82521-5BAB-A6F4-A840-9BCCCCEFFC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21061</xdr:colOff>
      <xdr:row>42</xdr:row>
      <xdr:rowOff>3810</xdr:rowOff>
    </xdr:from>
    <xdr:to>
      <xdr:col>22</xdr:col>
      <xdr:colOff>554462</xdr:colOff>
      <xdr:row>72</xdr:row>
      <xdr:rowOff>64770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35AAE1E-D941-E436-B4F3-02D31FD21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69</xdr:row>
      <xdr:rowOff>177800</xdr:rowOff>
    </xdr:from>
    <xdr:to>
      <xdr:col>1</xdr:col>
      <xdr:colOff>31750</xdr:colOff>
      <xdr:row>71</xdr:row>
      <xdr:rowOff>63500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AEEDF998-4077-4AEF-BBCB-6DE93128F670}"/>
            </a:ext>
          </a:extLst>
        </xdr:cNvPr>
        <xdr:cNvSpPr txBox="1"/>
      </xdr:nvSpPr>
      <xdr:spPr>
        <a:xfrm>
          <a:off x="76200" y="12884150"/>
          <a:ext cx="57785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39687</xdr:colOff>
      <xdr:row>0</xdr:row>
      <xdr:rowOff>79375</xdr:rowOff>
    </xdr:from>
    <xdr:to>
      <xdr:col>22</xdr:col>
      <xdr:colOff>589563</xdr:colOff>
      <xdr:row>30</xdr:row>
      <xdr:rowOff>156437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242C73-B76D-3BB1-06ED-087FAC5F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87" y="79375"/>
          <a:ext cx="14265876" cy="555393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0.00355</cdr:x>
      <cdr:y>0.0091</cdr:y>
    </cdr:from>
    <cdr:to>
      <cdr:x>0.10645</cdr:x>
      <cdr:y>0.06688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9D347CCA-8B3E-EA10-22F7-CFF6E28487A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22413</xdr:colOff>
      <xdr:row>36</xdr:row>
      <xdr:rowOff>17446</xdr:rowOff>
    </xdr:from>
    <xdr:to>
      <xdr:col>22</xdr:col>
      <xdr:colOff>105834</xdr:colOff>
      <xdr:row>65</xdr:row>
      <xdr:rowOff>90893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C698DB-1C2E-4926-A02B-BCB665426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988A3-21E3-4DA2-9A8F-51BDEBF6C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59765</xdr:rowOff>
    </xdr:from>
    <xdr:to>
      <xdr:col>1</xdr:col>
      <xdr:colOff>205441</xdr:colOff>
      <xdr:row>59</xdr:row>
      <xdr:rowOff>104588</xdr:rowOff>
    </xdr:to>
    <xdr:sp macro="" textlink="">
      <xdr:nvSpPr>
        <xdr:cNvPr id="2" name="TextBox 14">
          <a:extLst>
            <a:ext uri="{FF2B5EF4-FFF2-40B4-BE49-F238E27FC236}">
              <a16:creationId xmlns:a16="http://schemas.microsoft.com/office/drawing/2014/main" id="{B33E0DDF-ECE2-4ADF-93A2-FF8F6AD9EEB5}"/>
            </a:ext>
          </a:extLst>
        </xdr:cNvPr>
        <xdr:cNvSpPr txBox="1"/>
      </xdr:nvSpPr>
      <xdr:spPr>
        <a:xfrm>
          <a:off x="0" y="10705353"/>
          <a:ext cx="825500" cy="41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52294</xdr:colOff>
      <xdr:row>0</xdr:row>
      <xdr:rowOff>52294</xdr:rowOff>
    </xdr:from>
    <xdr:to>
      <xdr:col>22</xdr:col>
      <xdr:colOff>146225</xdr:colOff>
      <xdr:row>29</xdr:row>
      <xdr:rowOff>135187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59B07B-7DD1-A1A8-7CC3-805AA6E69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294" y="52294"/>
          <a:ext cx="13570872" cy="5499069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0.0037</cdr:x>
      <cdr:y>0.00925</cdr:y>
    </cdr:from>
    <cdr:to>
      <cdr:x>0.13121</cdr:x>
      <cdr:y>0.08284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A5435E4B-B66F-CE51-BED8-6F916E1B878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58270</xdr:colOff>
      <xdr:row>39</xdr:row>
      <xdr:rowOff>62144</xdr:rowOff>
    </xdr:from>
    <xdr:to>
      <xdr:col>23</xdr:col>
      <xdr:colOff>81279</xdr:colOff>
      <xdr:row>69</xdr:row>
      <xdr:rowOff>45720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F102FEF2-1EDE-4341-92B3-CF504E0FA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445C0-A81B-9086-C4D5-86956653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66</xdr:row>
      <xdr:rowOff>133350</xdr:rowOff>
    </xdr:from>
    <xdr:to>
      <xdr:col>1</xdr:col>
      <xdr:colOff>101600</xdr:colOff>
      <xdr:row>68</xdr:row>
      <xdr:rowOff>120650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18076F62-E9E0-4BDA-94A8-6F327147C465}"/>
            </a:ext>
          </a:extLst>
        </xdr:cNvPr>
        <xdr:cNvSpPr txBox="1"/>
      </xdr:nvSpPr>
      <xdr:spPr>
        <a:xfrm>
          <a:off x="114300" y="12287250"/>
          <a:ext cx="609600" cy="35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55563</xdr:rowOff>
    </xdr:from>
    <xdr:to>
      <xdr:col>23</xdr:col>
      <xdr:colOff>95598</xdr:colOff>
      <xdr:row>30</xdr:row>
      <xdr:rowOff>53370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35B987-3DE9-DC22-B9CE-340AAFE7C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" y="55563"/>
          <a:ext cx="14271973" cy="5474682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</xdr:colOff>
      <xdr:row>39</xdr:row>
      <xdr:rowOff>62144</xdr:rowOff>
    </xdr:from>
    <xdr:to>
      <xdr:col>23</xdr:col>
      <xdr:colOff>62229</xdr:colOff>
      <xdr:row>69</xdr:row>
      <xdr:rowOff>45720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3D15445-7E55-4ABA-BB02-DC004F4CA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96763</xdr:colOff>
      <xdr:row>66</xdr:row>
      <xdr:rowOff>133350</xdr:rowOff>
    </xdr:from>
    <xdr:to>
      <xdr:col>1</xdr:col>
      <xdr:colOff>163285</xdr:colOff>
      <xdr:row>68</xdr:row>
      <xdr:rowOff>163286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F8C9E9EE-A30B-4FC6-ACC8-DDE3B5691798}"/>
            </a:ext>
          </a:extLst>
        </xdr:cNvPr>
        <xdr:cNvSpPr txBox="1"/>
      </xdr:nvSpPr>
      <xdr:spPr>
        <a:xfrm>
          <a:off x="96763" y="12287250"/>
          <a:ext cx="688822" cy="3982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71437</xdr:rowOff>
    </xdr:from>
    <xdr:to>
      <xdr:col>23</xdr:col>
      <xdr:colOff>85819</xdr:colOff>
      <xdr:row>30</xdr:row>
      <xdr:rowOff>69244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963EED-A077-A6CB-B48C-0AE9356E7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71437"/>
          <a:ext cx="14278069" cy="5474682"/>
        </a:xfrm>
        <a:prstGeom prst="rect">
          <a:avLst/>
        </a:prstGeom>
      </xdr:spPr>
    </xdr:pic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0.11466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634" y="50589"/>
          <a:ext cx="1589368" cy="3215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39220</xdr:colOff>
      <xdr:row>39</xdr:row>
      <xdr:rowOff>62144</xdr:rowOff>
    </xdr:from>
    <xdr:to>
      <xdr:col>23</xdr:col>
      <xdr:colOff>136072</xdr:colOff>
      <xdr:row>69</xdr:row>
      <xdr:rowOff>45720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E2ABA9BD-FA2A-4882-ABF2-E55D11EE8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0FEF9-358E-458F-91A1-D89A4BB6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</xdr:row>
      <xdr:rowOff>133350</xdr:rowOff>
    </xdr:from>
    <xdr:to>
      <xdr:col>1</xdr:col>
      <xdr:colOff>163286</xdr:colOff>
      <xdr:row>68</xdr:row>
      <xdr:rowOff>163286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62336F63-8D6E-402E-B47C-B3E6C8731AC3}"/>
            </a:ext>
          </a:extLst>
        </xdr:cNvPr>
        <xdr:cNvSpPr txBox="1"/>
      </xdr:nvSpPr>
      <xdr:spPr>
        <a:xfrm>
          <a:off x="0" y="12107636"/>
          <a:ext cx="789215" cy="3927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 editAs="oneCell">
    <xdr:from>
      <xdr:col>0</xdr:col>
      <xdr:colOff>72571</xdr:colOff>
      <xdr:row>0</xdr:row>
      <xdr:rowOff>72571</xdr:rowOff>
    </xdr:from>
    <xdr:to>
      <xdr:col>23</xdr:col>
      <xdr:colOff>187313</xdr:colOff>
      <xdr:row>30</xdr:row>
      <xdr:rowOff>67817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97A339-8515-DA33-9EED-205CEB3BA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71" y="72571"/>
          <a:ext cx="14302456" cy="5438103"/>
        </a:xfrm>
        <a:prstGeom prst="rect">
          <a:avLst/>
        </a:prstGeom>
      </xdr:spPr>
    </xdr:pic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83670</xdr:colOff>
      <xdr:row>39</xdr:row>
      <xdr:rowOff>46269</xdr:rowOff>
    </xdr:from>
    <xdr:to>
      <xdr:col>23</xdr:col>
      <xdr:colOff>106679</xdr:colOff>
      <xdr:row>69</xdr:row>
      <xdr:rowOff>29845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4EFD6D8-099D-4448-BF63-82A9D895D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A98222-458F-464E-997B-E27031AF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150815</xdr:colOff>
      <xdr:row>68</xdr:row>
      <xdr:rowOff>142875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885B55A3-DFAC-4BA9-939E-8E2E63B9FA6A}"/>
            </a:ext>
          </a:extLst>
        </xdr:cNvPr>
        <xdr:cNvSpPr txBox="1"/>
      </xdr:nvSpPr>
      <xdr:spPr>
        <a:xfrm>
          <a:off x="0" y="12231688"/>
          <a:ext cx="769940" cy="325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  <xdr:twoCellAnchor editAs="oneCell">
    <xdr:from>
      <xdr:col>0</xdr:col>
      <xdr:colOff>71438</xdr:colOff>
      <xdr:row>0</xdr:row>
      <xdr:rowOff>55563</xdr:rowOff>
    </xdr:from>
    <xdr:to>
      <xdr:col>23</xdr:col>
      <xdr:colOff>103536</xdr:colOff>
      <xdr:row>30</xdr:row>
      <xdr:rowOff>47274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0F7026-5CAF-5135-6C95-509C5C0C8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8" y="55563"/>
          <a:ext cx="14271973" cy="5468586"/>
        </a:xfrm>
        <a:prstGeom prst="rect">
          <a:avLst/>
        </a:prstGeom>
      </xdr:spPr>
    </xdr:pic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0.11021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749" y="50784"/>
          <a:ext cx="1529281" cy="3227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9524</xdr:colOff>
      <xdr:row>0</xdr:row>
      <xdr:rowOff>133333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40806-80EF-4355-9B75-0CE1D42A5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4" cy="133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1</xdr:rowOff>
    </xdr:from>
    <xdr:to>
      <xdr:col>1</xdr:col>
      <xdr:colOff>95251</xdr:colOff>
      <xdr:row>68</xdr:row>
      <xdr:rowOff>63500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562E2A0B-DD71-4662-84E1-F9F59AD4D9D4}"/>
            </a:ext>
          </a:extLst>
        </xdr:cNvPr>
        <xdr:cNvSpPr txBox="1"/>
      </xdr:nvSpPr>
      <xdr:spPr>
        <a:xfrm>
          <a:off x="0" y="12231689"/>
          <a:ext cx="714376" cy="2460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xdr:txBody>
    </xdr:sp>
    <xdr:clientData/>
  </xdr:twoCellAnchor>
  <xdr:twoCellAnchor>
    <xdr:from>
      <xdr:col>0</xdr:col>
      <xdr:colOff>111125</xdr:colOff>
      <xdr:row>38</xdr:row>
      <xdr:rowOff>63500</xdr:rowOff>
    </xdr:from>
    <xdr:to>
      <xdr:col>23</xdr:col>
      <xdr:colOff>134134</xdr:colOff>
      <xdr:row>68</xdr:row>
      <xdr:rowOff>47076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5C72F64A-EA19-4F74-8BCE-6BEEAF39B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79375</xdr:colOff>
      <xdr:row>0</xdr:row>
      <xdr:rowOff>63500</xdr:rowOff>
    </xdr:from>
    <xdr:to>
      <xdr:col>23</xdr:col>
      <xdr:colOff>117569</xdr:colOff>
      <xdr:row>30</xdr:row>
      <xdr:rowOff>61307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F19071-3A2B-32C1-6998-07F98A99A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75" y="63500"/>
          <a:ext cx="14278069" cy="5474682"/>
        </a:xfrm>
        <a:prstGeom prst="rect">
          <a:avLst/>
        </a:prstGeom>
      </xdr:spPr>
    </xdr:pic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0.00354</cdr:x>
      <cdr:y>0.00922</cdr:y>
    </cdr:from>
    <cdr:to>
      <cdr:x>0.10623</cdr:x>
      <cdr:y>0.06782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D4537744-D029-8E0C-A1CA-88B9CADAE2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472171" cy="32274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thanhdiem/Desktop/Copy%20of%20DTR-giaban.xlsx" TargetMode="External"/><Relationship Id="rId2" Type="http://schemas.openxmlformats.org/officeDocument/2006/relationships/externalLinkPath" Target="file:///C:\Users\thanhdiem\Desktop\Copy%20of%20DTR-giaban.xlsx" TargetMode="External"/><Relationship Id="rId1" Type="http://schemas.openxmlformats.org/officeDocument/2006/relationships/externalLinkPath" Target="/Users/thanhdiem/Desktop/Copy%20of%20DTR-giab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T-tháng"/>
      <sheetName val="PET_tuan"/>
      <sheetName val="Ma trận PET"/>
      <sheetName val="PET Fiber_tháng"/>
      <sheetName val="PET Fiber_tuan "/>
      <sheetName val="Ma trận PET- Fiber"/>
      <sheetName val="HD thổi-tháng"/>
      <sheetName val="HD thổi_tuần"/>
      <sheetName val="Ma trận HDPE thổi"/>
      <sheetName val="HD Ép-tháng"/>
      <sheetName val="HD Ép_tuần"/>
      <sheetName val="Ma trận HDPE Ép"/>
      <sheetName val="PP-tháng"/>
      <sheetName val="PP_tuần"/>
      <sheetName val="Ma trận giá bán rPP"/>
      <sheetName val="Vảy PP_tháng"/>
      <sheetName val="Vảy PP_tuần"/>
      <sheetName val="Ma trận giá bán vảy PP"/>
      <sheetName val="Vảy HD ÉP_tháng"/>
      <sheetName val="Vảy HD ÉP_tuần"/>
      <sheetName val="Ma trận giá bán vảy HDPE É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AJ5">
            <v>48</v>
          </cell>
          <cell r="AK5">
            <v>49</v>
          </cell>
          <cell r="AL5">
            <v>50</v>
          </cell>
          <cell r="AM5">
            <v>51</v>
          </cell>
          <cell r="AN5">
            <v>52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ễm, Nguyễn Thị Thanh" id="{E5586E81-B30F-48FD-B7B4-633A69150A0A}" userId="S::NguyenThiThanhDiem@duytanrecycling.com::a4911443-60e5-4065-81ee-41794ea83c81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R6" dT="2024-01-29T04:06:31.07" personId="{E5586E81-B30F-48FD-B7B4-633A69150A0A}" id="{E38F3020-B9E2-458C-8362-614AD84E00F2}">
    <text>Giá WSS01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9608-68F9-4B19-A020-883A0124F48F}">
  <dimension ref="A1:KL46"/>
  <sheetViews>
    <sheetView showGridLines="0" topLeftCell="D3" zoomScale="90" zoomScaleNormal="90" workbookViewId="0">
      <pane xSplit="3" ySplit="3" topLeftCell="BQ6" activePane="bottomRight" state="frozen"/>
      <selection activeCell="HH13" sqref="HH13"/>
      <selection pane="topRight" activeCell="HH13" sqref="HH13"/>
      <selection pane="bottomLeft" activeCell="HH13" sqref="HH13"/>
      <selection pane="bottomRight" activeCell="BY16" sqref="BY16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2.81640625" style="1" hidden="1" customWidth="1"/>
    <col min="7" max="7" width="10.54296875" style="1" hidden="1" customWidth="1"/>
    <col min="8" max="8" width="28.1796875" style="1" bestFit="1" customWidth="1"/>
    <col min="9" max="19" width="8.1796875" style="1" hidden="1" customWidth="1"/>
    <col min="20" max="20" width="9.81640625" style="1" hidden="1" customWidth="1"/>
    <col min="21" max="21" width="8.1796875" style="1" hidden="1" customWidth="1"/>
    <col min="22" max="22" width="9.1796875" style="1" hidden="1" customWidth="1"/>
    <col min="23" max="23" width="8.1796875" style="1" hidden="1" customWidth="1"/>
    <col min="24" max="28" width="8.453125" style="1" hidden="1" customWidth="1"/>
    <col min="29" max="29" width="12" style="1" hidden="1" customWidth="1"/>
    <col min="30" max="31" width="8.453125" style="1" hidden="1" customWidth="1"/>
    <col min="32" max="50" width="9" style="1" hidden="1" customWidth="1"/>
    <col min="51" max="61" width="8.453125" style="1" hidden="1" customWidth="1"/>
    <col min="62" max="77" width="8.453125" style="1" customWidth="1"/>
    <col min="78" max="79" width="9.1796875" style="1"/>
    <col min="80" max="80" width="0" style="1" hidden="1" customWidth="1"/>
    <col min="81" max="81" width="26.1796875" style="1" customWidth="1"/>
    <col min="82" max="104" width="8.1796875" style="1" hidden="1" customWidth="1"/>
    <col min="105" max="133" width="9.1796875" style="1" hidden="1" customWidth="1"/>
    <col min="134" max="134" width="10.81640625" style="1" hidden="1" customWidth="1"/>
    <col min="135" max="135" width="10.1796875" style="1" hidden="1" customWidth="1"/>
    <col min="136" max="136" width="9.81640625" style="1" hidden="1" customWidth="1"/>
    <col min="137" max="189" width="0" style="1" hidden="1" customWidth="1"/>
    <col min="190" max="234" width="7.1796875" style="1" hidden="1" customWidth="1"/>
    <col min="235" max="285" width="7.81640625" style="1" hidden="1" customWidth="1"/>
    <col min="286" max="290" width="7.81640625" style="1" customWidth="1"/>
    <col min="291" max="16384" width="9.1796875" style="1"/>
  </cols>
  <sheetData>
    <row r="1" spans="1:298" hidden="1"/>
    <row r="2" spans="1:298" hidden="1"/>
    <row r="3" spans="1:298" ht="19.399999999999999" customHeight="1">
      <c r="D3" s="15" t="s">
        <v>58</v>
      </c>
      <c r="F3" s="15"/>
      <c r="H3" s="15"/>
      <c r="AL3" s="170">
        <v>2023</v>
      </c>
      <c r="AX3" s="170">
        <v>2024</v>
      </c>
      <c r="BJ3" s="170">
        <v>2025</v>
      </c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ED3" s="170">
        <v>2023</v>
      </c>
      <c r="EH3" s="116" t="s">
        <v>76</v>
      </c>
      <c r="EI3" s="116" t="s">
        <v>79</v>
      </c>
      <c r="EJ3" s="116" t="s">
        <v>80</v>
      </c>
      <c r="EK3" s="116" t="s">
        <v>86</v>
      </c>
      <c r="EL3" s="116">
        <v>7.03</v>
      </c>
      <c r="EM3" s="116">
        <v>14.03</v>
      </c>
      <c r="EN3" s="116">
        <v>21.03</v>
      </c>
      <c r="EO3" s="116">
        <v>28.03</v>
      </c>
      <c r="EP3" s="116">
        <v>4.04</v>
      </c>
      <c r="EQ3" s="116">
        <v>11.04</v>
      </c>
      <c r="ER3" s="116">
        <v>18.04</v>
      </c>
      <c r="ES3" s="116">
        <v>25.04</v>
      </c>
      <c r="ET3" s="116">
        <v>2.0499999999999998</v>
      </c>
      <c r="EU3" s="116">
        <v>9.0500000000000007</v>
      </c>
      <c r="EV3" s="1">
        <v>16.05</v>
      </c>
      <c r="EW3" s="116">
        <v>23.05</v>
      </c>
      <c r="EX3" s="116">
        <v>30.05</v>
      </c>
      <c r="EY3" s="116">
        <v>6.06</v>
      </c>
      <c r="EZ3" s="116">
        <v>13.06</v>
      </c>
      <c r="FA3" s="116">
        <v>20.059999999999999</v>
      </c>
      <c r="FB3" s="116"/>
      <c r="FC3" s="116"/>
      <c r="GC3" s="170">
        <v>2024</v>
      </c>
      <c r="IA3" s="170">
        <v>2025</v>
      </c>
    </row>
    <row r="4" spans="1:298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23147</v>
      </c>
      <c r="J4" s="74">
        <v>23135</v>
      </c>
      <c r="K4" s="74">
        <v>23142</v>
      </c>
      <c r="L4" s="74">
        <v>23194</v>
      </c>
      <c r="M4" s="74">
        <v>23204</v>
      </c>
      <c r="N4" s="74">
        <v>23160</v>
      </c>
      <c r="O4" s="74">
        <v>23141</v>
      </c>
      <c r="P4" s="74">
        <v>23161</v>
      </c>
      <c r="Q4" s="74">
        <v>23161</v>
      </c>
      <c r="R4" s="74">
        <v>23123</v>
      </c>
      <c r="S4" s="74">
        <v>23156</v>
      </c>
      <c r="T4" s="74">
        <v>23126</v>
      </c>
      <c r="U4" s="74">
        <v>23180</v>
      </c>
      <c r="V4" s="74">
        <v>23108</v>
      </c>
      <c r="W4" s="74">
        <f>V4</f>
        <v>23108</v>
      </c>
      <c r="X4" s="74">
        <f>W4</f>
        <v>23108</v>
      </c>
      <c r="Y4" s="74">
        <f>X4</f>
        <v>23108</v>
      </c>
      <c r="Z4" s="74">
        <v>23150</v>
      </c>
      <c r="AA4" s="74">
        <v>23150</v>
      </c>
      <c r="AB4" s="74">
        <v>23150</v>
      </c>
      <c r="AC4" s="74">
        <v>23150</v>
      </c>
      <c r="AD4" s="74">
        <v>23500</v>
      </c>
      <c r="AE4" s="74">
        <v>23500</v>
      </c>
      <c r="AF4" s="74">
        <v>23500</v>
      </c>
      <c r="AG4" s="74">
        <v>23500</v>
      </c>
      <c r="AH4" s="74">
        <v>23500</v>
      </c>
      <c r="AI4" s="74">
        <v>23500</v>
      </c>
      <c r="AJ4" s="74">
        <v>24600</v>
      </c>
      <c r="AK4" s="74">
        <v>24000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DA4" s="74">
        <v>23150</v>
      </c>
      <c r="DB4" s="74">
        <v>23150</v>
      </c>
      <c r="DC4" s="74">
        <v>23150</v>
      </c>
      <c r="DD4" s="74">
        <v>23150</v>
      </c>
      <c r="DE4" s="74">
        <v>23150</v>
      </c>
      <c r="DF4" s="74">
        <v>23150</v>
      </c>
      <c r="DG4" s="74">
        <v>23150</v>
      </c>
      <c r="DH4" s="74">
        <v>23150</v>
      </c>
      <c r="DI4" s="74">
        <v>23150</v>
      </c>
      <c r="DJ4" s="74">
        <v>23150</v>
      </c>
      <c r="DK4" s="74">
        <v>23150</v>
      </c>
      <c r="DL4" s="74">
        <v>23150</v>
      </c>
      <c r="DM4" s="74">
        <v>23500</v>
      </c>
      <c r="DN4" s="74">
        <v>23500</v>
      </c>
      <c r="DO4" s="74">
        <v>23500</v>
      </c>
      <c r="DP4" s="74">
        <v>23500</v>
      </c>
      <c r="DQ4" s="74">
        <v>23500</v>
      </c>
      <c r="DR4" s="74">
        <v>23500</v>
      </c>
      <c r="DS4" s="74">
        <v>23500</v>
      </c>
      <c r="DT4" s="74">
        <v>23500</v>
      </c>
      <c r="DU4" s="74">
        <v>24600</v>
      </c>
      <c r="DV4" s="74">
        <v>24600</v>
      </c>
      <c r="DW4" s="74">
        <v>24600</v>
      </c>
      <c r="DX4" s="74">
        <v>24600</v>
      </c>
      <c r="DY4" s="74">
        <v>24600</v>
      </c>
      <c r="DZ4" s="74">
        <v>24000</v>
      </c>
      <c r="EA4" s="74">
        <v>24000</v>
      </c>
      <c r="EB4" s="74">
        <v>24000</v>
      </c>
      <c r="EC4" s="74">
        <v>24000</v>
      </c>
      <c r="ED4" s="74">
        <v>24000</v>
      </c>
      <c r="EE4" s="74">
        <v>24000</v>
      </c>
      <c r="EF4" s="74">
        <v>24000</v>
      </c>
      <c r="EG4" s="74">
        <v>24000</v>
      </c>
      <c r="EH4" s="74">
        <v>24000</v>
      </c>
      <c r="EI4" s="74">
        <v>24000</v>
      </c>
      <c r="EJ4" s="74">
        <v>24000</v>
      </c>
      <c r="EK4" s="74">
        <v>24000</v>
      </c>
      <c r="EL4" s="74">
        <v>24000</v>
      </c>
      <c r="EM4" s="74">
        <v>24000</v>
      </c>
      <c r="EN4" s="74">
        <v>24000</v>
      </c>
      <c r="EO4" s="74">
        <v>24000</v>
      </c>
      <c r="EP4" s="74">
        <v>24000</v>
      </c>
      <c r="EQ4" s="74">
        <v>24000</v>
      </c>
      <c r="ER4" s="74">
        <v>24000</v>
      </c>
      <c r="ES4" s="74">
        <v>24000</v>
      </c>
      <c r="ET4" s="74">
        <v>24000</v>
      </c>
      <c r="EU4" s="74">
        <v>24000</v>
      </c>
      <c r="EV4" s="74">
        <v>24000</v>
      </c>
      <c r="EW4" s="74">
        <v>24000</v>
      </c>
      <c r="EX4" s="74">
        <v>24000</v>
      </c>
      <c r="EY4" s="74">
        <v>24000</v>
      </c>
      <c r="EZ4" s="74">
        <v>24000</v>
      </c>
      <c r="FA4" s="74">
        <v>24000</v>
      </c>
      <c r="FB4" s="74">
        <v>24000</v>
      </c>
      <c r="FC4" s="74">
        <v>24000</v>
      </c>
      <c r="FD4" s="74">
        <v>24000</v>
      </c>
      <c r="FE4" s="74">
        <v>24000</v>
      </c>
      <c r="FF4" s="74">
        <v>24000</v>
      </c>
      <c r="FG4" s="74">
        <v>24000</v>
      </c>
      <c r="FH4" s="74">
        <v>24000</v>
      </c>
      <c r="FI4" s="74">
        <v>24000</v>
      </c>
      <c r="FJ4" s="74">
        <v>24000</v>
      </c>
      <c r="FK4" s="74">
        <v>24000</v>
      </c>
      <c r="FL4" s="74">
        <v>24000</v>
      </c>
      <c r="FM4" s="74">
        <v>24000</v>
      </c>
      <c r="FN4" s="74">
        <v>24000</v>
      </c>
      <c r="FO4" s="74">
        <v>24000</v>
      </c>
      <c r="FP4" s="74">
        <v>24000</v>
      </c>
      <c r="FQ4" s="74">
        <v>24000</v>
      </c>
      <c r="FR4" s="74">
        <v>24000</v>
      </c>
      <c r="FS4" s="74">
        <v>24000</v>
      </c>
      <c r="FT4" s="74">
        <v>24000</v>
      </c>
      <c r="FU4" s="74">
        <v>24000</v>
      </c>
      <c r="FV4" s="74">
        <v>24000</v>
      </c>
      <c r="FW4" s="74">
        <v>24000</v>
      </c>
      <c r="FX4" s="74">
        <v>24000</v>
      </c>
      <c r="FY4" s="74">
        <v>24000</v>
      </c>
      <c r="FZ4" s="74">
        <v>24000</v>
      </c>
      <c r="GA4" s="74">
        <v>24000</v>
      </c>
      <c r="GB4" s="74">
        <v>24000</v>
      </c>
      <c r="GC4" s="74">
        <v>24000</v>
      </c>
      <c r="GD4" s="74">
        <v>24000</v>
      </c>
      <c r="GE4" s="74">
        <v>24000</v>
      </c>
      <c r="GF4" s="74">
        <v>24000</v>
      </c>
      <c r="GG4" s="74">
        <v>24000</v>
      </c>
      <c r="GH4" s="74">
        <v>24000</v>
      </c>
      <c r="GI4" s="74">
        <v>24000</v>
      </c>
      <c r="GJ4" s="74">
        <v>24000</v>
      </c>
      <c r="GK4" s="74">
        <v>24000</v>
      </c>
      <c r="GL4" s="74">
        <v>24000</v>
      </c>
      <c r="GM4" s="74">
        <v>24000</v>
      </c>
      <c r="GN4" s="74">
        <v>24000</v>
      </c>
      <c r="GO4" s="74">
        <v>24000</v>
      </c>
      <c r="GP4" s="74">
        <v>24000</v>
      </c>
      <c r="GQ4" s="74">
        <v>24000</v>
      </c>
      <c r="GR4" s="74"/>
      <c r="GS4" s="74"/>
      <c r="GT4" s="74"/>
      <c r="GU4" s="74"/>
      <c r="JZ4" s="178">
        <v>2026</v>
      </c>
    </row>
    <row r="5" spans="1:298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33" t="s">
        <v>8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Q5" s="33" t="s">
        <v>16</v>
      </c>
      <c r="R5" s="33" t="s">
        <v>17</v>
      </c>
      <c r="S5" s="33" t="s">
        <v>18</v>
      </c>
      <c r="T5" s="33" t="s">
        <v>19</v>
      </c>
      <c r="U5" s="33">
        <v>1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 t="s">
        <v>63</v>
      </c>
      <c r="AD5" s="33">
        <v>9</v>
      </c>
      <c r="AE5" s="86">
        <v>10</v>
      </c>
      <c r="AF5" s="89" t="s">
        <v>65</v>
      </c>
      <c r="AG5" s="89" t="s">
        <v>66</v>
      </c>
      <c r="AH5" s="89" t="s">
        <v>67</v>
      </c>
      <c r="AI5" s="89" t="s">
        <v>68</v>
      </c>
      <c r="AJ5" s="86">
        <v>11</v>
      </c>
      <c r="AK5" s="86">
        <v>12</v>
      </c>
      <c r="AL5" s="86" t="s">
        <v>75</v>
      </c>
      <c r="AM5" s="86">
        <v>2</v>
      </c>
      <c r="AN5" s="86">
        <v>3</v>
      </c>
      <c r="AO5" s="86">
        <v>4</v>
      </c>
      <c r="AP5" s="86">
        <v>5</v>
      </c>
      <c r="AQ5" s="86">
        <v>6</v>
      </c>
      <c r="AR5" s="86">
        <v>7</v>
      </c>
      <c r="AS5" s="86">
        <v>8</v>
      </c>
      <c r="AT5" s="86">
        <v>9</v>
      </c>
      <c r="AU5" s="86">
        <v>10</v>
      </c>
      <c r="AV5" s="33">
        <v>11</v>
      </c>
      <c r="AW5" s="33">
        <v>12</v>
      </c>
      <c r="AX5" s="33" t="s">
        <v>122</v>
      </c>
      <c r="AY5" s="33">
        <v>2</v>
      </c>
      <c r="AZ5" s="33">
        <v>3</v>
      </c>
      <c r="BA5" s="33">
        <v>4</v>
      </c>
      <c r="BB5" s="33">
        <v>5</v>
      </c>
      <c r="BC5" s="33">
        <v>6</v>
      </c>
      <c r="BD5" s="33">
        <v>7</v>
      </c>
      <c r="BE5" s="33">
        <v>8</v>
      </c>
      <c r="BF5" s="33">
        <v>9</v>
      </c>
      <c r="BG5" s="33">
        <v>10</v>
      </c>
      <c r="BH5" s="33">
        <v>11</v>
      </c>
      <c r="BI5" s="33">
        <v>12</v>
      </c>
      <c r="BJ5" s="33" t="s">
        <v>174</v>
      </c>
      <c r="BK5" s="33">
        <v>2</v>
      </c>
      <c r="BL5" s="33">
        <v>3</v>
      </c>
      <c r="BM5" s="33">
        <v>4</v>
      </c>
      <c r="BN5" s="33">
        <v>5</v>
      </c>
      <c r="BO5" s="33">
        <v>6</v>
      </c>
      <c r="BP5" s="33">
        <v>7</v>
      </c>
      <c r="BQ5" s="33">
        <v>8</v>
      </c>
      <c r="BR5" s="33">
        <v>9</v>
      </c>
      <c r="BS5" s="33">
        <v>10</v>
      </c>
      <c r="BT5" s="33">
        <v>11</v>
      </c>
      <c r="BU5" s="33">
        <v>12</v>
      </c>
      <c r="BV5" s="33" t="s">
        <v>198</v>
      </c>
      <c r="BW5" s="33">
        <v>2</v>
      </c>
      <c r="BX5" s="33">
        <v>3</v>
      </c>
      <c r="BY5" s="33">
        <v>4</v>
      </c>
      <c r="CA5" s="34" t="s">
        <v>5</v>
      </c>
      <c r="CB5" s="33" t="s">
        <v>6</v>
      </c>
      <c r="CC5" s="33" t="s">
        <v>2</v>
      </c>
      <c r="CD5" s="33">
        <v>1</v>
      </c>
      <c r="CE5" s="33">
        <f>+CD5+1</f>
        <v>2</v>
      </c>
      <c r="CF5" s="33">
        <f t="shared" ref="CF5:CZ5" si="0">+CE5+1</f>
        <v>3</v>
      </c>
      <c r="CG5" s="33">
        <f t="shared" si="0"/>
        <v>4</v>
      </c>
      <c r="CH5" s="33">
        <f t="shared" si="0"/>
        <v>5</v>
      </c>
      <c r="CI5" s="33">
        <f t="shared" si="0"/>
        <v>6</v>
      </c>
      <c r="CJ5" s="33">
        <f t="shared" si="0"/>
        <v>7</v>
      </c>
      <c r="CK5" s="33">
        <f t="shared" si="0"/>
        <v>8</v>
      </c>
      <c r="CL5" s="33">
        <f t="shared" si="0"/>
        <v>9</v>
      </c>
      <c r="CM5" s="33">
        <f t="shared" si="0"/>
        <v>10</v>
      </c>
      <c r="CN5" s="33">
        <f t="shared" si="0"/>
        <v>11</v>
      </c>
      <c r="CO5" s="33">
        <f t="shared" si="0"/>
        <v>12</v>
      </c>
      <c r="CP5" s="33">
        <f t="shared" si="0"/>
        <v>13</v>
      </c>
      <c r="CQ5" s="33">
        <f t="shared" si="0"/>
        <v>14</v>
      </c>
      <c r="CR5" s="33">
        <f t="shared" si="0"/>
        <v>15</v>
      </c>
      <c r="CS5" s="33">
        <f t="shared" si="0"/>
        <v>16</v>
      </c>
      <c r="CT5" s="33">
        <f t="shared" si="0"/>
        <v>17</v>
      </c>
      <c r="CU5" s="33">
        <f t="shared" si="0"/>
        <v>18</v>
      </c>
      <c r="CV5" s="33">
        <f t="shared" si="0"/>
        <v>19</v>
      </c>
      <c r="CW5" s="33">
        <f t="shared" si="0"/>
        <v>20</v>
      </c>
      <c r="CX5" s="33">
        <f t="shared" si="0"/>
        <v>21</v>
      </c>
      <c r="CY5" s="33">
        <f t="shared" si="0"/>
        <v>22</v>
      </c>
      <c r="CZ5" s="33">
        <f t="shared" si="0"/>
        <v>23</v>
      </c>
      <c r="DA5" s="90">
        <v>24</v>
      </c>
      <c r="DB5" s="90">
        <v>25</v>
      </c>
      <c r="DC5" s="90">
        <v>26</v>
      </c>
      <c r="DD5" s="90">
        <v>27</v>
      </c>
      <c r="DE5" s="90">
        <v>28</v>
      </c>
      <c r="DF5" s="90">
        <v>29</v>
      </c>
      <c r="DG5" s="90">
        <v>30</v>
      </c>
      <c r="DH5" s="90">
        <v>31</v>
      </c>
      <c r="DI5" s="90">
        <v>32</v>
      </c>
      <c r="DJ5" s="90">
        <v>33</v>
      </c>
      <c r="DK5" s="90">
        <v>34</v>
      </c>
      <c r="DL5" s="90">
        <v>35</v>
      </c>
      <c r="DM5" s="90">
        <v>36</v>
      </c>
      <c r="DN5" s="90">
        <v>37</v>
      </c>
      <c r="DO5" s="90">
        <v>38</v>
      </c>
      <c r="DP5" s="90">
        <v>39</v>
      </c>
      <c r="DQ5" s="90">
        <v>40</v>
      </c>
      <c r="DR5" s="90">
        <v>41</v>
      </c>
      <c r="DS5" s="90">
        <v>42</v>
      </c>
      <c r="DT5" s="90">
        <v>43</v>
      </c>
      <c r="DU5" s="90">
        <v>44</v>
      </c>
      <c r="DV5" s="90">
        <v>45</v>
      </c>
      <c r="DW5" s="101">
        <v>46</v>
      </c>
      <c r="DX5" s="101">
        <v>47</v>
      </c>
      <c r="DY5" s="101">
        <v>48</v>
      </c>
      <c r="DZ5" s="101">
        <v>49</v>
      </c>
      <c r="EA5" s="101">
        <v>50</v>
      </c>
      <c r="EB5" s="101">
        <v>51</v>
      </c>
      <c r="EC5" s="101">
        <v>52</v>
      </c>
      <c r="ED5" s="90" t="s">
        <v>97</v>
      </c>
      <c r="EE5" s="90">
        <v>2</v>
      </c>
      <c r="EF5" s="90">
        <v>3</v>
      </c>
      <c r="EG5" s="90">
        <v>5</v>
      </c>
      <c r="EH5" s="90">
        <v>6</v>
      </c>
      <c r="EI5" s="90">
        <v>7</v>
      </c>
      <c r="EJ5" s="90">
        <v>8</v>
      </c>
      <c r="EK5" s="90">
        <v>9</v>
      </c>
      <c r="EL5" s="90">
        <v>10</v>
      </c>
      <c r="EM5" s="90">
        <v>11</v>
      </c>
      <c r="EN5" s="90">
        <v>12</v>
      </c>
      <c r="EO5" s="90">
        <v>13</v>
      </c>
      <c r="EP5" s="90">
        <v>14</v>
      </c>
      <c r="EQ5" s="90">
        <v>15</v>
      </c>
      <c r="ER5" s="90">
        <v>16</v>
      </c>
      <c r="ES5" s="90">
        <v>17</v>
      </c>
      <c r="ET5" s="90">
        <v>18</v>
      </c>
      <c r="EU5" s="90">
        <v>19</v>
      </c>
      <c r="EV5" s="90">
        <v>20</v>
      </c>
      <c r="EW5" s="90">
        <v>21</v>
      </c>
      <c r="EX5" s="90">
        <v>22</v>
      </c>
      <c r="EY5" s="90">
        <v>23</v>
      </c>
      <c r="EZ5" s="90">
        <v>24</v>
      </c>
      <c r="FA5" s="90">
        <v>25</v>
      </c>
      <c r="FB5" s="90">
        <v>26</v>
      </c>
      <c r="FC5" s="90">
        <v>27</v>
      </c>
      <c r="FD5" s="90">
        <v>28</v>
      </c>
      <c r="FE5" s="90">
        <v>29</v>
      </c>
      <c r="FF5" s="90">
        <v>30</v>
      </c>
      <c r="FG5" s="90">
        <v>31</v>
      </c>
      <c r="FH5" s="90">
        <v>32</v>
      </c>
      <c r="FI5" s="90">
        <v>33</v>
      </c>
      <c r="FJ5" s="101">
        <v>34</v>
      </c>
      <c r="FK5" s="101">
        <v>35</v>
      </c>
      <c r="FL5" s="101">
        <v>36</v>
      </c>
      <c r="FM5" s="101">
        <v>37</v>
      </c>
      <c r="FN5" s="101">
        <v>38</v>
      </c>
      <c r="FO5" s="101">
        <v>39</v>
      </c>
      <c r="FP5" s="101">
        <v>40</v>
      </c>
      <c r="FQ5" s="101">
        <v>41</v>
      </c>
      <c r="FR5" s="101">
        <v>42</v>
      </c>
      <c r="FS5" s="101">
        <v>43</v>
      </c>
      <c r="FT5" s="101">
        <v>44</v>
      </c>
      <c r="FU5" s="101">
        <v>45</v>
      </c>
      <c r="FV5" s="101">
        <v>46</v>
      </c>
      <c r="FW5" s="101">
        <v>47</v>
      </c>
      <c r="FX5" s="101">
        <v>48</v>
      </c>
      <c r="FY5" s="101">
        <v>49</v>
      </c>
      <c r="FZ5" s="101">
        <v>50</v>
      </c>
      <c r="GA5" s="101">
        <v>51</v>
      </c>
      <c r="GB5" s="101">
        <v>52</v>
      </c>
      <c r="GC5" s="101" t="s">
        <v>117</v>
      </c>
      <c r="GD5" s="90" t="s">
        <v>123</v>
      </c>
      <c r="GE5" s="90" t="s">
        <v>124</v>
      </c>
      <c r="GF5" s="90" t="s">
        <v>125</v>
      </c>
      <c r="GG5" s="90" t="s">
        <v>126</v>
      </c>
      <c r="GH5" s="90" t="s">
        <v>142</v>
      </c>
      <c r="GI5" s="90" t="s">
        <v>143</v>
      </c>
      <c r="GJ5" s="90" t="s">
        <v>144</v>
      </c>
      <c r="GK5" s="90" t="s">
        <v>145</v>
      </c>
      <c r="GL5" s="90" t="s">
        <v>146</v>
      </c>
      <c r="GM5" s="90" t="s">
        <v>147</v>
      </c>
      <c r="GN5" s="90" t="s">
        <v>148</v>
      </c>
      <c r="GO5" s="90" t="s">
        <v>149</v>
      </c>
      <c r="GP5" s="90" t="s">
        <v>150</v>
      </c>
      <c r="GQ5" s="90" t="s">
        <v>151</v>
      </c>
      <c r="GR5" s="90" t="s">
        <v>152</v>
      </c>
      <c r="GS5" s="90" t="s">
        <v>153</v>
      </c>
      <c r="GT5" s="90" t="s">
        <v>154</v>
      </c>
      <c r="GU5" s="90" t="s">
        <v>155</v>
      </c>
      <c r="GV5" s="90" t="s">
        <v>162</v>
      </c>
      <c r="GW5" s="90" t="s">
        <v>163</v>
      </c>
      <c r="GX5" s="90" t="s">
        <v>164</v>
      </c>
      <c r="GY5" s="90" t="s">
        <v>165</v>
      </c>
      <c r="GZ5" s="90">
        <v>26</v>
      </c>
      <c r="HA5" s="90">
        <v>27</v>
      </c>
      <c r="HB5" s="90">
        <v>28</v>
      </c>
      <c r="HC5" s="90">
        <v>29</v>
      </c>
      <c r="HD5" s="90">
        <v>30</v>
      </c>
      <c r="HE5" s="90">
        <v>31</v>
      </c>
      <c r="HF5" s="90">
        <v>32</v>
      </c>
      <c r="HG5" s="90">
        <v>33</v>
      </c>
      <c r="HH5" s="90">
        <v>34</v>
      </c>
      <c r="HI5" s="90">
        <v>35</v>
      </c>
      <c r="HJ5" s="90">
        <v>36</v>
      </c>
      <c r="HK5" s="90">
        <v>37</v>
      </c>
      <c r="HL5" s="90">
        <v>38</v>
      </c>
      <c r="HM5" s="90">
        <v>39</v>
      </c>
      <c r="HN5" s="90">
        <v>40</v>
      </c>
      <c r="HO5" s="90">
        <v>41</v>
      </c>
      <c r="HP5" s="90">
        <v>42</v>
      </c>
      <c r="HQ5" s="90">
        <v>43</v>
      </c>
      <c r="HR5" s="90">
        <v>44</v>
      </c>
      <c r="HS5" s="90">
        <v>45</v>
      </c>
      <c r="HT5" s="90">
        <v>46</v>
      </c>
      <c r="HU5" s="90">
        <v>47</v>
      </c>
      <c r="HV5" s="90">
        <v>48</v>
      </c>
      <c r="HW5" s="90">
        <v>49</v>
      </c>
      <c r="HX5" s="90">
        <v>50</v>
      </c>
      <c r="HY5" s="90">
        <v>51</v>
      </c>
      <c r="HZ5" s="90">
        <v>52</v>
      </c>
      <c r="IA5" s="90" t="s">
        <v>121</v>
      </c>
      <c r="IB5" s="90" t="s">
        <v>123</v>
      </c>
      <c r="IC5" s="90" t="s">
        <v>124</v>
      </c>
      <c r="ID5" s="90" t="s">
        <v>125</v>
      </c>
      <c r="IE5" s="90" t="s">
        <v>175</v>
      </c>
      <c r="IF5" s="90" t="s">
        <v>177</v>
      </c>
      <c r="IG5" s="90" t="s">
        <v>142</v>
      </c>
      <c r="IH5" s="90" t="s">
        <v>143</v>
      </c>
      <c r="II5" s="90" t="s">
        <v>144</v>
      </c>
      <c r="IJ5" s="90" t="s">
        <v>145</v>
      </c>
      <c r="IK5" s="90" t="s">
        <v>146</v>
      </c>
      <c r="IL5" s="90" t="s">
        <v>147</v>
      </c>
      <c r="IM5" s="90" t="s">
        <v>148</v>
      </c>
      <c r="IN5" s="90" t="s">
        <v>149</v>
      </c>
      <c r="IO5" s="90" t="s">
        <v>150</v>
      </c>
      <c r="IP5" s="90" t="s">
        <v>151</v>
      </c>
      <c r="IQ5" s="90" t="s">
        <v>152</v>
      </c>
      <c r="IR5" s="90" t="s">
        <v>153</v>
      </c>
      <c r="IS5" s="90" t="s">
        <v>154</v>
      </c>
      <c r="IT5" s="90" t="s">
        <v>155</v>
      </c>
      <c r="IU5" s="90" t="s">
        <v>162</v>
      </c>
      <c r="IV5" s="90" t="s">
        <v>163</v>
      </c>
      <c r="IW5" s="90" t="s">
        <v>164</v>
      </c>
      <c r="IX5" s="90" t="s">
        <v>165</v>
      </c>
      <c r="IY5" s="90" t="s">
        <v>166</v>
      </c>
      <c r="IZ5" s="90" t="s">
        <v>167</v>
      </c>
      <c r="JA5" s="90" t="s">
        <v>168</v>
      </c>
      <c r="JB5" s="90" t="s">
        <v>169</v>
      </c>
      <c r="JC5" s="90" t="s">
        <v>170</v>
      </c>
      <c r="JD5" s="90" t="s">
        <v>171</v>
      </c>
      <c r="JE5" s="90" t="s">
        <v>172</v>
      </c>
      <c r="JF5" s="90" t="s">
        <v>173</v>
      </c>
      <c r="JG5" s="90" t="s">
        <v>179</v>
      </c>
      <c r="JH5" s="90" t="s">
        <v>180</v>
      </c>
      <c r="JI5" s="90" t="s">
        <v>181</v>
      </c>
      <c r="JJ5" s="90" t="s">
        <v>182</v>
      </c>
      <c r="JK5" s="90" t="s">
        <v>183</v>
      </c>
      <c r="JL5" s="90" t="s">
        <v>184</v>
      </c>
      <c r="JM5" s="90" t="s">
        <v>185</v>
      </c>
      <c r="JN5" s="90" t="s">
        <v>186</v>
      </c>
      <c r="JO5" s="90" t="s">
        <v>187</v>
      </c>
      <c r="JP5" s="90" t="s">
        <v>188</v>
      </c>
      <c r="JQ5" s="90" t="s">
        <v>189</v>
      </c>
      <c r="JR5" s="90" t="s">
        <v>190</v>
      </c>
      <c r="JS5" s="90" t="s">
        <v>191</v>
      </c>
      <c r="JT5" s="90" t="s">
        <v>192</v>
      </c>
      <c r="JU5" s="90" t="s">
        <v>193</v>
      </c>
      <c r="JV5" s="90" t="s">
        <v>194</v>
      </c>
      <c r="JW5" s="90" t="s">
        <v>195</v>
      </c>
      <c r="JX5" s="90" t="s">
        <v>196</v>
      </c>
      <c r="JY5" s="90" t="s">
        <v>197</v>
      </c>
      <c r="JZ5" s="90" t="s">
        <v>121</v>
      </c>
      <c r="KA5" s="90" t="s">
        <v>123</v>
      </c>
      <c r="KB5" s="90" t="s">
        <v>124</v>
      </c>
      <c r="KC5" s="90" t="s">
        <v>125</v>
      </c>
      <c r="KD5" s="90" t="s">
        <v>126</v>
      </c>
      <c r="KE5" s="90" t="s">
        <v>175</v>
      </c>
      <c r="KF5" s="90" t="s">
        <v>177</v>
      </c>
      <c r="KG5" s="90" t="s">
        <v>142</v>
      </c>
      <c r="KH5" s="90" t="s">
        <v>143</v>
      </c>
      <c r="KI5" s="90" t="s">
        <v>144</v>
      </c>
      <c r="KJ5" s="90" t="s">
        <v>145</v>
      </c>
      <c r="KK5" s="90" t="s">
        <v>146</v>
      </c>
      <c r="KL5" s="90" t="s">
        <v>147</v>
      </c>
    </row>
    <row r="6" spans="1:298" ht="14">
      <c r="A6" s="9">
        <v>5</v>
      </c>
      <c r="B6" s="11" t="s">
        <v>25</v>
      </c>
      <c r="C6" s="11" t="s">
        <v>26</v>
      </c>
      <c r="D6" s="9" t="s">
        <v>176</v>
      </c>
      <c r="E6" s="11" t="s">
        <v>28</v>
      </c>
      <c r="F6" s="11" t="s">
        <v>132</v>
      </c>
      <c r="G6" s="9" t="s">
        <v>24</v>
      </c>
      <c r="H6" s="11" t="s">
        <v>132</v>
      </c>
      <c r="I6" s="12">
        <f t="shared" ref="I6:V6" si="1">I7-20</f>
        <v>1230</v>
      </c>
      <c r="J6" s="12">
        <f t="shared" si="1"/>
        <v>1230</v>
      </c>
      <c r="K6" s="12">
        <f t="shared" si="1"/>
        <v>1230</v>
      </c>
      <c r="L6" s="12">
        <f t="shared" si="1"/>
        <v>1230</v>
      </c>
      <c r="M6" s="12">
        <f t="shared" si="1"/>
        <v>1230</v>
      </c>
      <c r="N6" s="12">
        <f t="shared" si="1"/>
        <v>1230</v>
      </c>
      <c r="O6" s="12">
        <f t="shared" si="1"/>
        <v>1250</v>
      </c>
      <c r="P6" s="12">
        <f t="shared" si="1"/>
        <v>1250</v>
      </c>
      <c r="Q6" s="12">
        <f t="shared" si="1"/>
        <v>1250</v>
      </c>
      <c r="R6" s="12">
        <f t="shared" si="1"/>
        <v>1250</v>
      </c>
      <c r="S6" s="12">
        <f t="shared" si="1"/>
        <v>1300</v>
      </c>
      <c r="T6" s="12">
        <f t="shared" si="1"/>
        <v>1300</v>
      </c>
      <c r="U6" s="12">
        <f t="shared" si="1"/>
        <v>1300</v>
      </c>
      <c r="V6" s="12">
        <f t="shared" si="1"/>
        <v>1300</v>
      </c>
      <c r="W6" s="36">
        <v>1450</v>
      </c>
      <c r="X6" s="36">
        <v>1550</v>
      </c>
      <c r="Y6" s="36">
        <v>1550</v>
      </c>
      <c r="Z6" s="36">
        <v>1550</v>
      </c>
      <c r="AA6" s="36">
        <v>1550</v>
      </c>
      <c r="AB6" s="12">
        <v>1480</v>
      </c>
      <c r="AC6" s="12">
        <v>1480</v>
      </c>
      <c r="AD6" s="50" t="e">
        <f>#REF!/AD4*1000</f>
        <v>#REF!</v>
      </c>
      <c r="AE6" s="50" t="e">
        <f>#REF!/AE4*1000</f>
        <v>#REF!</v>
      </c>
      <c r="AF6" s="50" t="e">
        <f>#REF!/AF4*1000</f>
        <v>#REF!</v>
      </c>
      <c r="AG6" s="50" t="e">
        <f>#REF!/AG4*1000</f>
        <v>#REF!</v>
      </c>
      <c r="AH6" s="50" t="e">
        <f>#REF!/AH4*1000</f>
        <v>#REF!</v>
      </c>
      <c r="AI6" s="50" t="e">
        <f>#REF!/AI4*1000</f>
        <v>#REF!</v>
      </c>
      <c r="AJ6" s="50" t="e">
        <f>#REF!/AJ4*1000</f>
        <v>#REF!</v>
      </c>
      <c r="AK6" s="50">
        <v>1330</v>
      </c>
      <c r="AL6" s="50">
        <f>+SUM(ED6:EG6)/4</f>
        <v>1330</v>
      </c>
      <c r="AM6" s="12">
        <f>+SUM(EH6:EK6)/4</f>
        <v>1330</v>
      </c>
      <c r="AN6" s="12">
        <f>+SUM(EL6:EN6)/COUNT(EL6:EN6)</f>
        <v>1380</v>
      </c>
      <c r="AO6" s="12">
        <f>+SUM(EP6:ES6)/COUNT(EP6:ES6)</f>
        <v>1380</v>
      </c>
      <c r="AP6" s="12">
        <f>+SUM(ET6:EX6)/COUNT(ET6:EX6)</f>
        <v>1380</v>
      </c>
      <c r="AQ6" s="12">
        <f>+SUM(EY6:FB6)/COUNT(EY6:FB6)</f>
        <v>1325</v>
      </c>
      <c r="AR6" s="12">
        <f>+SUM(FC6:FF6)/COUNT(FC6:FF6)</f>
        <v>1275</v>
      </c>
      <c r="AS6" s="50">
        <f>FG6</f>
        <v>1250</v>
      </c>
      <c r="AT6" s="50">
        <v>1250</v>
      </c>
      <c r="AU6" s="50">
        <v>1250</v>
      </c>
      <c r="AV6" s="50">
        <v>1250</v>
      </c>
      <c r="AW6" s="50">
        <v>1250</v>
      </c>
      <c r="AX6" s="50">
        <v>1250</v>
      </c>
      <c r="AY6" s="50">
        <v>1250</v>
      </c>
      <c r="AZ6" s="50">
        <v>1250</v>
      </c>
      <c r="BA6" s="50">
        <v>1250</v>
      </c>
      <c r="BB6" s="50">
        <v>1300</v>
      </c>
      <c r="BC6" s="50">
        <v>1300</v>
      </c>
      <c r="BD6" s="50">
        <v>1300</v>
      </c>
      <c r="BE6" s="50">
        <v>1300</v>
      </c>
      <c r="BF6" s="50">
        <v>1310</v>
      </c>
      <c r="BG6" s="50">
        <v>1325</v>
      </c>
      <c r="BH6" s="50">
        <v>1325</v>
      </c>
      <c r="BI6" s="50">
        <f>1325-50</f>
        <v>1275</v>
      </c>
      <c r="BJ6" s="50">
        <f>1325-50-45</f>
        <v>1230</v>
      </c>
      <c r="BK6" s="50">
        <f>1325-50-45</f>
        <v>1230</v>
      </c>
      <c r="BL6" s="50">
        <f>1325-50-45</f>
        <v>1230</v>
      </c>
      <c r="BM6" s="50">
        <f>1325-50-45+20</f>
        <v>1250</v>
      </c>
      <c r="BN6" s="50">
        <f>1325-50-45+20</f>
        <v>1250</v>
      </c>
      <c r="BO6" s="50">
        <f>1325-50-45+20</f>
        <v>1250</v>
      </c>
      <c r="BP6" s="50">
        <f>1325-50-45+20</f>
        <v>1250</v>
      </c>
      <c r="BQ6" s="50">
        <f>1325-50-45+20-30</f>
        <v>1220</v>
      </c>
      <c r="BR6" s="50">
        <f>1325-50-45+20-30</f>
        <v>1220</v>
      </c>
      <c r="BS6" s="50">
        <f>1325-50-45+20-30-10</f>
        <v>1210</v>
      </c>
      <c r="BT6" s="50">
        <f>1325-50-45+20-30-10-10</f>
        <v>1200</v>
      </c>
      <c r="BU6" s="50">
        <f>1325-50-45+20-30-10-10</f>
        <v>1200</v>
      </c>
      <c r="BV6" s="50">
        <f>1325-50-45+20-30-10-10-40</f>
        <v>1160</v>
      </c>
      <c r="BW6" s="50">
        <f>1325-50-45+20-30-10-10-40</f>
        <v>1160</v>
      </c>
      <c r="BX6" s="50">
        <v>1160</v>
      </c>
      <c r="BY6" s="50">
        <v>1300</v>
      </c>
      <c r="CA6" s="9" t="s">
        <v>27</v>
      </c>
      <c r="CB6" s="11" t="s">
        <v>28</v>
      </c>
      <c r="CC6" s="112" t="s">
        <v>132</v>
      </c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2">
        <v>1550</v>
      </c>
      <c r="DB6" s="12">
        <v>1550</v>
      </c>
      <c r="DC6" s="12">
        <v>1550</v>
      </c>
      <c r="DD6" s="12">
        <v>1550</v>
      </c>
      <c r="DE6" s="12">
        <v>1550</v>
      </c>
      <c r="DF6" s="12">
        <v>1550</v>
      </c>
      <c r="DG6" s="12">
        <v>1550</v>
      </c>
      <c r="DH6" s="12">
        <v>1480</v>
      </c>
      <c r="DI6" s="12">
        <v>1480</v>
      </c>
      <c r="DJ6" s="12">
        <v>1480</v>
      </c>
      <c r="DK6" s="12">
        <v>1480</v>
      </c>
      <c r="DL6" s="12">
        <v>1480</v>
      </c>
      <c r="DM6" s="12">
        <v>1410</v>
      </c>
      <c r="DN6" s="12">
        <v>1410</v>
      </c>
      <c r="DO6" s="12">
        <v>1410</v>
      </c>
      <c r="DP6" s="12">
        <v>1410</v>
      </c>
      <c r="DQ6" s="12" t="e">
        <f>#REF!/DQ4*1000</f>
        <v>#REF!</v>
      </c>
      <c r="DR6" s="50" t="e">
        <f>#REF!/DR4*1000</f>
        <v>#REF!</v>
      </c>
      <c r="DS6" s="50" t="e">
        <f>#REF!/DS4*1000</f>
        <v>#REF!</v>
      </c>
      <c r="DT6" s="50" t="e">
        <f>#REF!/DT4*1000</f>
        <v>#REF!</v>
      </c>
      <c r="DU6" s="50">
        <v>1380</v>
      </c>
      <c r="DV6" s="50">
        <v>1380</v>
      </c>
      <c r="DW6" s="50">
        <v>1380</v>
      </c>
      <c r="DX6" s="50">
        <v>1380</v>
      </c>
      <c r="DY6" s="50">
        <v>1380</v>
      </c>
      <c r="DZ6" s="50">
        <v>1380</v>
      </c>
      <c r="EA6" s="50">
        <v>1380</v>
      </c>
      <c r="EB6" s="50">
        <v>1330</v>
      </c>
      <c r="EC6" s="50">
        <v>1330</v>
      </c>
      <c r="ED6" s="50">
        <v>1330</v>
      </c>
      <c r="EE6" s="50">
        <v>1330</v>
      </c>
      <c r="EF6" s="50">
        <v>1330</v>
      </c>
      <c r="EG6" s="50">
        <v>1330</v>
      </c>
      <c r="EH6" s="50">
        <v>1330</v>
      </c>
      <c r="EI6" s="50">
        <v>1330</v>
      </c>
      <c r="EJ6" s="50">
        <v>1330</v>
      </c>
      <c r="EK6" s="50">
        <v>1330</v>
      </c>
      <c r="EL6" s="50">
        <v>1380</v>
      </c>
      <c r="EM6" s="50">
        <v>1380</v>
      </c>
      <c r="EN6" s="50">
        <v>1380</v>
      </c>
      <c r="EO6" s="50">
        <v>1380</v>
      </c>
      <c r="EP6" s="50">
        <v>1380</v>
      </c>
      <c r="EQ6" s="50">
        <v>1380</v>
      </c>
      <c r="ER6" s="50">
        <v>1380</v>
      </c>
      <c r="ES6" s="50">
        <v>1380</v>
      </c>
      <c r="ET6" s="50">
        <v>1380</v>
      </c>
      <c r="EU6" s="50">
        <v>1380</v>
      </c>
      <c r="EV6" s="50">
        <v>1380</v>
      </c>
      <c r="EW6" s="50">
        <v>1380</v>
      </c>
      <c r="EX6" s="50">
        <v>1380</v>
      </c>
      <c r="EY6" s="50">
        <v>1350</v>
      </c>
      <c r="EZ6" s="50">
        <v>1350</v>
      </c>
      <c r="FA6" s="50">
        <v>1300</v>
      </c>
      <c r="FB6" s="50">
        <v>1300</v>
      </c>
      <c r="FC6" s="50">
        <v>1300</v>
      </c>
      <c r="FD6" s="50">
        <v>1300</v>
      </c>
      <c r="FE6" s="50">
        <v>1250</v>
      </c>
      <c r="FF6" s="50">
        <v>1250</v>
      </c>
      <c r="FG6" s="50">
        <v>1250</v>
      </c>
      <c r="FH6" s="50">
        <v>1250</v>
      </c>
      <c r="FI6" s="50">
        <v>1250</v>
      </c>
      <c r="FJ6" s="50">
        <v>1250</v>
      </c>
      <c r="FK6" s="50">
        <v>1250</v>
      </c>
      <c r="FL6" s="50">
        <v>1250</v>
      </c>
      <c r="FM6" s="50">
        <v>1250</v>
      </c>
      <c r="FN6" s="50">
        <v>1250</v>
      </c>
      <c r="FO6" s="50">
        <v>1250</v>
      </c>
      <c r="FP6" s="50">
        <v>1250</v>
      </c>
      <c r="FQ6" s="50">
        <v>1250</v>
      </c>
      <c r="FR6" s="50">
        <v>1250</v>
      </c>
      <c r="FS6" s="50">
        <v>1250</v>
      </c>
      <c r="FT6" s="50">
        <v>1250</v>
      </c>
      <c r="FU6" s="50">
        <v>1250</v>
      </c>
      <c r="FV6" s="50">
        <v>1250</v>
      </c>
      <c r="FW6" s="50">
        <v>1250</v>
      </c>
      <c r="FX6" s="50">
        <v>1250</v>
      </c>
      <c r="FY6" s="50">
        <v>1250</v>
      </c>
      <c r="FZ6" s="50">
        <v>1250</v>
      </c>
      <c r="GA6" s="50">
        <v>1250</v>
      </c>
      <c r="GB6" s="50">
        <v>1250</v>
      </c>
      <c r="GC6" s="50">
        <v>1250</v>
      </c>
      <c r="GD6" s="50">
        <v>1250</v>
      </c>
      <c r="GE6" s="50">
        <v>1250</v>
      </c>
      <c r="GF6" s="50">
        <v>1250</v>
      </c>
      <c r="GG6" s="50">
        <v>1250</v>
      </c>
      <c r="GH6" s="50">
        <v>1250</v>
      </c>
      <c r="GI6" s="50">
        <v>1250</v>
      </c>
      <c r="GJ6" s="50">
        <v>1250</v>
      </c>
      <c r="GK6" s="50">
        <v>1250</v>
      </c>
      <c r="GL6" s="50">
        <v>1250</v>
      </c>
      <c r="GM6" s="50">
        <v>1250</v>
      </c>
      <c r="GN6" s="50">
        <v>1250</v>
      </c>
      <c r="GO6" s="50">
        <v>1250</v>
      </c>
      <c r="GP6" s="50">
        <v>1250</v>
      </c>
      <c r="GQ6" s="50">
        <v>1250</v>
      </c>
      <c r="GR6" s="50">
        <v>1300</v>
      </c>
      <c r="GS6" s="50">
        <v>1300</v>
      </c>
      <c r="GT6" s="50">
        <v>1300</v>
      </c>
      <c r="GU6" s="50">
        <v>1300</v>
      </c>
      <c r="GV6" s="50">
        <v>1300</v>
      </c>
      <c r="GW6" s="50">
        <v>1300</v>
      </c>
      <c r="GX6" s="50">
        <v>1300</v>
      </c>
      <c r="GY6" s="50">
        <v>1300</v>
      </c>
      <c r="GZ6" s="50">
        <v>1300</v>
      </c>
      <c r="HA6" s="50">
        <v>1300</v>
      </c>
      <c r="HB6" s="50">
        <v>1300</v>
      </c>
      <c r="HC6" s="50">
        <v>1300</v>
      </c>
      <c r="HD6" s="50">
        <v>1300</v>
      </c>
      <c r="HE6" s="50">
        <v>1300</v>
      </c>
      <c r="HF6" s="50">
        <v>1300</v>
      </c>
      <c r="HG6" s="50">
        <v>1300</v>
      </c>
      <c r="HH6" s="50">
        <v>1300</v>
      </c>
      <c r="HI6" s="50">
        <v>1300</v>
      </c>
      <c r="HJ6" s="50">
        <v>1310</v>
      </c>
      <c r="HK6" s="50">
        <v>1310</v>
      </c>
      <c r="HL6" s="50">
        <v>1310</v>
      </c>
      <c r="HM6" s="50">
        <v>1310</v>
      </c>
      <c r="HN6" s="50">
        <v>1325</v>
      </c>
      <c r="HO6" s="50">
        <v>1325</v>
      </c>
      <c r="HP6" s="50">
        <v>1325</v>
      </c>
      <c r="HQ6" s="50">
        <v>1325</v>
      </c>
      <c r="HR6" s="50">
        <v>1325</v>
      </c>
      <c r="HS6" s="50">
        <v>1325</v>
      </c>
      <c r="HT6" s="50">
        <v>1325</v>
      </c>
      <c r="HU6" s="50">
        <v>1325</v>
      </c>
      <c r="HV6" s="50">
        <v>1325</v>
      </c>
      <c r="HW6" s="50">
        <f>1325-50</f>
        <v>1275</v>
      </c>
      <c r="HX6" s="50">
        <f>HW6</f>
        <v>1275</v>
      </c>
      <c r="HY6" s="50">
        <f t="shared" ref="HY6:HZ6" si="2">HX6</f>
        <v>1275</v>
      </c>
      <c r="HZ6" s="50">
        <f t="shared" si="2"/>
        <v>1275</v>
      </c>
      <c r="IA6" s="50">
        <v>1230</v>
      </c>
      <c r="IB6" s="50">
        <f t="shared" ref="IB6:ID6" si="3">IA6</f>
        <v>1230</v>
      </c>
      <c r="IC6" s="50">
        <f t="shared" si="3"/>
        <v>1230</v>
      </c>
      <c r="ID6" s="50">
        <f t="shared" si="3"/>
        <v>1230</v>
      </c>
      <c r="IE6" s="50">
        <f>ID6</f>
        <v>1230</v>
      </c>
      <c r="IF6" s="50">
        <f t="shared" ref="IF6:IJ6" si="4">IE6</f>
        <v>1230</v>
      </c>
      <c r="IG6" s="50">
        <f t="shared" si="4"/>
        <v>1230</v>
      </c>
      <c r="IH6" s="50">
        <f t="shared" si="4"/>
        <v>1230</v>
      </c>
      <c r="II6" s="50">
        <f t="shared" si="4"/>
        <v>1230</v>
      </c>
      <c r="IJ6" s="50">
        <f t="shared" si="4"/>
        <v>1230</v>
      </c>
      <c r="IK6" s="50">
        <f t="shared" ref="IK6" si="5">IJ6</f>
        <v>1230</v>
      </c>
      <c r="IL6" s="50">
        <f t="shared" ref="IL6" si="6">IK6</f>
        <v>1230</v>
      </c>
      <c r="IM6" s="50">
        <f>IL6+20</f>
        <v>1250</v>
      </c>
      <c r="IN6" s="50">
        <f t="shared" ref="IN6" si="7">IM6</f>
        <v>1250</v>
      </c>
      <c r="IO6" s="50">
        <f t="shared" ref="IO6" si="8">IN6</f>
        <v>1250</v>
      </c>
      <c r="IP6" s="50">
        <f t="shared" ref="IP6:IQ6" si="9">IO6</f>
        <v>1250</v>
      </c>
      <c r="IQ6" s="50">
        <f t="shared" si="9"/>
        <v>1250</v>
      </c>
      <c r="IR6" s="50">
        <f t="shared" ref="IR6" si="10">IQ6</f>
        <v>1250</v>
      </c>
      <c r="IS6" s="50">
        <f t="shared" ref="IS6" si="11">IR6</f>
        <v>1250</v>
      </c>
      <c r="IT6" s="50">
        <f t="shared" ref="IT6" si="12">IS6</f>
        <v>1250</v>
      </c>
      <c r="IU6" s="50">
        <f t="shared" ref="IU6" si="13">IT6</f>
        <v>1250</v>
      </c>
      <c r="IV6" s="181">
        <v>1223.0834518238944</v>
      </c>
      <c r="IW6" s="181">
        <v>1225.2286130144778</v>
      </c>
      <c r="IX6" s="181">
        <v>1219.8594659765122</v>
      </c>
      <c r="IY6" s="181">
        <v>1219.0530532801668</v>
      </c>
      <c r="IZ6" s="181">
        <v>1215.2889161210533</v>
      </c>
      <c r="JA6" s="181">
        <v>1228.3131376081585</v>
      </c>
      <c r="JB6" s="181">
        <v>1216.0902473013</v>
      </c>
      <c r="JC6" s="181">
        <v>1220.5681658529486</v>
      </c>
      <c r="JD6" s="181">
        <v>1216.9073448021679</v>
      </c>
      <c r="JE6" s="181">
        <v>1204.4734152440301</v>
      </c>
      <c r="JF6" s="181">
        <v>1187.6813772398909</v>
      </c>
      <c r="JG6" s="50">
        <v>1220</v>
      </c>
      <c r="JH6" s="50">
        <f t="shared" ref="JH6" si="14">JG6</f>
        <v>1220</v>
      </c>
      <c r="JI6" s="50">
        <f t="shared" ref="JI6" si="15">JH6</f>
        <v>1220</v>
      </c>
      <c r="JJ6" s="50">
        <f t="shared" ref="JJ6" si="16">JI6</f>
        <v>1220</v>
      </c>
      <c r="JK6" s="50">
        <f t="shared" ref="JK6" si="17">JJ6</f>
        <v>1220</v>
      </c>
      <c r="JL6" s="50">
        <f t="shared" ref="JL6" si="18">JK6</f>
        <v>1220</v>
      </c>
      <c r="JM6" s="50">
        <v>1210</v>
      </c>
      <c r="JN6" s="50">
        <f t="shared" ref="JN6" si="19">JM6</f>
        <v>1210</v>
      </c>
      <c r="JO6" s="50">
        <f t="shared" ref="JO6" si="20">JN6</f>
        <v>1210</v>
      </c>
      <c r="JP6" s="50">
        <f t="shared" ref="JP6" si="21">JO6</f>
        <v>1210</v>
      </c>
      <c r="JQ6" s="50">
        <v>1210</v>
      </c>
      <c r="JR6" s="50">
        <v>1200</v>
      </c>
      <c r="JS6" s="50">
        <v>1200</v>
      </c>
      <c r="JT6" s="50">
        <v>1200</v>
      </c>
      <c r="JU6" s="50">
        <v>1200</v>
      </c>
      <c r="JV6" s="50">
        <v>1200</v>
      </c>
      <c r="JW6" s="50">
        <v>1200</v>
      </c>
      <c r="JX6" s="50">
        <v>1200</v>
      </c>
      <c r="JY6" s="50">
        <v>1200</v>
      </c>
      <c r="JZ6" s="50">
        <v>1160</v>
      </c>
      <c r="KA6" s="50">
        <v>1160</v>
      </c>
      <c r="KB6" s="50">
        <v>1160</v>
      </c>
      <c r="KC6" s="50">
        <v>1160</v>
      </c>
      <c r="KD6" s="50">
        <v>1160</v>
      </c>
      <c r="KE6" s="50">
        <v>1160</v>
      </c>
      <c r="KF6" s="50">
        <v>1160</v>
      </c>
      <c r="KG6" s="50">
        <v>1160</v>
      </c>
      <c r="KH6" s="50">
        <v>1160</v>
      </c>
      <c r="KI6" s="50">
        <v>1160</v>
      </c>
      <c r="KJ6" s="50">
        <v>1160</v>
      </c>
      <c r="KK6" s="50">
        <f>1160+50</f>
        <v>1210</v>
      </c>
      <c r="KL6" s="50">
        <v>1280</v>
      </c>
    </row>
    <row r="7" spans="1:298" ht="14" hidden="1">
      <c r="A7" s="9">
        <v>6</v>
      </c>
      <c r="B7" s="11" t="s">
        <v>25</v>
      </c>
      <c r="C7" s="11" t="s">
        <v>26</v>
      </c>
      <c r="D7" s="9" t="s">
        <v>27</v>
      </c>
      <c r="E7" s="11" t="s">
        <v>28</v>
      </c>
      <c r="F7" s="11" t="s">
        <v>61</v>
      </c>
      <c r="G7" s="9" t="s">
        <v>24</v>
      </c>
      <c r="H7" s="112" t="s">
        <v>132</v>
      </c>
      <c r="I7" s="12">
        <v>1250</v>
      </c>
      <c r="J7" s="12">
        <v>1250</v>
      </c>
      <c r="K7" s="12">
        <v>1250</v>
      </c>
      <c r="L7" s="12">
        <v>1250</v>
      </c>
      <c r="M7" s="12">
        <v>1250</v>
      </c>
      <c r="N7" s="12">
        <v>1250</v>
      </c>
      <c r="O7" s="12">
        <v>1270</v>
      </c>
      <c r="P7" s="12">
        <v>1270</v>
      </c>
      <c r="Q7" s="12">
        <v>1270</v>
      </c>
      <c r="R7" s="12">
        <v>1270</v>
      </c>
      <c r="S7" s="12">
        <v>1320</v>
      </c>
      <c r="T7" s="12">
        <v>1320</v>
      </c>
      <c r="U7" s="12">
        <v>1320</v>
      </c>
      <c r="V7" s="12">
        <v>1320</v>
      </c>
      <c r="W7" s="36">
        <f>W6+20</f>
        <v>1470</v>
      </c>
      <c r="X7" s="36">
        <f>X6+20</f>
        <v>1570</v>
      </c>
      <c r="Y7" s="36">
        <f>Y6+20</f>
        <v>1570</v>
      </c>
      <c r="Z7" s="36">
        <f>Z6+20</f>
        <v>1570</v>
      </c>
      <c r="AA7" s="36">
        <f>AA6+20</f>
        <v>1570</v>
      </c>
      <c r="AB7" s="12">
        <v>1500</v>
      </c>
      <c r="AC7" s="12">
        <f t="shared" ref="AC7:AK7" si="22">AC6+20</f>
        <v>1500</v>
      </c>
      <c r="AD7" s="12" t="e">
        <f t="shared" si="22"/>
        <v>#REF!</v>
      </c>
      <c r="AE7" s="12" t="e">
        <f t="shared" si="22"/>
        <v>#REF!</v>
      </c>
      <c r="AF7" s="12" t="e">
        <f t="shared" si="22"/>
        <v>#REF!</v>
      </c>
      <c r="AG7" s="12" t="e">
        <f t="shared" si="22"/>
        <v>#REF!</v>
      </c>
      <c r="AH7" s="12" t="e">
        <f t="shared" si="22"/>
        <v>#REF!</v>
      </c>
      <c r="AI7" s="12" t="e">
        <f t="shared" si="22"/>
        <v>#REF!</v>
      </c>
      <c r="AJ7" s="12" t="e">
        <f t="shared" si="22"/>
        <v>#REF!</v>
      </c>
      <c r="AK7" s="12">
        <f t="shared" si="22"/>
        <v>1350</v>
      </c>
      <c r="AL7" s="12">
        <f>+SUM(ED7:EG7)/4</f>
        <v>1330</v>
      </c>
      <c r="AM7" s="12">
        <f>+SUM(EE7:EH7)/4</f>
        <v>1330</v>
      </c>
      <c r="AN7" s="12">
        <f>+SUM(EL7:EN7)/COUNT(EL7:EN7)</f>
        <v>1380</v>
      </c>
      <c r="AO7" s="12">
        <f>+SUM(EP7:ES7)/COUNT(EP7:ES7)</f>
        <v>1380</v>
      </c>
      <c r="AP7" s="12">
        <f>+SUM(ET7:EX7)/COUNT(ET7:EX7)</f>
        <v>1380</v>
      </c>
      <c r="AQ7" s="12">
        <f>+SUM(EY7:FB7)/COUNT(EY7:FB7)</f>
        <v>1325</v>
      </c>
      <c r="AR7" s="12">
        <f>+SUM(FC7:FF7)/COUNT(FC7:FF7)</f>
        <v>1275</v>
      </c>
      <c r="AS7" s="50">
        <f>+SUM(FG7:FK7)/COUNT(FG7:FK7)</f>
        <v>1250</v>
      </c>
      <c r="AT7" s="50">
        <f t="shared" ref="AT7:BY8" si="23">FL7</f>
        <v>1250</v>
      </c>
      <c r="AU7" s="50">
        <f t="shared" si="23"/>
        <v>1250</v>
      </c>
      <c r="AV7" s="50">
        <f t="shared" si="23"/>
        <v>1250</v>
      </c>
      <c r="AW7" s="50">
        <f t="shared" si="23"/>
        <v>1250</v>
      </c>
      <c r="AX7" s="50">
        <f t="shared" si="23"/>
        <v>1250</v>
      </c>
      <c r="AY7" s="50">
        <f t="shared" si="23"/>
        <v>1250</v>
      </c>
      <c r="AZ7" s="50">
        <f t="shared" si="23"/>
        <v>1250</v>
      </c>
      <c r="BA7" s="50">
        <f t="shared" si="23"/>
        <v>1250</v>
      </c>
      <c r="BB7" s="50">
        <v>1300</v>
      </c>
      <c r="BC7" s="50">
        <v>1300</v>
      </c>
      <c r="BD7" s="50">
        <v>1300</v>
      </c>
      <c r="BE7" s="50">
        <v>1300</v>
      </c>
      <c r="BF7" s="50">
        <v>1300</v>
      </c>
      <c r="BG7" s="50">
        <v>1300</v>
      </c>
      <c r="BH7" s="50">
        <v>1300</v>
      </c>
      <c r="BI7" s="50">
        <v>1300</v>
      </c>
      <c r="BJ7" s="50">
        <v>1300</v>
      </c>
      <c r="BK7" s="50">
        <v>1300</v>
      </c>
      <c r="BL7" s="50">
        <v>1300</v>
      </c>
      <c r="BM7" s="50">
        <v>1300</v>
      </c>
      <c r="BN7" s="50">
        <v>1300</v>
      </c>
      <c r="BO7" s="50">
        <v>1300</v>
      </c>
      <c r="BP7" s="50">
        <v>1300</v>
      </c>
      <c r="BQ7" s="50">
        <v>1300</v>
      </c>
      <c r="BR7" s="50">
        <v>1300</v>
      </c>
      <c r="BS7" s="50">
        <v>1300</v>
      </c>
      <c r="BT7" s="50">
        <v>1300</v>
      </c>
      <c r="BU7" s="50">
        <v>1300</v>
      </c>
      <c r="BV7" s="50">
        <v>1300</v>
      </c>
      <c r="BW7" s="50">
        <v>1300</v>
      </c>
      <c r="BX7" s="50">
        <v>1300</v>
      </c>
      <c r="BY7" s="50">
        <v>1300</v>
      </c>
      <c r="BZ7" s="51"/>
      <c r="CA7" s="9" t="s">
        <v>101</v>
      </c>
      <c r="CB7" s="11" t="s">
        <v>28</v>
      </c>
      <c r="CC7" s="112" t="s">
        <v>132</v>
      </c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2">
        <f t="shared" ref="DA7:DT7" si="24">DA6+20</f>
        <v>1570</v>
      </c>
      <c r="DB7" s="12">
        <f t="shared" si="24"/>
        <v>1570</v>
      </c>
      <c r="DC7" s="12">
        <f t="shared" si="24"/>
        <v>1570</v>
      </c>
      <c r="DD7" s="12">
        <f t="shared" si="24"/>
        <v>1570</v>
      </c>
      <c r="DE7" s="12">
        <f t="shared" si="24"/>
        <v>1570</v>
      </c>
      <c r="DF7" s="12">
        <f t="shared" si="24"/>
        <v>1570</v>
      </c>
      <c r="DG7" s="12">
        <f t="shared" si="24"/>
        <v>1570</v>
      </c>
      <c r="DH7" s="12">
        <f t="shared" si="24"/>
        <v>1500</v>
      </c>
      <c r="DI7" s="12">
        <f t="shared" si="24"/>
        <v>1500</v>
      </c>
      <c r="DJ7" s="12">
        <f t="shared" si="24"/>
        <v>1500</v>
      </c>
      <c r="DK7" s="12">
        <f t="shared" si="24"/>
        <v>1500</v>
      </c>
      <c r="DL7" s="12">
        <f t="shared" si="24"/>
        <v>1500</v>
      </c>
      <c r="DM7" s="12">
        <f t="shared" si="24"/>
        <v>1430</v>
      </c>
      <c r="DN7" s="12">
        <f t="shared" si="24"/>
        <v>1430</v>
      </c>
      <c r="DO7" s="12">
        <f t="shared" si="24"/>
        <v>1430</v>
      </c>
      <c r="DP7" s="12">
        <f t="shared" si="24"/>
        <v>1430</v>
      </c>
      <c r="DQ7" s="12" t="e">
        <f t="shared" si="24"/>
        <v>#REF!</v>
      </c>
      <c r="DR7" s="50" t="e">
        <f t="shared" si="24"/>
        <v>#REF!</v>
      </c>
      <c r="DS7" s="12" t="e">
        <f t="shared" si="24"/>
        <v>#REF!</v>
      </c>
      <c r="DT7" s="12" t="e">
        <f t="shared" si="24"/>
        <v>#REF!</v>
      </c>
      <c r="DU7" s="12">
        <v>1400</v>
      </c>
      <c r="DV7" s="12">
        <v>1400</v>
      </c>
      <c r="DW7" s="12">
        <v>1400</v>
      </c>
      <c r="DX7" s="12">
        <v>1400</v>
      </c>
      <c r="DY7" s="12">
        <v>1400</v>
      </c>
      <c r="DZ7" s="12">
        <v>1400</v>
      </c>
      <c r="EA7" s="12">
        <v>1400</v>
      </c>
      <c r="EB7" s="12">
        <v>1350</v>
      </c>
      <c r="EC7" s="12">
        <v>1350</v>
      </c>
      <c r="ED7" s="12">
        <f t="shared" ref="ED7:FI7" si="25">ED6</f>
        <v>1330</v>
      </c>
      <c r="EE7" s="12">
        <f t="shared" si="25"/>
        <v>1330</v>
      </c>
      <c r="EF7" s="12">
        <f t="shared" si="25"/>
        <v>1330</v>
      </c>
      <c r="EG7" s="12">
        <f t="shared" si="25"/>
        <v>1330</v>
      </c>
      <c r="EH7" s="12">
        <f t="shared" si="25"/>
        <v>1330</v>
      </c>
      <c r="EI7" s="12">
        <f t="shared" si="25"/>
        <v>1330</v>
      </c>
      <c r="EJ7" s="12">
        <f t="shared" si="25"/>
        <v>1330</v>
      </c>
      <c r="EK7" s="12">
        <f t="shared" si="25"/>
        <v>1330</v>
      </c>
      <c r="EL7" s="12">
        <f t="shared" si="25"/>
        <v>1380</v>
      </c>
      <c r="EM7" s="12">
        <f t="shared" si="25"/>
        <v>1380</v>
      </c>
      <c r="EN7" s="12">
        <f t="shared" si="25"/>
        <v>1380</v>
      </c>
      <c r="EO7" s="12">
        <f t="shared" si="25"/>
        <v>1380</v>
      </c>
      <c r="EP7" s="12">
        <f t="shared" si="25"/>
        <v>1380</v>
      </c>
      <c r="EQ7" s="12">
        <f t="shared" si="25"/>
        <v>1380</v>
      </c>
      <c r="ER7" s="12">
        <f t="shared" si="25"/>
        <v>1380</v>
      </c>
      <c r="ES7" s="12">
        <f t="shared" si="25"/>
        <v>1380</v>
      </c>
      <c r="ET7" s="12">
        <f t="shared" si="25"/>
        <v>1380</v>
      </c>
      <c r="EU7" s="12">
        <f t="shared" si="25"/>
        <v>1380</v>
      </c>
      <c r="EV7" s="12">
        <f t="shared" si="25"/>
        <v>1380</v>
      </c>
      <c r="EW7" s="12">
        <f t="shared" si="25"/>
        <v>1380</v>
      </c>
      <c r="EX7" s="12">
        <f t="shared" si="25"/>
        <v>1380</v>
      </c>
      <c r="EY7" s="12">
        <f t="shared" si="25"/>
        <v>1350</v>
      </c>
      <c r="EZ7" s="12">
        <f t="shared" si="25"/>
        <v>1350</v>
      </c>
      <c r="FA7" s="12">
        <f t="shared" si="25"/>
        <v>1300</v>
      </c>
      <c r="FB7" s="12">
        <f t="shared" si="25"/>
        <v>1300</v>
      </c>
      <c r="FC7" s="12">
        <f t="shared" si="25"/>
        <v>1300</v>
      </c>
      <c r="FD7" s="12">
        <f t="shared" si="25"/>
        <v>1300</v>
      </c>
      <c r="FE7" s="12">
        <f t="shared" si="25"/>
        <v>1250</v>
      </c>
      <c r="FF7" s="12">
        <f t="shared" si="25"/>
        <v>1250</v>
      </c>
      <c r="FG7" s="12">
        <f t="shared" si="25"/>
        <v>1250</v>
      </c>
      <c r="FH7" s="12">
        <f t="shared" si="25"/>
        <v>1250</v>
      </c>
      <c r="FI7" s="12">
        <f t="shared" si="25"/>
        <v>1250</v>
      </c>
      <c r="FJ7" s="12">
        <f t="shared" ref="FJ7:GA7" si="26">FJ6</f>
        <v>1250</v>
      </c>
      <c r="FK7" s="12">
        <f t="shared" si="26"/>
        <v>1250</v>
      </c>
      <c r="FL7" s="12">
        <f t="shared" si="26"/>
        <v>1250</v>
      </c>
      <c r="FM7" s="12">
        <f t="shared" si="26"/>
        <v>1250</v>
      </c>
      <c r="FN7" s="12">
        <f t="shared" si="26"/>
        <v>1250</v>
      </c>
      <c r="FO7" s="12">
        <f t="shared" si="26"/>
        <v>1250</v>
      </c>
      <c r="FP7" s="12">
        <f t="shared" si="26"/>
        <v>1250</v>
      </c>
      <c r="FQ7" s="12">
        <f t="shared" si="26"/>
        <v>1250</v>
      </c>
      <c r="FR7" s="12">
        <f t="shared" si="26"/>
        <v>1250</v>
      </c>
      <c r="FS7" s="12">
        <f t="shared" si="26"/>
        <v>1250</v>
      </c>
      <c r="FT7" s="12">
        <f t="shared" si="26"/>
        <v>1250</v>
      </c>
      <c r="FU7" s="12">
        <f t="shared" si="26"/>
        <v>1250</v>
      </c>
      <c r="FV7" s="12">
        <f t="shared" si="26"/>
        <v>1250</v>
      </c>
      <c r="FW7" s="12">
        <f t="shared" si="26"/>
        <v>1250</v>
      </c>
      <c r="FX7" s="12">
        <f t="shared" si="26"/>
        <v>1250</v>
      </c>
      <c r="FY7" s="12">
        <f t="shared" si="26"/>
        <v>1250</v>
      </c>
      <c r="FZ7" s="12">
        <f t="shared" si="26"/>
        <v>1250</v>
      </c>
      <c r="GA7" s="12">
        <f t="shared" si="26"/>
        <v>1250</v>
      </c>
      <c r="GB7" s="12">
        <v>1250</v>
      </c>
      <c r="GC7" s="12">
        <v>1250</v>
      </c>
      <c r="GD7" s="12">
        <v>1250</v>
      </c>
      <c r="GE7" s="12">
        <v>1250</v>
      </c>
      <c r="GF7" s="12">
        <v>1250</v>
      </c>
      <c r="GG7" s="12">
        <v>1250</v>
      </c>
      <c r="GH7" s="12">
        <v>1250</v>
      </c>
      <c r="GI7" s="12">
        <v>1250</v>
      </c>
      <c r="GJ7" s="12">
        <v>1250</v>
      </c>
      <c r="GK7" s="12">
        <v>1250</v>
      </c>
      <c r="GL7" s="12">
        <v>1250</v>
      </c>
      <c r="GM7" s="12">
        <v>1250</v>
      </c>
      <c r="GN7" s="12">
        <v>1250</v>
      </c>
      <c r="GO7" s="12">
        <v>1250</v>
      </c>
      <c r="GP7" s="12">
        <v>1250</v>
      </c>
      <c r="GQ7" s="12">
        <v>1250</v>
      </c>
      <c r="GR7" s="12">
        <v>1250</v>
      </c>
      <c r="GS7" s="12">
        <v>1250</v>
      </c>
      <c r="GT7" s="12">
        <v>1250</v>
      </c>
      <c r="GU7" s="12">
        <v>1250</v>
      </c>
      <c r="GV7" s="12">
        <v>1250</v>
      </c>
      <c r="GW7" s="12">
        <v>1250</v>
      </c>
      <c r="GX7" s="12">
        <v>1250</v>
      </c>
      <c r="GY7" s="12">
        <v>1250</v>
      </c>
      <c r="GZ7" s="12">
        <v>1250</v>
      </c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</row>
    <row r="8" spans="1:298" ht="14" hidden="1">
      <c r="A8" s="9">
        <v>7</v>
      </c>
      <c r="B8" s="11" t="s">
        <v>32</v>
      </c>
      <c r="C8" s="11" t="s">
        <v>33</v>
      </c>
      <c r="D8" s="9" t="s">
        <v>34</v>
      </c>
      <c r="E8" s="11" t="s">
        <v>35</v>
      </c>
      <c r="F8" s="11" t="s">
        <v>62</v>
      </c>
      <c r="G8" s="9" t="s">
        <v>24</v>
      </c>
      <c r="H8" s="11" t="s">
        <v>72</v>
      </c>
      <c r="I8" s="12">
        <f t="shared" ref="I8:S8" si="27">I7+30</f>
        <v>1280</v>
      </c>
      <c r="J8" s="12">
        <f t="shared" si="27"/>
        <v>1280</v>
      </c>
      <c r="K8" s="12">
        <f t="shared" si="27"/>
        <v>1280</v>
      </c>
      <c r="L8" s="12">
        <f t="shared" si="27"/>
        <v>1280</v>
      </c>
      <c r="M8" s="12">
        <f t="shared" si="27"/>
        <v>1280</v>
      </c>
      <c r="N8" s="12">
        <f t="shared" si="27"/>
        <v>1280</v>
      </c>
      <c r="O8" s="12">
        <f t="shared" si="27"/>
        <v>1300</v>
      </c>
      <c r="P8" s="12">
        <f t="shared" si="27"/>
        <v>1300</v>
      </c>
      <c r="Q8" s="12">
        <f t="shared" si="27"/>
        <v>1300</v>
      </c>
      <c r="R8" s="12">
        <f t="shared" si="27"/>
        <v>1300</v>
      </c>
      <c r="S8" s="12">
        <f t="shared" si="27"/>
        <v>1350</v>
      </c>
      <c r="T8" s="12">
        <f>T7+50</f>
        <v>1370</v>
      </c>
      <c r="U8" s="12">
        <f>U7+50</f>
        <v>1370</v>
      </c>
      <c r="V8" s="12">
        <f>V7+50</f>
        <v>1370</v>
      </c>
      <c r="W8" s="36">
        <f>W7+100</f>
        <v>1570</v>
      </c>
      <c r="X8" s="36">
        <f>X7+100</f>
        <v>1670</v>
      </c>
      <c r="Y8" s="36">
        <f>Y7+100</f>
        <v>1670</v>
      </c>
      <c r="Z8" s="36">
        <f>Z7+80</f>
        <v>1650</v>
      </c>
      <c r="AA8" s="36">
        <f>AA7+80</f>
        <v>1650</v>
      </c>
      <c r="AB8" s="12">
        <v>1530</v>
      </c>
      <c r="AC8" s="12">
        <v>1530</v>
      </c>
      <c r="AD8" s="12" t="e">
        <f>#REF!/AD4*1000+20</f>
        <v>#REF!</v>
      </c>
      <c r="AE8" s="12" t="e">
        <f>#REF!/AE4*1000+20</f>
        <v>#REF!</v>
      </c>
      <c r="AF8" s="12" t="e">
        <f>#REF!/AF4*1000+20</f>
        <v>#REF!</v>
      </c>
      <c r="AG8" s="12" t="e">
        <f>#REF!/AG4*1000+20</f>
        <v>#REF!</v>
      </c>
      <c r="AH8" s="12" t="e">
        <f>#REF!/AH4*1000+20</f>
        <v>#REF!</v>
      </c>
      <c r="AI8" s="12" t="e">
        <f>#REF!/AI4*1000+20</f>
        <v>#REF!</v>
      </c>
      <c r="AJ8" s="12" t="e">
        <f>#REF!/AJ4*1000+20</f>
        <v>#REF!</v>
      </c>
      <c r="AK8" s="12" t="e">
        <f>#REF!/AK4*1000+20</f>
        <v>#REF!</v>
      </c>
      <c r="AL8" s="12" t="e">
        <f>#REF!/AL4*1000+20</f>
        <v>#REF!</v>
      </c>
      <c r="AM8" s="12">
        <f>+SUM(EH8:EK8)/4</f>
        <v>1397.5</v>
      </c>
      <c r="AN8" s="12">
        <f>+SUM(EL8:EN8)/COUNT(EL8:EN8)</f>
        <v>1410</v>
      </c>
      <c r="AO8" s="12">
        <f>+SUM(EP8:ES8)/COUNT(EP8:ES8)</f>
        <v>1410</v>
      </c>
      <c r="AP8" s="12">
        <f>+SUM(ET8:EX8)/COUNT(ET8:EX8)</f>
        <v>1410</v>
      </c>
      <c r="AQ8" s="12">
        <f>+SUM(EY8:FB8)/COUNT(EY8:FB8)</f>
        <v>1355</v>
      </c>
      <c r="AR8" s="12">
        <f>+SUM(FC8:FF8)/COUNT(FC8:FF8)</f>
        <v>1305</v>
      </c>
      <c r="AS8" s="50">
        <f>+SUM(FG8:FK8)/COUNT(FG8:FK8)</f>
        <v>1280</v>
      </c>
      <c r="AT8" s="50">
        <f t="shared" si="23"/>
        <v>1280</v>
      </c>
      <c r="AU8" s="50">
        <f t="shared" si="23"/>
        <v>1280</v>
      </c>
      <c r="AV8" s="50">
        <f t="shared" si="23"/>
        <v>1280</v>
      </c>
      <c r="AW8" s="50">
        <f t="shared" si="23"/>
        <v>1280</v>
      </c>
      <c r="AX8" s="50">
        <f t="shared" si="23"/>
        <v>1280</v>
      </c>
      <c r="AY8" s="50">
        <f t="shared" si="23"/>
        <v>1280</v>
      </c>
      <c r="AZ8" s="50">
        <f t="shared" si="23"/>
        <v>1280</v>
      </c>
      <c r="BA8" s="50">
        <f t="shared" si="23"/>
        <v>1280</v>
      </c>
      <c r="BB8" s="50">
        <f t="shared" si="23"/>
        <v>1280</v>
      </c>
      <c r="BC8" s="50">
        <f t="shared" si="23"/>
        <v>1280</v>
      </c>
      <c r="BD8" s="50">
        <f t="shared" si="23"/>
        <v>1280</v>
      </c>
      <c r="BE8" s="50">
        <f t="shared" si="23"/>
        <v>1280</v>
      </c>
      <c r="BF8" s="50">
        <f t="shared" si="23"/>
        <v>1280</v>
      </c>
      <c r="BG8" s="50">
        <f t="shared" si="23"/>
        <v>1280</v>
      </c>
      <c r="BH8" s="50">
        <f t="shared" si="23"/>
        <v>1280</v>
      </c>
      <c r="BI8" s="50">
        <f t="shared" si="23"/>
        <v>1280</v>
      </c>
      <c r="BJ8" s="50">
        <f t="shared" si="23"/>
        <v>1280</v>
      </c>
      <c r="BK8" s="50">
        <f t="shared" si="23"/>
        <v>1280</v>
      </c>
      <c r="BL8" s="50">
        <f t="shared" si="23"/>
        <v>1280</v>
      </c>
      <c r="BM8" s="50">
        <f t="shared" si="23"/>
        <v>1280</v>
      </c>
      <c r="BN8" s="50">
        <f t="shared" si="23"/>
        <v>1280</v>
      </c>
      <c r="BO8" s="50">
        <f t="shared" si="23"/>
        <v>1280</v>
      </c>
      <c r="BP8" s="50">
        <f t="shared" si="23"/>
        <v>1280</v>
      </c>
      <c r="BQ8" s="50">
        <f t="shared" si="23"/>
        <v>1280</v>
      </c>
      <c r="BR8" s="50">
        <f t="shared" si="23"/>
        <v>1280</v>
      </c>
      <c r="BS8" s="50">
        <f t="shared" si="23"/>
        <v>1280</v>
      </c>
      <c r="BT8" s="50">
        <f t="shared" si="23"/>
        <v>1280</v>
      </c>
      <c r="BU8" s="50">
        <f t="shared" si="23"/>
        <v>1280</v>
      </c>
      <c r="BV8" s="50">
        <f t="shared" si="23"/>
        <v>1280</v>
      </c>
      <c r="BW8" s="50">
        <f t="shared" si="23"/>
        <v>1280</v>
      </c>
      <c r="BX8" s="50">
        <f t="shared" si="23"/>
        <v>1280</v>
      </c>
      <c r="BY8" s="50">
        <f t="shared" si="23"/>
        <v>1280</v>
      </c>
      <c r="CA8" s="9" t="s">
        <v>34</v>
      </c>
      <c r="CB8" s="11" t="s">
        <v>35</v>
      </c>
      <c r="CC8" s="11" t="s">
        <v>72</v>
      </c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2">
        <v>1650</v>
      </c>
      <c r="DB8" s="12">
        <v>1650</v>
      </c>
      <c r="DC8" s="12">
        <v>1650</v>
      </c>
      <c r="DD8" s="12">
        <v>1650</v>
      </c>
      <c r="DE8" s="12">
        <v>1650</v>
      </c>
      <c r="DF8" s="12">
        <v>1650</v>
      </c>
      <c r="DG8" s="12">
        <v>1650</v>
      </c>
      <c r="DH8" s="12">
        <v>1530</v>
      </c>
      <c r="DI8" s="12">
        <v>1530</v>
      </c>
      <c r="DJ8" s="12">
        <v>1530</v>
      </c>
      <c r="DK8" s="12">
        <v>1530</v>
      </c>
      <c r="DL8" s="12">
        <v>1530</v>
      </c>
      <c r="DM8" s="12">
        <v>1460</v>
      </c>
      <c r="DN8" s="12">
        <v>1460</v>
      </c>
      <c r="DO8" s="12">
        <v>1460</v>
      </c>
      <c r="DP8" s="12">
        <v>1460</v>
      </c>
      <c r="DQ8" s="12" t="e">
        <f>#REF!/DQ4*1000+20</f>
        <v>#REF!</v>
      </c>
      <c r="DR8" s="50" t="e">
        <f>#REF!/DR4*1000+20</f>
        <v>#REF!</v>
      </c>
      <c r="DS8" s="12" t="e">
        <f>#REF!/DS4*1000+20</f>
        <v>#REF!</v>
      </c>
      <c r="DT8" s="12" t="e">
        <f>#REF!/DT4*1000+20</f>
        <v>#REF!</v>
      </c>
      <c r="DU8" s="12">
        <v>1410</v>
      </c>
      <c r="DV8" s="12">
        <v>1410</v>
      </c>
      <c r="DW8" s="12">
        <v>1410</v>
      </c>
      <c r="DX8" s="12">
        <v>1410</v>
      </c>
      <c r="DY8" s="12">
        <v>1410</v>
      </c>
      <c r="DZ8" s="12">
        <v>1410</v>
      </c>
      <c r="EA8" s="12">
        <v>1410</v>
      </c>
      <c r="EB8" s="12">
        <v>1410</v>
      </c>
      <c r="EC8" s="12">
        <v>1410</v>
      </c>
      <c r="ED8" s="12">
        <v>1410</v>
      </c>
      <c r="EE8" s="12">
        <v>1410</v>
      </c>
      <c r="EF8" s="12">
        <v>1410</v>
      </c>
      <c r="EG8" s="12">
        <v>1410</v>
      </c>
      <c r="EH8" s="12">
        <v>1410</v>
      </c>
      <c r="EI8" s="12">
        <v>1410</v>
      </c>
      <c r="EJ8" s="12">
        <v>1410</v>
      </c>
      <c r="EK8" s="12">
        <f t="shared" ref="EK8:FP8" si="28">+EK7+30</f>
        <v>1360</v>
      </c>
      <c r="EL8" s="12">
        <f t="shared" si="28"/>
        <v>1410</v>
      </c>
      <c r="EM8" s="12">
        <f t="shared" si="28"/>
        <v>1410</v>
      </c>
      <c r="EN8" s="12">
        <f t="shared" si="28"/>
        <v>1410</v>
      </c>
      <c r="EO8" s="12">
        <f t="shared" si="28"/>
        <v>1410</v>
      </c>
      <c r="EP8" s="12">
        <f t="shared" si="28"/>
        <v>1410</v>
      </c>
      <c r="EQ8" s="12">
        <f t="shared" si="28"/>
        <v>1410</v>
      </c>
      <c r="ER8" s="12">
        <f t="shared" si="28"/>
        <v>1410</v>
      </c>
      <c r="ES8" s="12">
        <f t="shared" si="28"/>
        <v>1410</v>
      </c>
      <c r="ET8" s="12">
        <f t="shared" si="28"/>
        <v>1410</v>
      </c>
      <c r="EU8" s="12">
        <f t="shared" si="28"/>
        <v>1410</v>
      </c>
      <c r="EV8" s="12">
        <f t="shared" si="28"/>
        <v>1410</v>
      </c>
      <c r="EW8" s="12">
        <f t="shared" si="28"/>
        <v>1410</v>
      </c>
      <c r="EX8" s="12">
        <f t="shared" si="28"/>
        <v>1410</v>
      </c>
      <c r="EY8" s="12">
        <f t="shared" si="28"/>
        <v>1380</v>
      </c>
      <c r="EZ8" s="12">
        <f t="shared" si="28"/>
        <v>1380</v>
      </c>
      <c r="FA8" s="12">
        <f t="shared" si="28"/>
        <v>1330</v>
      </c>
      <c r="FB8" s="12">
        <f t="shared" si="28"/>
        <v>1330</v>
      </c>
      <c r="FC8" s="12">
        <f t="shared" si="28"/>
        <v>1330</v>
      </c>
      <c r="FD8" s="12">
        <f t="shared" si="28"/>
        <v>1330</v>
      </c>
      <c r="FE8" s="12">
        <f t="shared" si="28"/>
        <v>1280</v>
      </c>
      <c r="FF8" s="12">
        <f t="shared" si="28"/>
        <v>1280</v>
      </c>
      <c r="FG8" s="12">
        <f t="shared" si="28"/>
        <v>1280</v>
      </c>
      <c r="FH8" s="12">
        <f t="shared" si="28"/>
        <v>1280</v>
      </c>
      <c r="FI8" s="12">
        <f t="shared" si="28"/>
        <v>1280</v>
      </c>
      <c r="FJ8" s="12">
        <f t="shared" si="28"/>
        <v>1280</v>
      </c>
      <c r="FK8" s="12">
        <f t="shared" si="28"/>
        <v>1280</v>
      </c>
      <c r="FL8" s="12">
        <f t="shared" si="28"/>
        <v>1280</v>
      </c>
      <c r="FM8" s="12">
        <f t="shared" si="28"/>
        <v>1280</v>
      </c>
      <c r="FN8" s="12">
        <f t="shared" si="28"/>
        <v>1280</v>
      </c>
      <c r="FO8" s="12">
        <f t="shared" si="28"/>
        <v>1280</v>
      </c>
      <c r="FP8" s="12">
        <f t="shared" si="28"/>
        <v>1280</v>
      </c>
      <c r="FQ8" s="12">
        <f t="shared" ref="FQ8:GU8" si="29">+FQ7+30</f>
        <v>1280</v>
      </c>
      <c r="FR8" s="12">
        <f t="shared" si="29"/>
        <v>1280</v>
      </c>
      <c r="FS8" s="12">
        <f t="shared" si="29"/>
        <v>1280</v>
      </c>
      <c r="FT8" s="12">
        <f t="shared" si="29"/>
        <v>1280</v>
      </c>
      <c r="FU8" s="12">
        <f t="shared" si="29"/>
        <v>1280</v>
      </c>
      <c r="FV8" s="12">
        <f t="shared" si="29"/>
        <v>1280</v>
      </c>
      <c r="FW8" s="12">
        <f t="shared" si="29"/>
        <v>1280</v>
      </c>
      <c r="FX8" s="12">
        <f t="shared" si="29"/>
        <v>1280</v>
      </c>
      <c r="FY8" s="12">
        <f t="shared" si="29"/>
        <v>1280</v>
      </c>
      <c r="FZ8" s="12">
        <f t="shared" si="29"/>
        <v>1280</v>
      </c>
      <c r="GA8" s="12">
        <f t="shared" si="29"/>
        <v>1280</v>
      </c>
      <c r="GB8" s="12">
        <f t="shared" si="29"/>
        <v>1280</v>
      </c>
      <c r="GC8" s="12">
        <f t="shared" si="29"/>
        <v>1280</v>
      </c>
      <c r="GD8" s="12">
        <f t="shared" si="29"/>
        <v>1280</v>
      </c>
      <c r="GE8" s="12">
        <f t="shared" si="29"/>
        <v>1280</v>
      </c>
      <c r="GF8" s="12">
        <f t="shared" si="29"/>
        <v>1280</v>
      </c>
      <c r="GG8" s="12">
        <f t="shared" si="29"/>
        <v>1280</v>
      </c>
      <c r="GH8" s="12">
        <f t="shared" si="29"/>
        <v>1280</v>
      </c>
      <c r="GI8" s="12">
        <f t="shared" si="29"/>
        <v>1280</v>
      </c>
      <c r="GJ8" s="12">
        <f t="shared" si="29"/>
        <v>1280</v>
      </c>
      <c r="GK8" s="12">
        <f t="shared" si="29"/>
        <v>1280</v>
      </c>
      <c r="GL8" s="12">
        <f t="shared" si="29"/>
        <v>1280</v>
      </c>
      <c r="GM8" s="12">
        <f t="shared" si="29"/>
        <v>1280</v>
      </c>
      <c r="GN8" s="12">
        <f t="shared" si="29"/>
        <v>1280</v>
      </c>
      <c r="GO8" s="12">
        <f t="shared" si="29"/>
        <v>1280</v>
      </c>
      <c r="GP8" s="12">
        <f t="shared" si="29"/>
        <v>1280</v>
      </c>
      <c r="GQ8" s="12">
        <f t="shared" si="29"/>
        <v>1280</v>
      </c>
      <c r="GR8" s="12">
        <f t="shared" si="29"/>
        <v>1280</v>
      </c>
      <c r="GS8" s="12">
        <f t="shared" si="29"/>
        <v>1280</v>
      </c>
      <c r="GT8" s="12">
        <f t="shared" si="29"/>
        <v>1280</v>
      </c>
      <c r="GU8" s="12">
        <f t="shared" si="29"/>
        <v>1280</v>
      </c>
      <c r="GV8" s="12">
        <f t="shared" ref="GV8:GW8" si="30">+GV7+30</f>
        <v>1280</v>
      </c>
      <c r="GW8" s="12">
        <f t="shared" si="30"/>
        <v>1280</v>
      </c>
      <c r="GX8" s="12">
        <f t="shared" ref="GX8:GY8" si="31">+GX7+30</f>
        <v>1280</v>
      </c>
      <c r="GY8" s="12">
        <f t="shared" si="31"/>
        <v>1280</v>
      </c>
      <c r="GZ8" s="12">
        <f t="shared" ref="GZ8" si="32">+GZ7+30</f>
        <v>1280</v>
      </c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</row>
    <row r="9" spans="1:298" ht="14" hidden="1">
      <c r="A9" s="20"/>
      <c r="B9" s="21"/>
      <c r="C9" s="21"/>
      <c r="D9" s="38" t="s">
        <v>30</v>
      </c>
      <c r="E9" s="37"/>
      <c r="F9" s="37" t="s">
        <v>36</v>
      </c>
      <c r="G9" s="39" t="s">
        <v>23</v>
      </c>
      <c r="H9" s="37" t="s">
        <v>36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0">
        <f>V8*23108/1000</f>
        <v>31657.96</v>
      </c>
      <c r="W9" s="40">
        <f>W8*23108/1000</f>
        <v>36279.56</v>
      </c>
      <c r="X9" s="40">
        <f>X8*23108/1000</f>
        <v>38590.36</v>
      </c>
      <c r="Y9" s="40">
        <f>Y8*23108/1000</f>
        <v>38590.36</v>
      </c>
      <c r="Z9" s="40">
        <f>Z8*Z4/1000</f>
        <v>38197.5</v>
      </c>
      <c r="AA9" s="47"/>
      <c r="AB9" s="69"/>
      <c r="AC9" s="40">
        <f t="shared" ref="AC9:AM9" si="33">AC8*AC4/1000</f>
        <v>35419.5</v>
      </c>
      <c r="AD9" s="40" t="e">
        <f t="shared" si="33"/>
        <v>#REF!</v>
      </c>
      <c r="AE9" s="40" t="e">
        <f t="shared" si="33"/>
        <v>#REF!</v>
      </c>
      <c r="AF9" s="40" t="e">
        <f t="shared" si="33"/>
        <v>#REF!</v>
      </c>
      <c r="AG9" s="40" t="e">
        <f t="shared" si="33"/>
        <v>#REF!</v>
      </c>
      <c r="AH9" s="40" t="e">
        <f t="shared" si="33"/>
        <v>#REF!</v>
      </c>
      <c r="AI9" s="40" t="e">
        <f t="shared" si="33"/>
        <v>#REF!</v>
      </c>
      <c r="AJ9" s="40" t="e">
        <f t="shared" si="33"/>
        <v>#REF!</v>
      </c>
      <c r="AK9" s="40" t="e">
        <f t="shared" si="33"/>
        <v>#REF!</v>
      </c>
      <c r="AL9" s="40" t="e">
        <f t="shared" si="33"/>
        <v>#REF!</v>
      </c>
      <c r="AM9" s="40">
        <f t="shared" si="33"/>
        <v>33540</v>
      </c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CA9" s="38" t="s">
        <v>30</v>
      </c>
      <c r="CB9" s="37"/>
      <c r="CC9" s="37" t="s">
        <v>36</v>
      </c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 t="e">
        <f>DQ8*DQ4/1000</f>
        <v>#REF!</v>
      </c>
      <c r="DR9" s="40" t="e">
        <f>DR8*DR4/1000</f>
        <v>#REF!</v>
      </c>
      <c r="DS9" s="40" t="e">
        <f>DS8*DS4/1000</f>
        <v>#REF!</v>
      </c>
      <c r="DT9" s="40" t="e">
        <f>DT8*DT4/1000</f>
        <v>#REF!</v>
      </c>
      <c r="DU9" s="40">
        <v>33135</v>
      </c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12" t="e">
        <f>+#REF!+30</f>
        <v>#REF!</v>
      </c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</row>
    <row r="10" spans="1:298" ht="8.15" hidden="1" customHeight="1">
      <c r="A10" s="20"/>
      <c r="B10" s="21"/>
      <c r="C10" s="21"/>
      <c r="D10" s="22"/>
      <c r="E10" s="52"/>
      <c r="F10" s="52"/>
      <c r="G10" s="22"/>
      <c r="H10" s="52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10"/>
      <c r="Y10" s="10"/>
      <c r="Z10" s="35"/>
      <c r="AA10" s="10"/>
      <c r="AB10" s="24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CA10" s="2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</row>
    <row r="11" spans="1:298" s="13" customFormat="1" ht="14">
      <c r="A11" s="54">
        <v>9</v>
      </c>
      <c r="B11" s="55"/>
      <c r="C11" s="55"/>
      <c r="D11" s="106" t="s">
        <v>37</v>
      </c>
      <c r="E11" s="55" t="s">
        <v>38</v>
      </c>
      <c r="F11" s="55" t="s">
        <v>39</v>
      </c>
      <c r="G11" s="54" t="s">
        <v>24</v>
      </c>
      <c r="H11" s="111" t="s">
        <v>37</v>
      </c>
      <c r="I11" s="56"/>
      <c r="J11" s="56"/>
      <c r="K11" s="56"/>
      <c r="L11" s="56"/>
      <c r="M11" s="56"/>
      <c r="N11" s="56"/>
      <c r="O11" s="56"/>
      <c r="P11" s="56">
        <v>1300</v>
      </c>
      <c r="Q11" s="56">
        <v>1300</v>
      </c>
      <c r="R11" s="56">
        <v>1350</v>
      </c>
      <c r="S11" s="56">
        <v>1350</v>
      </c>
      <c r="T11" s="56">
        <v>1350</v>
      </c>
      <c r="U11" s="56">
        <v>1350</v>
      </c>
      <c r="V11" s="56">
        <v>1500</v>
      </c>
      <c r="W11" s="57">
        <v>1525</v>
      </c>
      <c r="X11" s="56">
        <v>1525</v>
      </c>
      <c r="Y11" s="56">
        <v>1550</v>
      </c>
      <c r="Z11" s="57">
        <v>1627</v>
      </c>
      <c r="AA11" s="56">
        <v>1585</v>
      </c>
      <c r="AB11" s="58">
        <v>1574</v>
      </c>
      <c r="AC11" s="58">
        <v>1485</v>
      </c>
      <c r="AD11" s="58">
        <v>1444</v>
      </c>
      <c r="AE11" s="58">
        <v>1425</v>
      </c>
      <c r="AF11" s="58">
        <v>1425</v>
      </c>
      <c r="AG11" s="58">
        <v>1425</v>
      </c>
      <c r="AH11" s="58">
        <v>1425</v>
      </c>
      <c r="AI11" s="58">
        <f>(1350+1500)/2</f>
        <v>1425</v>
      </c>
      <c r="AJ11" s="58">
        <v>1425</v>
      </c>
      <c r="AK11" s="58">
        <v>1330</v>
      </c>
      <c r="AL11" s="58">
        <f>+SUM(ED11:EG11)/4</f>
        <v>1287.5</v>
      </c>
      <c r="AM11" s="58">
        <f>+SUM(EH11:EK11)/4</f>
        <v>1313.75</v>
      </c>
      <c r="AN11" s="58">
        <f>+SUM(EL11:EN11)/COUNT(EL11:EN11)</f>
        <v>1440</v>
      </c>
      <c r="AO11" s="58">
        <f>+SUM(EP11:ES11)/COUNT(EP11:ES11)</f>
        <v>1440</v>
      </c>
      <c r="AP11" s="58">
        <f>+SUM(ET11:EX11)/COUNT(ET11:EX11)</f>
        <v>1433</v>
      </c>
      <c r="AQ11" s="58">
        <f>+SUM(EY11:FB11)/COUNT(EY11:FB11)</f>
        <v>1337.5</v>
      </c>
      <c r="AR11" s="58">
        <f>+SUM(FC11:FF11)/COUNT(FC11:FF11)</f>
        <v>1317.5</v>
      </c>
      <c r="AS11" s="58">
        <f>+SUM(FG11:FK11)/COUNT(FG11:FK11)</f>
        <v>1274</v>
      </c>
      <c r="AT11" s="58">
        <f>+SUM(FL11:FO11)/COUNT(FL11:FO11)</f>
        <v>1288.75</v>
      </c>
      <c r="AU11" s="58">
        <f>+SUM(FP11:FS11)/COUNT(FP11:FS11)</f>
        <v>1288.125</v>
      </c>
      <c r="AV11" s="102">
        <f>+SUM(FT11:FW11)/COUNT(FT11:FW11)</f>
        <v>1300</v>
      </c>
      <c r="AW11" s="102">
        <f>+SUM(FX11:GB11)/COUNT(FX11:GB11)</f>
        <v>1300</v>
      </c>
      <c r="AX11" s="102">
        <f>+SUM(GC11:GF11)/COUNT(GC11:GF11)</f>
        <v>1312.5</v>
      </c>
      <c r="AY11" s="102">
        <f>+SUM(GG11:GI11)/COUNT(GG11:GI11)</f>
        <v>1325</v>
      </c>
      <c r="AZ11" s="102">
        <f>+SUM(GJ11:GM11)/COUNT(GJ11:GM11)</f>
        <v>1320</v>
      </c>
      <c r="BA11" s="102">
        <f>+SUM(GN11:GQ11)/COUNT(GN11:GQ11)</f>
        <v>1323.75</v>
      </c>
      <c r="BB11" s="102">
        <f>+SUM(GR11:GV11)/COUNT(GR11:GV11)</f>
        <v>1346.6</v>
      </c>
      <c r="BC11" s="102">
        <f t="shared" ref="BC11:BC12" si="34">+SUM(GW11:GZ11)/COUNT(GW11:GZ11)</f>
        <v>1365</v>
      </c>
      <c r="BD11" s="102">
        <f t="shared" ref="BD11:BD12" si="35">+SUM(HA11:HD11)/COUNT(HA11:HD11)</f>
        <v>1365</v>
      </c>
      <c r="BE11" s="102">
        <f>+SUM(HE11:HI11)/COUNT(HE11:HI11)</f>
        <v>1404</v>
      </c>
      <c r="BF11" s="102">
        <f t="shared" ref="BF11:BF12" si="36">+SUM(HJ11:HM11)/COUNT(HJ11:HM11)</f>
        <v>1427.5</v>
      </c>
      <c r="BG11" s="102">
        <f t="shared" ref="BG11:BG12" si="37">+SUM(HN11:HQ11)/COUNT(HN11:HQ11)</f>
        <v>1440</v>
      </c>
      <c r="BH11" s="102">
        <f>+SUM(HR11:HV11)/COUNT(HR11:HV11)</f>
        <v>1440</v>
      </c>
      <c r="BI11" s="102">
        <f t="shared" ref="BI11:BI12" si="38">+SUM(HW11:HZ11)/COUNT(HW11:HZ11)</f>
        <v>1421.25</v>
      </c>
      <c r="BJ11" s="102">
        <f>+SUM(IA11:ID11)/COUNT(IA11:ID11)</f>
        <v>1368.75</v>
      </c>
      <c r="BK11" s="102">
        <f>+SUM(IE11:IH11)/COUNT(IE11:IH11)</f>
        <v>1350</v>
      </c>
      <c r="BL11" s="102">
        <f>+SUM(II11:IL11)/COUNT(II11:IL11)</f>
        <v>1360</v>
      </c>
      <c r="BM11" s="102">
        <f>+SUM(IM11:IP11)/COUNT(IM11:IP11)</f>
        <v>1360</v>
      </c>
      <c r="BN11" s="102">
        <f>+SUM(IQ11:IU11)/COUNT(IQ11:IU11)</f>
        <v>1360</v>
      </c>
      <c r="BO11" s="102">
        <f>+SUM(IV11:IY11)/COUNT(IV11:IY11)</f>
        <v>1360</v>
      </c>
      <c r="BP11" s="102">
        <f>+SUM(IZ11:JD11)/COUNT(IZ11:JD11)</f>
        <v>1324</v>
      </c>
      <c r="BQ11" s="102">
        <f>+SUM(JE11:JH11)/COUNT(JE11:JH11)</f>
        <v>1295</v>
      </c>
      <c r="BR11" s="102">
        <f>+SUM(JI11:JL11)/COUNT(JI11:JL11)</f>
        <v>1275</v>
      </c>
      <c r="BS11" s="102">
        <f>+SUM(JM11:JQ11)/COUNT(JM11:JQ11)</f>
        <v>1248</v>
      </c>
      <c r="BT11" s="102">
        <f>+SUM(JR11:JU11)/COUNT(JR11:JU11)</f>
        <v>1243.75</v>
      </c>
      <c r="BU11" s="102">
        <f>+SUM(JV11:JY11)/COUNT(JV11:JY11)</f>
        <v>1193.75</v>
      </c>
      <c r="BV11" s="102">
        <f>+SUM(JZ11:KD11)/COUNT(JZ11:KD11)</f>
        <v>1150</v>
      </c>
      <c r="BW11" s="102">
        <f>+SUM(KE11:KH11)/COUNT(KE11:KH11)</f>
        <v>1150</v>
      </c>
      <c r="BX11" s="102">
        <f>+SUM(KI11:KL11)/COUNT(KI11:KL11)</f>
        <v>1220</v>
      </c>
      <c r="BY11" s="102">
        <v>1300</v>
      </c>
      <c r="CA11" s="54" t="s">
        <v>37</v>
      </c>
      <c r="CB11" s="55" t="s">
        <v>38</v>
      </c>
      <c r="CC11" s="126" t="s">
        <v>37</v>
      </c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6">
        <f>+(1550+1670)/2</f>
        <v>1610</v>
      </c>
      <c r="DB11" s="56">
        <f>+(1550+1700)/2</f>
        <v>1625</v>
      </c>
      <c r="DC11" s="56">
        <f>+(1550+1650)/2</f>
        <v>1600</v>
      </c>
      <c r="DD11" s="56">
        <f>+(1550+1620)/2</f>
        <v>1585</v>
      </c>
      <c r="DE11" s="56">
        <f>+(1550+1650)/2</f>
        <v>1600</v>
      </c>
      <c r="DF11" s="56">
        <f>+(1550+1650)/2</f>
        <v>1600</v>
      </c>
      <c r="DG11" s="56">
        <f>+(1550+1650)/2</f>
        <v>1600</v>
      </c>
      <c r="DH11" s="56">
        <f>+(1550+1680)/2</f>
        <v>1615</v>
      </c>
      <c r="DI11" s="56">
        <f>+(1550+1680)/2</f>
        <v>1615</v>
      </c>
      <c r="DJ11" s="56">
        <f>+(1550+1620)/2</f>
        <v>1585</v>
      </c>
      <c r="DK11" s="56">
        <f>+(1550+1620)/2</f>
        <v>1585</v>
      </c>
      <c r="DL11" s="56">
        <f>+(1450+1520)/2</f>
        <v>1485</v>
      </c>
      <c r="DM11" s="56">
        <f>+(1350+1550)/2</f>
        <v>1450</v>
      </c>
      <c r="DN11" s="56">
        <f>+(1350+1550)/2</f>
        <v>1450</v>
      </c>
      <c r="DO11" s="56">
        <f>+(1350+1550)/2</f>
        <v>1450</v>
      </c>
      <c r="DP11" s="56">
        <f>+(1350+1550)/2</f>
        <v>1450</v>
      </c>
      <c r="DQ11" s="56">
        <v>1425</v>
      </c>
      <c r="DR11" s="58">
        <v>1425</v>
      </c>
      <c r="DS11" s="58">
        <v>1425</v>
      </c>
      <c r="DT11" s="58">
        <f>(1350+1500)/2</f>
        <v>1425</v>
      </c>
      <c r="DU11" s="58">
        <v>1350</v>
      </c>
      <c r="DV11" s="58">
        <v>1350</v>
      </c>
      <c r="DW11" s="100">
        <f>+(1250+1450)/2</f>
        <v>1350</v>
      </c>
      <c r="DX11" s="56">
        <f>+(1250+1450)/2</f>
        <v>1350</v>
      </c>
      <c r="DY11" s="114">
        <f>+(1250+1450)/2</f>
        <v>1350</v>
      </c>
      <c r="DZ11" s="114">
        <f>+(1250+1450)/2</f>
        <v>1350</v>
      </c>
      <c r="EA11" s="114">
        <f>+(1250+1450)/2</f>
        <v>1350</v>
      </c>
      <c r="EB11" s="114">
        <f>+(1250+1350)/2</f>
        <v>1300</v>
      </c>
      <c r="EC11" s="114">
        <f>+(1250+1350)/2</f>
        <v>1300</v>
      </c>
      <c r="ED11" s="56">
        <f>+(1250+1350)/2</f>
        <v>1300</v>
      </c>
      <c r="EE11" s="56">
        <f>+(1250+1350)/2</f>
        <v>1300</v>
      </c>
      <c r="EF11" s="56">
        <f>+(1250+1300)/2</f>
        <v>1275</v>
      </c>
      <c r="EG11" s="56">
        <f>+(1250+1300)/2</f>
        <v>1275</v>
      </c>
      <c r="EH11" s="56">
        <f>+(1250+1300)/2</f>
        <v>1275</v>
      </c>
      <c r="EI11" s="56">
        <f>+(1250+1300)/2</f>
        <v>1275</v>
      </c>
      <c r="EJ11" s="56">
        <f>+(1280+1350)/2</f>
        <v>1315</v>
      </c>
      <c r="EK11" s="56">
        <f>+(1350+1430)/2</f>
        <v>1390</v>
      </c>
      <c r="EL11" s="56">
        <f t="shared" ref="EL11:EU11" si="39">+(1350+1530)/2</f>
        <v>1440</v>
      </c>
      <c r="EM11" s="56">
        <f t="shared" si="39"/>
        <v>1440</v>
      </c>
      <c r="EN11" s="56">
        <f t="shared" si="39"/>
        <v>1440</v>
      </c>
      <c r="EO11" s="56">
        <f t="shared" si="39"/>
        <v>1440</v>
      </c>
      <c r="EP11" s="56">
        <f t="shared" si="39"/>
        <v>1440</v>
      </c>
      <c r="EQ11" s="56">
        <f t="shared" si="39"/>
        <v>1440</v>
      </c>
      <c r="ER11" s="56">
        <f t="shared" si="39"/>
        <v>1440</v>
      </c>
      <c r="ES11" s="56">
        <f t="shared" si="39"/>
        <v>1440</v>
      </c>
      <c r="ET11" s="56">
        <f t="shared" si="39"/>
        <v>1440</v>
      </c>
      <c r="EU11" s="56">
        <f t="shared" si="39"/>
        <v>1440</v>
      </c>
      <c r="EV11" s="100">
        <f>+(1350+1530)/2</f>
        <v>1440</v>
      </c>
      <c r="EW11" s="100">
        <f>+(1350+1530)/2</f>
        <v>1440</v>
      </c>
      <c r="EX11" s="100">
        <f>+(1350+1460)/2</f>
        <v>1405</v>
      </c>
      <c r="EY11" s="100">
        <f>+(1350+1400)/2</f>
        <v>1375</v>
      </c>
      <c r="EZ11" s="100">
        <f>+(1300+1350)/2</f>
        <v>1325</v>
      </c>
      <c r="FA11" s="100">
        <f>+(1300+1350)/2</f>
        <v>1325</v>
      </c>
      <c r="FB11" s="58">
        <f>+(1300+1350)/2</f>
        <v>1325</v>
      </c>
      <c r="FC11" s="58">
        <f>+(1300+1350)/2</f>
        <v>1325</v>
      </c>
      <c r="FD11" s="58">
        <f>+(1300+1350)/2</f>
        <v>1325</v>
      </c>
      <c r="FE11" s="58">
        <f>+(1270+1350)/2</f>
        <v>1310</v>
      </c>
      <c r="FF11" s="58">
        <f>+(1270+1350)/2</f>
        <v>1310</v>
      </c>
      <c r="FG11" s="58">
        <f>+(1200+1300)/2</f>
        <v>1250</v>
      </c>
      <c r="FH11" s="58">
        <f>+(1200+1320)/2</f>
        <v>1260</v>
      </c>
      <c r="FI11" s="58">
        <f>+(1200+1320)/2</f>
        <v>1260</v>
      </c>
      <c r="FJ11" s="102">
        <f>+(1250+1350)/2</f>
        <v>1300</v>
      </c>
      <c r="FK11" s="102">
        <f>+(1250+1350)/2</f>
        <v>1300</v>
      </c>
      <c r="FL11" s="102">
        <f>+(1250+1330)/2</f>
        <v>1290</v>
      </c>
      <c r="FM11" s="102">
        <f>+(1250+1330)/2</f>
        <v>1290</v>
      </c>
      <c r="FN11" s="102">
        <f>+(1250+1330)/2</f>
        <v>1290</v>
      </c>
      <c r="FO11" s="102">
        <v>1285</v>
      </c>
      <c r="FP11" s="102">
        <v>1285</v>
      </c>
      <c r="FQ11" s="102">
        <v>1287.5</v>
      </c>
      <c r="FR11" s="102">
        <v>1280</v>
      </c>
      <c r="FS11" s="102">
        <v>1300</v>
      </c>
      <c r="FT11" s="102">
        <v>1300</v>
      </c>
      <c r="FU11" s="102">
        <v>1300</v>
      </c>
      <c r="FV11" s="102">
        <v>1300</v>
      </c>
      <c r="FW11" s="102">
        <v>1300</v>
      </c>
      <c r="FX11" s="102">
        <v>1300</v>
      </c>
      <c r="FY11" s="102">
        <v>1300</v>
      </c>
      <c r="FZ11" s="102">
        <v>1300</v>
      </c>
      <c r="GA11" s="102">
        <v>1300</v>
      </c>
      <c r="GB11" s="102">
        <v>1300</v>
      </c>
      <c r="GC11" s="102">
        <v>1300</v>
      </c>
      <c r="GD11" s="102">
        <v>1300</v>
      </c>
      <c r="GE11" s="102">
        <v>1325</v>
      </c>
      <c r="GF11" s="102">
        <v>1325</v>
      </c>
      <c r="GG11" s="102">
        <v>1325</v>
      </c>
      <c r="GH11" s="102">
        <v>1325</v>
      </c>
      <c r="GI11" s="102">
        <v>1325</v>
      </c>
      <c r="GJ11" s="102">
        <v>1325</v>
      </c>
      <c r="GK11" s="102">
        <v>1325</v>
      </c>
      <c r="GL11" s="102">
        <v>1315</v>
      </c>
      <c r="GM11" s="102">
        <v>1315</v>
      </c>
      <c r="GN11" s="102">
        <v>1325</v>
      </c>
      <c r="GO11" s="102">
        <v>1325</v>
      </c>
      <c r="GP11" s="102">
        <v>1325</v>
      </c>
      <c r="GQ11" s="102">
        <v>1320</v>
      </c>
      <c r="GR11" s="102">
        <v>1333</v>
      </c>
      <c r="GS11" s="102">
        <v>1350</v>
      </c>
      <c r="GT11" s="102">
        <v>1350</v>
      </c>
      <c r="GU11" s="102">
        <v>1350</v>
      </c>
      <c r="GV11" s="102">
        <v>1350</v>
      </c>
      <c r="GW11" s="102">
        <v>1365</v>
      </c>
      <c r="GX11" s="102">
        <v>1365</v>
      </c>
      <c r="GY11" s="102">
        <v>1365</v>
      </c>
      <c r="GZ11" s="102">
        <v>1365</v>
      </c>
      <c r="HA11" s="102">
        <v>1365</v>
      </c>
      <c r="HB11" s="102">
        <v>1365</v>
      </c>
      <c r="HC11" s="102">
        <v>1365</v>
      </c>
      <c r="HD11" s="102">
        <v>1365</v>
      </c>
      <c r="HE11" s="102">
        <v>1400</v>
      </c>
      <c r="HF11" s="102">
        <v>1400</v>
      </c>
      <c r="HG11" s="102">
        <v>1400</v>
      </c>
      <c r="HH11" s="102">
        <v>1410</v>
      </c>
      <c r="HI11" s="102">
        <v>1410</v>
      </c>
      <c r="HJ11" s="102">
        <v>1430</v>
      </c>
      <c r="HK11" s="102">
        <v>1430</v>
      </c>
      <c r="HL11" s="102">
        <v>1425</v>
      </c>
      <c r="HM11" s="102">
        <v>1425</v>
      </c>
      <c r="HN11" s="102">
        <v>1440</v>
      </c>
      <c r="HO11" s="102">
        <v>1440</v>
      </c>
      <c r="HP11" s="102">
        <v>1440</v>
      </c>
      <c r="HQ11" s="102">
        <v>1440</v>
      </c>
      <c r="HR11" s="102">
        <v>1440</v>
      </c>
      <c r="HS11" s="102">
        <v>1440</v>
      </c>
      <c r="HT11" s="102">
        <v>1440</v>
      </c>
      <c r="HU11" s="102">
        <v>1440</v>
      </c>
      <c r="HV11" s="102">
        <v>1440</v>
      </c>
      <c r="HW11" s="102">
        <v>1430</v>
      </c>
      <c r="HX11" s="102">
        <v>1430</v>
      </c>
      <c r="HY11" s="102">
        <v>1425</v>
      </c>
      <c r="HZ11" s="102">
        <v>1400</v>
      </c>
      <c r="IA11" s="102">
        <v>1400</v>
      </c>
      <c r="IB11" s="102">
        <v>1375</v>
      </c>
      <c r="IC11" s="102">
        <v>1350</v>
      </c>
      <c r="ID11" s="102">
        <v>1350</v>
      </c>
      <c r="IE11" s="102">
        <v>1350</v>
      </c>
      <c r="IF11" s="102">
        <v>1350</v>
      </c>
      <c r="IG11" s="102">
        <v>1350</v>
      </c>
      <c r="IH11" s="102">
        <v>1350</v>
      </c>
      <c r="II11" s="102">
        <v>1360</v>
      </c>
      <c r="IJ11" s="102">
        <v>1360</v>
      </c>
      <c r="IK11" s="102">
        <v>1360</v>
      </c>
      <c r="IL11" s="102">
        <v>1360</v>
      </c>
      <c r="IM11" s="102">
        <v>1360</v>
      </c>
      <c r="IN11" s="102">
        <v>1360</v>
      </c>
      <c r="IO11" s="102">
        <v>1360</v>
      </c>
      <c r="IP11" s="102">
        <v>1360</v>
      </c>
      <c r="IQ11" s="102">
        <v>1360</v>
      </c>
      <c r="IR11" s="102">
        <v>1360</v>
      </c>
      <c r="IS11" s="102">
        <v>1360</v>
      </c>
      <c r="IT11" s="102">
        <v>1360</v>
      </c>
      <c r="IU11" s="102">
        <v>1360</v>
      </c>
      <c r="IV11" s="102">
        <v>1360</v>
      </c>
      <c r="IW11" s="102">
        <v>1360</v>
      </c>
      <c r="IX11" s="102">
        <v>1360</v>
      </c>
      <c r="IY11" s="102">
        <v>1360</v>
      </c>
      <c r="IZ11" s="102">
        <v>1360</v>
      </c>
      <c r="JA11" s="102">
        <v>1360</v>
      </c>
      <c r="JB11" s="102">
        <v>1300</v>
      </c>
      <c r="JC11" s="102">
        <v>1300</v>
      </c>
      <c r="JD11" s="102">
        <v>1300</v>
      </c>
      <c r="JE11" s="102">
        <v>1300</v>
      </c>
      <c r="JF11" s="102">
        <v>1300</v>
      </c>
      <c r="JG11" s="102">
        <v>1290</v>
      </c>
      <c r="JH11" s="102">
        <v>1290</v>
      </c>
      <c r="JI11" s="102">
        <v>1290</v>
      </c>
      <c r="JJ11" s="102">
        <v>1290</v>
      </c>
      <c r="JK11" s="102">
        <v>1260</v>
      </c>
      <c r="JL11" s="102">
        <v>1260</v>
      </c>
      <c r="JM11" s="102">
        <v>1240</v>
      </c>
      <c r="JN11" s="102">
        <v>1250</v>
      </c>
      <c r="JO11" s="102">
        <v>1250</v>
      </c>
      <c r="JP11" s="102">
        <v>1250</v>
      </c>
      <c r="JQ11" s="102">
        <v>1250</v>
      </c>
      <c r="JR11" s="102">
        <v>1250</v>
      </c>
      <c r="JS11" s="102">
        <v>1250</v>
      </c>
      <c r="JT11" s="102">
        <v>1250</v>
      </c>
      <c r="JU11" s="102">
        <v>1225</v>
      </c>
      <c r="JV11" s="102">
        <v>1225</v>
      </c>
      <c r="JW11" s="102">
        <v>1200</v>
      </c>
      <c r="JX11" s="102">
        <v>1200</v>
      </c>
      <c r="JY11" s="102">
        <v>1150</v>
      </c>
      <c r="JZ11" s="102">
        <v>1150</v>
      </c>
      <c r="KA11" s="102">
        <v>1150</v>
      </c>
      <c r="KB11" s="102">
        <v>1150</v>
      </c>
      <c r="KC11" s="102">
        <v>1150</v>
      </c>
      <c r="KD11" s="102">
        <v>1150</v>
      </c>
      <c r="KE11" s="102">
        <v>1150</v>
      </c>
      <c r="KF11" s="102">
        <v>1150</v>
      </c>
      <c r="KG11" s="102">
        <v>1150</v>
      </c>
      <c r="KH11" s="102">
        <v>1150</v>
      </c>
      <c r="KI11" s="102">
        <v>1175</v>
      </c>
      <c r="KJ11" s="102">
        <v>1185</v>
      </c>
      <c r="KK11" s="102">
        <v>1220</v>
      </c>
      <c r="KL11" s="102">
        <v>1300</v>
      </c>
    </row>
    <row r="12" spans="1:298" s="13" customFormat="1" ht="14">
      <c r="A12" s="54">
        <v>9</v>
      </c>
      <c r="B12" s="55"/>
      <c r="C12" s="55"/>
      <c r="D12" s="54" t="s">
        <v>37</v>
      </c>
      <c r="E12" s="55" t="s">
        <v>38</v>
      </c>
      <c r="F12" s="55" t="s">
        <v>40</v>
      </c>
      <c r="G12" s="54" t="s">
        <v>24</v>
      </c>
      <c r="H12" s="55" t="s">
        <v>40</v>
      </c>
      <c r="I12" s="56"/>
      <c r="J12" s="56"/>
      <c r="K12" s="56"/>
      <c r="L12" s="56"/>
      <c r="M12" s="56"/>
      <c r="N12" s="56"/>
      <c r="O12" s="56"/>
      <c r="P12" s="56">
        <v>1400</v>
      </c>
      <c r="Q12" s="56">
        <v>1500</v>
      </c>
      <c r="R12" s="56">
        <v>1500</v>
      </c>
      <c r="S12" s="56">
        <v>1500</v>
      </c>
      <c r="T12" s="56">
        <v>1500</v>
      </c>
      <c r="U12" s="56">
        <v>1500</v>
      </c>
      <c r="V12" s="56">
        <v>1650</v>
      </c>
      <c r="W12" s="57">
        <v>1650</v>
      </c>
      <c r="X12" s="56">
        <v>1650</v>
      </c>
      <c r="Y12" s="56">
        <v>1650</v>
      </c>
      <c r="Z12" s="57">
        <v>1800</v>
      </c>
      <c r="AA12" s="56">
        <v>1700</v>
      </c>
      <c r="AB12" s="56">
        <v>1610</v>
      </c>
      <c r="AC12" s="58">
        <v>1520</v>
      </c>
      <c r="AD12" s="58">
        <v>1538</v>
      </c>
      <c r="AE12" s="58">
        <v>1550</v>
      </c>
      <c r="AF12" s="58">
        <v>1500</v>
      </c>
      <c r="AG12" s="58">
        <v>1500</v>
      </c>
      <c r="AH12" s="58">
        <v>1500</v>
      </c>
      <c r="AI12" s="58">
        <v>1500</v>
      </c>
      <c r="AJ12" s="58">
        <v>1500</v>
      </c>
      <c r="AK12" s="58">
        <v>1410</v>
      </c>
      <c r="AL12" s="58">
        <f>+SUM(ED12:EG12)/4</f>
        <v>1325</v>
      </c>
      <c r="AM12" s="58">
        <f>+SUM(EH12:EK12)/4</f>
        <v>1345</v>
      </c>
      <c r="AN12" s="58">
        <f>+SUM(EL12:EN12)/COUNT(EL12:EN12)</f>
        <v>1530</v>
      </c>
      <c r="AO12" s="58">
        <f>+SUM(EP12:ES12)/COUNT(EP12:ES12)</f>
        <v>1530</v>
      </c>
      <c r="AP12" s="58">
        <f>+SUM(ET12:EX12)/COUNT(ET12:EX12)</f>
        <v>1516</v>
      </c>
      <c r="AQ12" s="58">
        <f>+SUM(EY12:FB12)/COUNT(EY12:FB12)</f>
        <v>1362.5</v>
      </c>
      <c r="AR12" s="58">
        <f>+SUM(FC12:FF12)/COUNT(FC12:FF12)</f>
        <v>1350</v>
      </c>
      <c r="AS12" s="58">
        <f>+SUM(FG12:FK12)/COUNT(FG12:FK12)</f>
        <v>1328</v>
      </c>
      <c r="AT12" s="58">
        <f>+SUM(FL12:FO12)/COUNT(FL12:FO12)</f>
        <v>1327.5</v>
      </c>
      <c r="AU12" s="58">
        <f>+SUM(FP12:FS12)/COUNT(FP12:FS12)</f>
        <v>1326.25</v>
      </c>
      <c r="AV12" s="102">
        <f>+SUM(FT12:FW12)/COUNT(FT12:FW12)</f>
        <v>1350</v>
      </c>
      <c r="AW12" s="102">
        <f>+SUM(FX12:GB12)/COUNT(FX12:GB12)</f>
        <v>1350</v>
      </c>
      <c r="AX12" s="102">
        <f>+SUM(GC12:GF12)/COUNT(GC12:GF12)</f>
        <v>1375</v>
      </c>
      <c r="AY12" s="102">
        <f>+SUM(GG12:GI12)/COUNT(GG12:GI12)</f>
        <v>1400</v>
      </c>
      <c r="AZ12" s="102">
        <f>+SUM(GJ12:GM12)/COUNT(GJ12:GM12)</f>
        <v>1390</v>
      </c>
      <c r="BA12" s="102">
        <f>+SUM(GN12:GQ12)/COUNT(GN12:GQ12)</f>
        <v>1397.5</v>
      </c>
      <c r="BB12" s="102">
        <f>+SUM(GR12:GV12)/COUNT(GR12:GV12)</f>
        <v>1399.2</v>
      </c>
      <c r="BC12" s="102">
        <f t="shared" si="34"/>
        <v>1455</v>
      </c>
      <c r="BD12" s="102">
        <f t="shared" si="35"/>
        <v>1455</v>
      </c>
      <c r="BE12" s="102">
        <f>+SUM(HE12:HI12)/COUNT(HE12:HI12)</f>
        <v>1504</v>
      </c>
      <c r="BF12" s="102">
        <f t="shared" si="36"/>
        <v>1550</v>
      </c>
      <c r="BG12" s="102">
        <f t="shared" si="37"/>
        <v>1580</v>
      </c>
      <c r="BH12" s="102">
        <f>+SUM(HR12:HV12)/COUNT(HR12:HV12)</f>
        <v>1580</v>
      </c>
      <c r="BI12" s="102">
        <f t="shared" si="38"/>
        <v>1555</v>
      </c>
      <c r="BJ12" s="102">
        <f>+SUM(IA12:ID12)/COUNT(IA12:ID12)</f>
        <v>1512.5</v>
      </c>
      <c r="BK12" s="102">
        <f>+SUM(IE12:IH12)/COUNT(IE12:IH12)</f>
        <v>1500</v>
      </c>
      <c r="BL12" s="102">
        <f>+SUM(II12:IL12)/COUNT(II12:IL12)</f>
        <v>1500</v>
      </c>
      <c r="BM12" s="102">
        <f>+SUM(IM12:IP12)/COUNT(IM12:IP12)</f>
        <v>1500</v>
      </c>
      <c r="BN12" s="102">
        <f>+SUM(IQ12:IU12)/COUNT(IQ12:IU12)</f>
        <v>1500</v>
      </c>
      <c r="BO12" s="102">
        <f t="shared" ref="BO12:BO14" si="40">+SUM(IV12:IY12)/COUNT(IV12:IY12)</f>
        <v>1500</v>
      </c>
      <c r="BP12" s="102">
        <f>+SUM(IZ12:JD12)/COUNT(IZ12:JD12)</f>
        <v>1440</v>
      </c>
      <c r="BQ12" s="102">
        <f t="shared" ref="BQ12:BQ14" si="41">+SUM(JE12:JH12)/COUNT(JE12:JH12)</f>
        <v>1390</v>
      </c>
      <c r="BR12" s="102">
        <f t="shared" ref="BR12:BR14" si="42">+SUM(JI12:JL12)/COUNT(JI12:JL12)</f>
        <v>1350</v>
      </c>
      <c r="BS12" s="102">
        <f t="shared" ref="BS12:BS14" si="43">+SUM(JM12:JQ12)/COUNT(JM12:JQ12)</f>
        <v>1344</v>
      </c>
      <c r="BT12" s="102">
        <f t="shared" ref="BT12:BT14" si="44">+SUM(JR12:JU12)/COUNT(JR12:JU12)</f>
        <v>1350</v>
      </c>
      <c r="BU12" s="102">
        <f t="shared" ref="BU12:BU14" si="45">+SUM(JV12:JY12)/COUNT(JV12:JY12)</f>
        <v>1300</v>
      </c>
      <c r="BV12" s="102">
        <f t="shared" ref="BV12:BV14" si="46">+SUM(JZ12:KD12)/COUNT(JZ12:KD12)</f>
        <v>1250</v>
      </c>
      <c r="BW12" s="102">
        <f t="shared" ref="BW12:BW14" si="47">+SUM(KE12:KH12)/COUNT(KE12:KH12)</f>
        <v>1250</v>
      </c>
      <c r="BX12" s="102">
        <f t="shared" ref="BX12:BX14" si="48">+SUM(KI12:KL12)/COUNT(KI12:KL12)</f>
        <v>1312.5</v>
      </c>
      <c r="BY12" s="102">
        <v>1400</v>
      </c>
      <c r="CA12" s="54" t="s">
        <v>37</v>
      </c>
      <c r="CB12" s="55" t="s">
        <v>38</v>
      </c>
      <c r="CC12" s="126" t="s">
        <v>40</v>
      </c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6">
        <v>1670</v>
      </c>
      <c r="DB12" s="56">
        <v>1700</v>
      </c>
      <c r="DC12" s="56">
        <v>1650</v>
      </c>
      <c r="DD12" s="56">
        <v>1620</v>
      </c>
      <c r="DE12" s="56">
        <v>1650</v>
      </c>
      <c r="DF12" s="56">
        <v>1650</v>
      </c>
      <c r="DG12" s="56">
        <v>1650</v>
      </c>
      <c r="DH12" s="56">
        <v>1680</v>
      </c>
      <c r="DI12" s="56">
        <v>1680</v>
      </c>
      <c r="DJ12" s="56">
        <v>1620</v>
      </c>
      <c r="DK12" s="56">
        <v>1620</v>
      </c>
      <c r="DL12" s="56">
        <v>1520</v>
      </c>
      <c r="DM12" s="56">
        <v>1550</v>
      </c>
      <c r="DN12" s="56">
        <v>1550</v>
      </c>
      <c r="DO12" s="56">
        <v>1550</v>
      </c>
      <c r="DP12" s="56">
        <v>1550</v>
      </c>
      <c r="DQ12" s="56">
        <v>1500</v>
      </c>
      <c r="DR12" s="58">
        <v>1500</v>
      </c>
      <c r="DS12" s="58">
        <v>1500</v>
      </c>
      <c r="DT12" s="58">
        <v>1500</v>
      </c>
      <c r="DU12" s="58">
        <v>1450</v>
      </c>
      <c r="DV12" s="58">
        <v>1450</v>
      </c>
      <c r="DW12" s="58">
        <v>1450</v>
      </c>
      <c r="DX12" s="58">
        <v>1450</v>
      </c>
      <c r="DY12" s="115">
        <v>1450</v>
      </c>
      <c r="DZ12" s="115">
        <v>1450</v>
      </c>
      <c r="EA12" s="115">
        <v>1450</v>
      </c>
      <c r="EB12" s="115">
        <v>1350</v>
      </c>
      <c r="EC12" s="115">
        <v>1350</v>
      </c>
      <c r="ED12" s="58">
        <v>1350</v>
      </c>
      <c r="EE12" s="58">
        <v>1350</v>
      </c>
      <c r="EF12" s="58">
        <v>1300</v>
      </c>
      <c r="EG12" s="58">
        <v>1300</v>
      </c>
      <c r="EH12" s="58">
        <v>1300</v>
      </c>
      <c r="EI12" s="58">
        <v>1300</v>
      </c>
      <c r="EJ12" s="58">
        <v>1350</v>
      </c>
      <c r="EK12" s="58">
        <v>1430</v>
      </c>
      <c r="EL12" s="58">
        <v>1530</v>
      </c>
      <c r="EM12" s="58">
        <v>1530</v>
      </c>
      <c r="EN12" s="58">
        <v>1530</v>
      </c>
      <c r="EO12" s="58">
        <v>1530</v>
      </c>
      <c r="EP12" s="58">
        <v>1530</v>
      </c>
      <c r="EQ12" s="58">
        <v>1530</v>
      </c>
      <c r="ER12" s="58">
        <v>1530</v>
      </c>
      <c r="ES12" s="58">
        <v>1530</v>
      </c>
      <c r="ET12" s="58">
        <v>1530</v>
      </c>
      <c r="EU12" s="58">
        <v>1530</v>
      </c>
      <c r="EV12" s="58">
        <v>1530</v>
      </c>
      <c r="EW12" s="58">
        <v>1530</v>
      </c>
      <c r="EX12" s="58">
        <v>1460</v>
      </c>
      <c r="EY12" s="58">
        <v>1400</v>
      </c>
      <c r="EZ12" s="58">
        <v>1350</v>
      </c>
      <c r="FA12" s="58">
        <v>1350</v>
      </c>
      <c r="FB12" s="58">
        <v>1350</v>
      </c>
      <c r="FC12" s="58">
        <v>1350</v>
      </c>
      <c r="FD12" s="58">
        <v>1350</v>
      </c>
      <c r="FE12" s="58">
        <v>1350</v>
      </c>
      <c r="FF12" s="58">
        <v>1350</v>
      </c>
      <c r="FG12" s="58">
        <v>1300</v>
      </c>
      <c r="FH12" s="58">
        <v>1320</v>
      </c>
      <c r="FI12" s="58">
        <v>1320</v>
      </c>
      <c r="FJ12" s="102">
        <v>1350</v>
      </c>
      <c r="FK12" s="102">
        <v>1350</v>
      </c>
      <c r="FL12" s="102">
        <v>1330</v>
      </c>
      <c r="FM12" s="102">
        <v>1330</v>
      </c>
      <c r="FN12" s="102">
        <v>1330</v>
      </c>
      <c r="FO12" s="102">
        <v>1320</v>
      </c>
      <c r="FP12" s="102">
        <v>1320</v>
      </c>
      <c r="FQ12" s="102">
        <v>1325</v>
      </c>
      <c r="FR12" s="102">
        <v>1310</v>
      </c>
      <c r="FS12" s="102">
        <v>1350</v>
      </c>
      <c r="FT12" s="102">
        <v>1350</v>
      </c>
      <c r="FU12" s="102">
        <v>1350</v>
      </c>
      <c r="FV12" s="102">
        <v>1350</v>
      </c>
      <c r="FW12" s="102">
        <v>1350</v>
      </c>
      <c r="FX12" s="102">
        <v>1350</v>
      </c>
      <c r="FY12" s="102">
        <v>1350</v>
      </c>
      <c r="FZ12" s="102">
        <v>1350</v>
      </c>
      <c r="GA12" s="102">
        <v>1350</v>
      </c>
      <c r="GB12" s="102">
        <v>1350</v>
      </c>
      <c r="GC12" s="102">
        <v>1350</v>
      </c>
      <c r="GD12" s="102">
        <v>1350</v>
      </c>
      <c r="GE12" s="102">
        <v>1400</v>
      </c>
      <c r="GF12" s="102">
        <v>1400</v>
      </c>
      <c r="GG12" s="102">
        <v>1400</v>
      </c>
      <c r="GH12" s="102">
        <v>1400</v>
      </c>
      <c r="GI12" s="102">
        <v>1400</v>
      </c>
      <c r="GJ12" s="102">
        <v>1400</v>
      </c>
      <c r="GK12" s="102">
        <v>1400</v>
      </c>
      <c r="GL12" s="102">
        <v>1380</v>
      </c>
      <c r="GM12" s="102">
        <v>1380</v>
      </c>
      <c r="GN12" s="102">
        <v>1400</v>
      </c>
      <c r="GO12" s="102">
        <v>1400</v>
      </c>
      <c r="GP12" s="102">
        <v>1400</v>
      </c>
      <c r="GQ12" s="102">
        <v>1390</v>
      </c>
      <c r="GR12" s="102">
        <v>1396</v>
      </c>
      <c r="GS12" s="102">
        <v>1400</v>
      </c>
      <c r="GT12" s="102">
        <v>1400</v>
      </c>
      <c r="GU12" s="102">
        <v>1400</v>
      </c>
      <c r="GV12" s="102">
        <v>1400</v>
      </c>
      <c r="GW12" s="102">
        <v>1455</v>
      </c>
      <c r="GX12" s="102">
        <v>1455</v>
      </c>
      <c r="GY12" s="102">
        <v>1455</v>
      </c>
      <c r="GZ12" s="102">
        <v>1455</v>
      </c>
      <c r="HA12" s="102">
        <v>1455</v>
      </c>
      <c r="HB12" s="102">
        <v>1455</v>
      </c>
      <c r="HC12" s="102">
        <v>1455</v>
      </c>
      <c r="HD12" s="102">
        <v>1455</v>
      </c>
      <c r="HE12" s="102">
        <v>1500</v>
      </c>
      <c r="HF12" s="102">
        <v>1500</v>
      </c>
      <c r="HG12" s="102">
        <v>1500</v>
      </c>
      <c r="HH12" s="102">
        <v>1510</v>
      </c>
      <c r="HI12" s="102">
        <v>1510</v>
      </c>
      <c r="HJ12" s="102">
        <v>1550</v>
      </c>
      <c r="HK12" s="102">
        <v>1550</v>
      </c>
      <c r="HL12" s="102">
        <v>1550</v>
      </c>
      <c r="HM12" s="102">
        <v>1550</v>
      </c>
      <c r="HN12" s="102">
        <v>1580</v>
      </c>
      <c r="HO12" s="102">
        <v>1580</v>
      </c>
      <c r="HP12" s="102">
        <v>1580</v>
      </c>
      <c r="HQ12" s="102">
        <v>1580</v>
      </c>
      <c r="HR12" s="102">
        <v>1580</v>
      </c>
      <c r="HS12" s="102">
        <v>1580</v>
      </c>
      <c r="HT12" s="102">
        <v>1580</v>
      </c>
      <c r="HU12" s="102">
        <v>1580</v>
      </c>
      <c r="HV12" s="102">
        <v>1580</v>
      </c>
      <c r="HW12" s="102">
        <v>1560</v>
      </c>
      <c r="HX12" s="102">
        <v>1560</v>
      </c>
      <c r="HY12" s="102">
        <v>1550</v>
      </c>
      <c r="HZ12" s="102">
        <v>1550</v>
      </c>
      <c r="IA12" s="102">
        <v>1550</v>
      </c>
      <c r="IB12" s="102">
        <v>1500</v>
      </c>
      <c r="IC12" s="102">
        <v>1500</v>
      </c>
      <c r="ID12" s="102">
        <v>1500</v>
      </c>
      <c r="IE12" s="102">
        <v>1500</v>
      </c>
      <c r="IF12" s="102">
        <v>1500</v>
      </c>
      <c r="IG12" s="102">
        <v>1500</v>
      </c>
      <c r="IH12" s="102">
        <v>1500</v>
      </c>
      <c r="II12" s="102">
        <v>1500</v>
      </c>
      <c r="IJ12" s="102">
        <v>1500</v>
      </c>
      <c r="IK12" s="102">
        <v>1500</v>
      </c>
      <c r="IL12" s="102">
        <v>1500</v>
      </c>
      <c r="IM12" s="102">
        <v>1500</v>
      </c>
      <c r="IN12" s="102">
        <v>1500</v>
      </c>
      <c r="IO12" s="102">
        <v>1500</v>
      </c>
      <c r="IP12" s="102">
        <v>1500</v>
      </c>
      <c r="IQ12" s="102">
        <v>1500</v>
      </c>
      <c r="IR12" s="102">
        <v>1500</v>
      </c>
      <c r="IS12" s="102">
        <v>1500</v>
      </c>
      <c r="IT12" s="102">
        <v>1500</v>
      </c>
      <c r="IU12" s="102">
        <v>1500</v>
      </c>
      <c r="IV12" s="102">
        <v>1500</v>
      </c>
      <c r="IW12" s="102">
        <v>1500</v>
      </c>
      <c r="IX12" s="102">
        <v>1500</v>
      </c>
      <c r="IY12" s="102">
        <v>1500</v>
      </c>
      <c r="IZ12" s="102">
        <v>1500</v>
      </c>
      <c r="JA12" s="102">
        <v>1500</v>
      </c>
      <c r="JB12" s="102">
        <v>1400</v>
      </c>
      <c r="JC12" s="102">
        <v>1400</v>
      </c>
      <c r="JD12" s="102">
        <v>1400</v>
      </c>
      <c r="JE12" s="102">
        <v>1400</v>
      </c>
      <c r="JF12" s="102">
        <v>1400</v>
      </c>
      <c r="JG12" s="102">
        <v>1380</v>
      </c>
      <c r="JH12" s="102">
        <v>1380</v>
      </c>
      <c r="JI12" s="102">
        <v>1380</v>
      </c>
      <c r="JJ12" s="102">
        <v>1380</v>
      </c>
      <c r="JK12" s="102">
        <v>1320</v>
      </c>
      <c r="JL12" s="102">
        <v>1320</v>
      </c>
      <c r="JM12" s="102">
        <v>1320</v>
      </c>
      <c r="JN12" s="102">
        <v>1350</v>
      </c>
      <c r="JO12" s="102">
        <v>1350</v>
      </c>
      <c r="JP12" s="102">
        <v>1350</v>
      </c>
      <c r="JQ12" s="102">
        <v>1350</v>
      </c>
      <c r="JR12" s="102">
        <v>1350</v>
      </c>
      <c r="JS12" s="102">
        <v>1350</v>
      </c>
      <c r="JT12" s="102">
        <v>1350</v>
      </c>
      <c r="JU12" s="102">
        <v>1350</v>
      </c>
      <c r="JV12" s="102">
        <v>1350</v>
      </c>
      <c r="JW12" s="102">
        <v>1300</v>
      </c>
      <c r="JX12" s="102">
        <v>1300</v>
      </c>
      <c r="JY12" s="102">
        <v>1250</v>
      </c>
      <c r="JZ12" s="102">
        <v>1250</v>
      </c>
      <c r="KA12" s="102">
        <v>1250</v>
      </c>
      <c r="KB12" s="102">
        <v>1250</v>
      </c>
      <c r="KC12" s="102">
        <v>1250</v>
      </c>
      <c r="KD12" s="102">
        <v>1250</v>
      </c>
      <c r="KE12" s="102">
        <v>1250</v>
      </c>
      <c r="KF12" s="102">
        <v>1250</v>
      </c>
      <c r="KG12" s="102">
        <v>1250</v>
      </c>
      <c r="KH12" s="102">
        <v>1250</v>
      </c>
      <c r="KI12" s="102">
        <v>1250</v>
      </c>
      <c r="KJ12" s="102">
        <v>1270</v>
      </c>
      <c r="KK12" s="102">
        <v>1330</v>
      </c>
      <c r="KL12" s="102">
        <v>1400</v>
      </c>
    </row>
    <row r="13" spans="1:298" ht="14" hidden="1">
      <c r="D13" s="54" t="s">
        <v>41</v>
      </c>
      <c r="E13" s="25"/>
      <c r="F13" s="59" t="s">
        <v>42</v>
      </c>
      <c r="G13" s="54" t="s">
        <v>24</v>
      </c>
      <c r="H13" s="110" t="s">
        <v>71</v>
      </c>
      <c r="I13" s="25"/>
      <c r="J13" s="25"/>
      <c r="K13" s="25"/>
      <c r="L13" s="25"/>
      <c r="M13" s="25"/>
      <c r="N13" s="25"/>
      <c r="O13" s="25"/>
      <c r="P13" s="25"/>
      <c r="Q13" s="25"/>
      <c r="R13" s="56">
        <v>1290</v>
      </c>
      <c r="S13" s="56">
        <v>1290</v>
      </c>
      <c r="T13" s="56">
        <v>1290</v>
      </c>
      <c r="U13" s="56">
        <v>1205</v>
      </c>
      <c r="V13" s="56">
        <v>1205</v>
      </c>
      <c r="W13" s="56">
        <v>1542</v>
      </c>
      <c r="X13" s="56">
        <v>1542</v>
      </c>
      <c r="Y13" s="56">
        <v>1542</v>
      </c>
      <c r="Z13" s="57">
        <v>1755</v>
      </c>
      <c r="AA13" s="56">
        <v>1755</v>
      </c>
      <c r="AB13" s="58">
        <v>1755</v>
      </c>
      <c r="AC13" s="58">
        <v>1755</v>
      </c>
      <c r="AD13" s="58">
        <v>1755</v>
      </c>
      <c r="AE13" s="58">
        <v>1718</v>
      </c>
      <c r="AF13" s="58">
        <v>1718</v>
      </c>
      <c r="AG13" s="58">
        <v>1718</v>
      </c>
      <c r="AH13" s="58">
        <v>1718</v>
      </c>
      <c r="AI13" s="58">
        <v>1718</v>
      </c>
      <c r="AJ13" s="58">
        <v>1718</v>
      </c>
      <c r="AK13" s="102">
        <v>1718</v>
      </c>
      <c r="AL13" s="58">
        <f>+SUM(ED13:EG13)/4</f>
        <v>1640.75</v>
      </c>
      <c r="AM13" s="58">
        <f>+SUM(EH13:EK13)/4</f>
        <v>1615</v>
      </c>
      <c r="AN13" s="58">
        <f>+SUM(EL13:EN13)/COUNT(EL13:EN13)</f>
        <v>1615</v>
      </c>
      <c r="AO13" s="58"/>
      <c r="AP13" s="58"/>
      <c r="AQ13" s="58"/>
      <c r="AR13" s="58"/>
      <c r="AS13" s="58"/>
      <c r="AT13" s="58"/>
      <c r="AU13" s="58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 t="e">
        <f t="shared" si="40"/>
        <v>#DIV/0!</v>
      </c>
      <c r="BP13" s="102" t="e">
        <f t="shared" ref="BP13:BP14" si="49">+SUM(IZ13:JD13)/COUNT(IZ13:JD13)</f>
        <v>#DIV/0!</v>
      </c>
      <c r="BQ13" s="102" t="e">
        <f t="shared" si="41"/>
        <v>#DIV/0!</v>
      </c>
      <c r="BR13" s="102" t="e">
        <f t="shared" si="42"/>
        <v>#DIV/0!</v>
      </c>
      <c r="BS13" s="102" t="e">
        <f t="shared" si="43"/>
        <v>#DIV/0!</v>
      </c>
      <c r="BT13" s="102" t="e">
        <f t="shared" si="44"/>
        <v>#DIV/0!</v>
      </c>
      <c r="BU13" s="102" t="e">
        <f t="shared" si="45"/>
        <v>#DIV/0!</v>
      </c>
      <c r="BV13" s="102" t="e">
        <f t="shared" si="46"/>
        <v>#DIV/0!</v>
      </c>
      <c r="BW13" s="102" t="e">
        <f t="shared" si="47"/>
        <v>#DIV/0!</v>
      </c>
      <c r="BX13" s="102" t="e">
        <f t="shared" si="48"/>
        <v>#DIV/0!</v>
      </c>
      <c r="BY13" s="102"/>
      <c r="CA13" s="54" t="s">
        <v>41</v>
      </c>
      <c r="CB13" s="25"/>
      <c r="CC13" s="110" t="s">
        <v>71</v>
      </c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6">
        <v>1755</v>
      </c>
      <c r="DB13" s="56">
        <v>1755</v>
      </c>
      <c r="DC13" s="56">
        <v>1755</v>
      </c>
      <c r="DD13" s="56">
        <v>1755</v>
      </c>
      <c r="DE13" s="56">
        <v>1755</v>
      </c>
      <c r="DF13" s="56">
        <v>1755</v>
      </c>
      <c r="DG13" s="56">
        <v>1755</v>
      </c>
      <c r="DH13" s="56">
        <v>1755</v>
      </c>
      <c r="DI13" s="56">
        <v>1755</v>
      </c>
      <c r="DJ13" s="56">
        <v>1755</v>
      </c>
      <c r="DK13" s="56">
        <v>1755</v>
      </c>
      <c r="DL13" s="56">
        <v>1718</v>
      </c>
      <c r="DM13" s="56">
        <v>1718</v>
      </c>
      <c r="DN13" s="56">
        <v>1718</v>
      </c>
      <c r="DO13" s="56">
        <v>1718</v>
      </c>
      <c r="DP13" s="56">
        <v>1718</v>
      </c>
      <c r="DQ13" s="56">
        <v>1718</v>
      </c>
      <c r="DR13" s="58">
        <v>1718</v>
      </c>
      <c r="DS13" s="58">
        <v>1718</v>
      </c>
      <c r="DT13" s="58">
        <v>1718</v>
      </c>
      <c r="DU13" s="58">
        <v>1718</v>
      </c>
      <c r="DV13" s="58">
        <v>1718</v>
      </c>
      <c r="DW13" s="58">
        <v>1718</v>
      </c>
      <c r="DX13" s="58">
        <v>1718</v>
      </c>
      <c r="DY13" s="58">
        <v>1718</v>
      </c>
      <c r="DZ13" s="58">
        <v>1718</v>
      </c>
      <c r="EA13" s="58">
        <v>1718</v>
      </c>
      <c r="EB13" s="58">
        <v>1718</v>
      </c>
      <c r="EC13" s="58">
        <v>1718</v>
      </c>
      <c r="ED13" s="58">
        <v>1718</v>
      </c>
      <c r="EE13" s="58">
        <v>1615</v>
      </c>
      <c r="EF13" s="58">
        <v>1615</v>
      </c>
      <c r="EG13" s="58">
        <v>1615</v>
      </c>
      <c r="EH13" s="58">
        <v>1615</v>
      </c>
      <c r="EI13" s="58">
        <v>1615</v>
      </c>
      <c r="EJ13" s="58">
        <v>1615</v>
      </c>
      <c r="EK13" s="58">
        <v>1615</v>
      </c>
      <c r="EL13" s="58">
        <v>1615</v>
      </c>
      <c r="EM13" s="58">
        <v>1615</v>
      </c>
      <c r="EN13" s="58">
        <v>1615</v>
      </c>
      <c r="EO13" s="58">
        <v>1615</v>
      </c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  <c r="IK13" s="102"/>
      <c r="IL13" s="102"/>
      <c r="IM13" s="102"/>
      <c r="IN13" s="102"/>
      <c r="IO13" s="102"/>
      <c r="IP13" s="102"/>
      <c r="IQ13" s="102"/>
      <c r="IR13" s="102"/>
      <c r="IS13" s="102"/>
      <c r="IT13" s="102"/>
      <c r="IU13" s="102"/>
      <c r="IV13" s="102"/>
      <c r="IW13" s="102"/>
      <c r="IX13" s="102"/>
      <c r="IY13" s="102"/>
      <c r="IZ13" s="102"/>
      <c r="JA13" s="102"/>
      <c r="JB13" s="102"/>
      <c r="JC13" s="102"/>
      <c r="JD13" s="102"/>
      <c r="JE13" s="102"/>
      <c r="JF13" s="102"/>
      <c r="JG13" s="102"/>
      <c r="JH13" s="102"/>
      <c r="JI13" s="102"/>
      <c r="JJ13" s="102"/>
      <c r="JK13" s="102"/>
      <c r="JL13" s="102"/>
      <c r="JM13" s="102"/>
      <c r="JN13" s="102"/>
      <c r="JO13" s="102"/>
      <c r="JP13" s="102"/>
      <c r="JQ13" s="102"/>
      <c r="JR13" s="102"/>
      <c r="JS13" s="102"/>
      <c r="JT13" s="102"/>
      <c r="JU13" s="102"/>
      <c r="JV13" s="102"/>
      <c r="JW13" s="102"/>
      <c r="JX13" s="102"/>
      <c r="JY13" s="102"/>
      <c r="JZ13" s="102"/>
      <c r="KA13" s="102"/>
      <c r="KB13" s="102"/>
      <c r="KC13" s="102"/>
      <c r="KD13" s="102"/>
      <c r="KE13" s="102"/>
      <c r="KF13" s="102"/>
      <c r="KG13" s="102"/>
      <c r="KH13" s="102"/>
      <c r="KI13" s="102"/>
      <c r="KJ13" s="102"/>
      <c r="KK13" s="102"/>
      <c r="KL13" s="102"/>
    </row>
    <row r="14" spans="1:298" ht="14">
      <c r="D14" s="54" t="s">
        <v>41</v>
      </c>
      <c r="E14" s="25"/>
      <c r="F14" s="59" t="s">
        <v>130</v>
      </c>
      <c r="G14" s="54" t="s">
        <v>24</v>
      </c>
      <c r="H14" s="110" t="s">
        <v>130</v>
      </c>
      <c r="I14" s="25"/>
      <c r="J14" s="25"/>
      <c r="K14" s="25"/>
      <c r="L14" s="25"/>
      <c r="M14" s="25"/>
      <c r="N14" s="25"/>
      <c r="O14" s="25"/>
      <c r="P14" s="25"/>
      <c r="Q14" s="25"/>
      <c r="R14" s="56"/>
      <c r="S14" s="56">
        <v>1190</v>
      </c>
      <c r="T14" s="56">
        <v>1150</v>
      </c>
      <c r="U14" s="56">
        <v>1165</v>
      </c>
      <c r="V14" s="56">
        <v>1272.5</v>
      </c>
      <c r="W14" s="56">
        <v>1346</v>
      </c>
      <c r="X14" s="56">
        <v>1297.5</v>
      </c>
      <c r="Y14" s="56">
        <v>1316.6666666666667</v>
      </c>
      <c r="Z14" s="56">
        <v>1390</v>
      </c>
      <c r="AA14" s="56">
        <v>1220</v>
      </c>
      <c r="AB14" s="56">
        <v>1270</v>
      </c>
      <c r="AC14" s="56">
        <v>1190</v>
      </c>
      <c r="AD14" s="56">
        <v>1190</v>
      </c>
      <c r="AE14" s="56">
        <v>1130</v>
      </c>
      <c r="AF14" s="56">
        <v>1100</v>
      </c>
      <c r="AG14" s="56">
        <v>1100</v>
      </c>
      <c r="AH14" s="56">
        <v>1070</v>
      </c>
      <c r="AI14" s="56">
        <v>1040</v>
      </c>
      <c r="AJ14" s="56">
        <v>1040</v>
      </c>
      <c r="AK14" s="56">
        <f>+SUM(DZ14:EC14)/4</f>
        <v>977.5</v>
      </c>
      <c r="AL14" s="58">
        <f>+SUM(ED14:EG14)/4</f>
        <v>1000</v>
      </c>
      <c r="AM14" s="58">
        <f>+SUM(EH14:EK14)/4</f>
        <v>1045</v>
      </c>
      <c r="AN14" s="58">
        <f>+SUM(EL14:EN14)/COUNT(EL14:EN14)</f>
        <v>1020</v>
      </c>
      <c r="AO14" s="58">
        <f>+SUM(EP14:ES14)/COUNT(EP14:ES14)</f>
        <v>1055</v>
      </c>
      <c r="AP14" s="58">
        <f>+SUM(ET14:EX14)/COUNT(ET14:EX14)</f>
        <v>974</v>
      </c>
      <c r="AQ14" s="58">
        <f>+SUM(EY14:FB14)/COUNT(EY14:FB14)</f>
        <v>895</v>
      </c>
      <c r="AR14" s="58">
        <f>+SUM(FC14:FF14)/COUNT(FC14:FF14)</f>
        <v>903</v>
      </c>
      <c r="AS14" s="58">
        <f>+SUM(FG14:FK14)/COUNT(FG14:FK14)</f>
        <v>918</v>
      </c>
      <c r="AT14" s="58">
        <f>+SUM(FL14:FO14)/COUNT(FL14:FO14)</f>
        <v>930</v>
      </c>
      <c r="AU14" s="58">
        <f>+SUM(FP14:FS14)/COUNT(FP14:FS14)</f>
        <v>922.5</v>
      </c>
      <c r="AV14" s="102">
        <f>+SUM(FT14:FW14)/COUNT(FT14:FW14)</f>
        <v>900</v>
      </c>
      <c r="AW14" s="102">
        <f>+SUM(FX14:GB14)/COUNT(FX14:GB14)</f>
        <v>900</v>
      </c>
      <c r="AX14" s="102">
        <f>+SUM(GC14:GF14)/COUNT(GC14:GF14)</f>
        <v>930</v>
      </c>
      <c r="AY14" s="102">
        <f>+SUM(GG14:GI14)/COUNT(GG14:GI14)</f>
        <v>943.33333333333337</v>
      </c>
      <c r="AZ14" s="102">
        <f>+SUM(GJ14:GM14)/COUNT(GJ14:GM14)</f>
        <v>940</v>
      </c>
      <c r="BA14" s="102">
        <f>+SUM(GN14:GQ14)/COUNT(GN14:GQ14)</f>
        <v>940</v>
      </c>
      <c r="BB14" s="102">
        <f>+SUM(GR14:GV14)/COUNT(GR14:GV14)</f>
        <v>942</v>
      </c>
      <c r="BC14" s="102">
        <f>+SUM(GW14:GZ14)/COUNT(GW14:GZ14)</f>
        <v>950</v>
      </c>
      <c r="BD14" s="102">
        <f>+SUM(HA14:HD14)/COUNT(HA14:HD14)</f>
        <v>947.5</v>
      </c>
      <c r="BE14" s="102">
        <f>+SUM(HE14:HI14)/COUNT(HE14:HI14)</f>
        <v>930</v>
      </c>
      <c r="BF14" s="102">
        <f>+SUM(HJ14:HM14)/COUNT(HJ14:HM14)</f>
        <v>880</v>
      </c>
      <c r="BG14" s="102">
        <f>+SUM(HN14:HQ14)/COUNT(HN14:HQ14)</f>
        <v>862.5</v>
      </c>
      <c r="BH14" s="102">
        <f>+SUM(HR14:HV14)/COUNT(HR14:HV14)</f>
        <v>852</v>
      </c>
      <c r="BI14" s="102">
        <f>+SUM(HW14:HZ14)/COUNT(HW14:HZ14)</f>
        <v>830</v>
      </c>
      <c r="BJ14" s="102">
        <f>+SUM(IA14:ID14)/COUNT(IA14:ID14)</f>
        <v>827.5</v>
      </c>
      <c r="BK14" s="102">
        <f>+SUM(IE14:IH14)/COUNT(IE14:IH14)</f>
        <v>840</v>
      </c>
      <c r="BL14" s="102">
        <f>+SUM(II14:IL14)/COUNT(II14:IL14)</f>
        <v>822.5</v>
      </c>
      <c r="BM14" s="102">
        <f>+SUM(IM14:IP14)/COUNT(IM14:IP14)</f>
        <v>765</v>
      </c>
      <c r="BN14" s="102">
        <f>+SUM(IQ14:IU14)/COUNT(IQ14:IU14)</f>
        <v>782</v>
      </c>
      <c r="BO14" s="102">
        <f t="shared" si="40"/>
        <v>807.5</v>
      </c>
      <c r="BP14" s="102">
        <f t="shared" si="49"/>
        <v>802</v>
      </c>
      <c r="BQ14" s="102">
        <f t="shared" si="41"/>
        <v>795</v>
      </c>
      <c r="BR14" s="102">
        <f t="shared" si="42"/>
        <v>782.5</v>
      </c>
      <c r="BS14" s="102">
        <f t="shared" si="43"/>
        <v>772</v>
      </c>
      <c r="BT14" s="102">
        <f t="shared" si="44"/>
        <v>770</v>
      </c>
      <c r="BU14" s="102">
        <f t="shared" si="45"/>
        <v>772.5</v>
      </c>
      <c r="BV14" s="102">
        <f t="shared" si="46"/>
        <v>805</v>
      </c>
      <c r="BW14" s="102">
        <f t="shared" si="47"/>
        <v>840</v>
      </c>
      <c r="BX14" s="102">
        <f t="shared" si="48"/>
        <v>1108.75</v>
      </c>
      <c r="BY14" s="102">
        <v>1140</v>
      </c>
      <c r="BZ14" s="51"/>
      <c r="CA14" s="54" t="s">
        <v>41</v>
      </c>
      <c r="CB14" s="25"/>
      <c r="CC14" s="127" t="s">
        <v>130</v>
      </c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6">
        <f>+(1400+1430)/2</f>
        <v>1415</v>
      </c>
      <c r="DB14" s="56">
        <f>+(1380+1410)/2</f>
        <v>1395</v>
      </c>
      <c r="DC14" s="56">
        <f>+(1360+1390)/2</f>
        <v>1375</v>
      </c>
      <c r="DD14" s="56">
        <f>+(1320+1350)/2</f>
        <v>1335</v>
      </c>
      <c r="DE14" s="56">
        <f>+(1230+1270)/2</f>
        <v>1250</v>
      </c>
      <c r="DF14" s="56">
        <f>+(1210+1250)/2</f>
        <v>1230</v>
      </c>
      <c r="DG14" s="56">
        <f>+(1200+1240)/2</f>
        <v>1220</v>
      </c>
      <c r="DH14" s="56">
        <f>+(1230+1270)/2</f>
        <v>1250</v>
      </c>
      <c r="DI14" s="56">
        <f>+(1230+1270)/2</f>
        <v>1250</v>
      </c>
      <c r="DJ14" s="56">
        <f>+(1200+1240)/2</f>
        <v>1220</v>
      </c>
      <c r="DK14" s="56">
        <f>+(1170+1210)/2</f>
        <v>1190</v>
      </c>
      <c r="DL14" s="56">
        <f>+(1140+1180)/2</f>
        <v>1160</v>
      </c>
      <c r="DM14" s="56">
        <f>+(1140+1180)/2</f>
        <v>1160</v>
      </c>
      <c r="DN14" s="56">
        <f>+(1140+1180)/2</f>
        <v>1160</v>
      </c>
      <c r="DO14" s="56">
        <f>+(1110+1150)/2</f>
        <v>1130</v>
      </c>
      <c r="DP14" s="56">
        <f>+(1110+1150)/2</f>
        <v>1130</v>
      </c>
      <c r="DQ14" s="56">
        <v>1100</v>
      </c>
      <c r="DR14" s="56">
        <v>1100</v>
      </c>
      <c r="DS14" s="56">
        <v>1070</v>
      </c>
      <c r="DT14" s="56">
        <v>1040</v>
      </c>
      <c r="DU14" s="56">
        <v>995</v>
      </c>
      <c r="DV14" s="56">
        <v>980</v>
      </c>
      <c r="DW14" s="56">
        <f>+(960+1000)/2</f>
        <v>980</v>
      </c>
      <c r="DX14" s="56">
        <f>+(960+1000)/2</f>
        <v>980</v>
      </c>
      <c r="DY14" s="56">
        <f>+(940+1000)/2</f>
        <v>970</v>
      </c>
      <c r="DZ14" s="56">
        <f>+(940+1000)/2</f>
        <v>970</v>
      </c>
      <c r="EA14" s="56">
        <f>+(940+1000)/2</f>
        <v>970</v>
      </c>
      <c r="EB14" s="56">
        <f>+(960+1000)/2</f>
        <v>980</v>
      </c>
      <c r="EC14" s="56">
        <f>+(970+1010)/2</f>
        <v>990</v>
      </c>
      <c r="ED14" s="56">
        <v>970</v>
      </c>
      <c r="EE14" s="56">
        <v>980</v>
      </c>
      <c r="EF14" s="114">
        <v>990</v>
      </c>
      <c r="EG14" s="114">
        <v>1060</v>
      </c>
      <c r="EH14" s="114">
        <v>1070</v>
      </c>
      <c r="EI14" s="114">
        <v>1070</v>
      </c>
      <c r="EJ14" s="118">
        <v>1020</v>
      </c>
      <c r="EK14" s="118">
        <v>1020</v>
      </c>
      <c r="EL14" s="118">
        <v>1020</v>
      </c>
      <c r="EM14" s="118">
        <v>1020</v>
      </c>
      <c r="EN14" s="118">
        <v>1020</v>
      </c>
      <c r="EO14" s="118">
        <v>1020</v>
      </c>
      <c r="EP14" s="118">
        <v>1050</v>
      </c>
      <c r="EQ14" s="118">
        <v>1070</v>
      </c>
      <c r="ER14" s="118">
        <v>1050</v>
      </c>
      <c r="ES14" s="118">
        <v>1050</v>
      </c>
      <c r="ET14" s="118">
        <v>1020</v>
      </c>
      <c r="EU14" s="118">
        <v>1000</v>
      </c>
      <c r="EV14" s="118">
        <v>980</v>
      </c>
      <c r="EW14" s="118">
        <v>960</v>
      </c>
      <c r="EX14" s="118">
        <v>910</v>
      </c>
      <c r="EY14" s="118">
        <v>910</v>
      </c>
      <c r="EZ14" s="118">
        <v>890</v>
      </c>
      <c r="FA14" s="118">
        <v>890</v>
      </c>
      <c r="FB14" s="118">
        <v>890</v>
      </c>
      <c r="FC14" s="118">
        <v>890</v>
      </c>
      <c r="FD14" s="118">
        <v>882</v>
      </c>
      <c r="FE14" s="118">
        <v>920</v>
      </c>
      <c r="FF14" s="118">
        <v>920</v>
      </c>
      <c r="FG14" s="118">
        <v>940</v>
      </c>
      <c r="FH14" s="118">
        <v>920</v>
      </c>
      <c r="FI14" s="118">
        <v>910</v>
      </c>
      <c r="FJ14" s="118">
        <v>910</v>
      </c>
      <c r="FK14" s="118">
        <v>910</v>
      </c>
      <c r="FL14" s="118">
        <v>910</v>
      </c>
      <c r="FM14" s="118">
        <v>930</v>
      </c>
      <c r="FN14" s="118">
        <v>940</v>
      </c>
      <c r="FO14" s="118">
        <v>940</v>
      </c>
      <c r="FP14" s="118">
        <v>940</v>
      </c>
      <c r="FQ14" s="118">
        <v>930</v>
      </c>
      <c r="FR14" s="118">
        <v>920</v>
      </c>
      <c r="FS14" s="118">
        <v>900</v>
      </c>
      <c r="FT14" s="118">
        <v>900</v>
      </c>
      <c r="FU14" s="118">
        <v>900</v>
      </c>
      <c r="FV14" s="118">
        <v>900</v>
      </c>
      <c r="FW14" s="118">
        <v>900</v>
      </c>
      <c r="FX14" s="118">
        <v>900</v>
      </c>
      <c r="FY14" s="118">
        <v>900</v>
      </c>
      <c r="FZ14" s="118">
        <v>900</v>
      </c>
      <c r="GA14" s="118">
        <v>900</v>
      </c>
      <c r="GB14" s="118">
        <v>900</v>
      </c>
      <c r="GC14" s="118">
        <v>900</v>
      </c>
      <c r="GD14" s="118">
        <v>940</v>
      </c>
      <c r="GE14" s="118">
        <v>940</v>
      </c>
      <c r="GF14" s="118">
        <v>940</v>
      </c>
      <c r="GG14" s="118">
        <v>950</v>
      </c>
      <c r="GH14" s="118">
        <v>940</v>
      </c>
      <c r="GI14" s="118">
        <v>940</v>
      </c>
      <c r="GJ14" s="118">
        <v>940</v>
      </c>
      <c r="GK14" s="118">
        <v>940</v>
      </c>
      <c r="GL14" s="118">
        <v>940</v>
      </c>
      <c r="GM14" s="118">
        <v>940</v>
      </c>
      <c r="GN14" s="118">
        <v>940</v>
      </c>
      <c r="GO14" s="118">
        <v>940</v>
      </c>
      <c r="GP14" s="118">
        <v>940</v>
      </c>
      <c r="GQ14" s="118">
        <v>940</v>
      </c>
      <c r="GR14" s="118">
        <v>940</v>
      </c>
      <c r="GS14" s="118">
        <v>940</v>
      </c>
      <c r="GT14" s="118">
        <v>940</v>
      </c>
      <c r="GU14" s="118">
        <v>940</v>
      </c>
      <c r="GV14" s="118">
        <v>950</v>
      </c>
      <c r="GW14" s="118">
        <v>950</v>
      </c>
      <c r="GX14" s="118">
        <v>950</v>
      </c>
      <c r="GY14" s="118">
        <v>950</v>
      </c>
      <c r="GZ14" s="118">
        <v>950</v>
      </c>
      <c r="HA14" s="118">
        <v>950</v>
      </c>
      <c r="HB14" s="118">
        <v>950</v>
      </c>
      <c r="HC14" s="118">
        <v>950</v>
      </c>
      <c r="HD14" s="118">
        <v>940</v>
      </c>
      <c r="HE14" s="118">
        <v>940</v>
      </c>
      <c r="HF14" s="118">
        <v>940</v>
      </c>
      <c r="HG14" s="118">
        <v>940</v>
      </c>
      <c r="HH14" s="118">
        <v>930</v>
      </c>
      <c r="HI14" s="118">
        <v>900</v>
      </c>
      <c r="HJ14" s="118">
        <v>900</v>
      </c>
      <c r="HK14" s="118">
        <v>890</v>
      </c>
      <c r="HL14" s="118">
        <v>870</v>
      </c>
      <c r="HM14" s="118">
        <v>860</v>
      </c>
      <c r="HN14" s="118">
        <v>860</v>
      </c>
      <c r="HO14" s="118">
        <v>860</v>
      </c>
      <c r="HP14" s="118">
        <v>870</v>
      </c>
      <c r="HQ14" s="118">
        <v>860</v>
      </c>
      <c r="HR14" s="118">
        <v>860</v>
      </c>
      <c r="HS14" s="118">
        <v>860</v>
      </c>
      <c r="HT14" s="118">
        <v>860</v>
      </c>
      <c r="HU14" s="118">
        <v>840</v>
      </c>
      <c r="HV14" s="118">
        <v>840</v>
      </c>
      <c r="HW14" s="118">
        <v>840</v>
      </c>
      <c r="HX14" s="118">
        <v>830</v>
      </c>
      <c r="HY14" s="118">
        <v>830</v>
      </c>
      <c r="HZ14" s="118">
        <v>820</v>
      </c>
      <c r="IA14" s="118">
        <v>820</v>
      </c>
      <c r="IB14" s="118">
        <v>820</v>
      </c>
      <c r="IC14" s="118">
        <v>820</v>
      </c>
      <c r="ID14" s="118">
        <v>850</v>
      </c>
      <c r="IE14" s="118">
        <v>840</v>
      </c>
      <c r="IF14" s="118">
        <v>840</v>
      </c>
      <c r="IG14" s="118">
        <v>840</v>
      </c>
      <c r="IH14" s="118">
        <v>840</v>
      </c>
      <c r="II14" s="118">
        <v>840</v>
      </c>
      <c r="IJ14" s="118">
        <v>830</v>
      </c>
      <c r="IK14" s="118">
        <v>810</v>
      </c>
      <c r="IL14" s="118">
        <v>810</v>
      </c>
      <c r="IM14" s="118">
        <v>800</v>
      </c>
      <c r="IN14" s="118">
        <v>750</v>
      </c>
      <c r="IO14" s="118">
        <v>750</v>
      </c>
      <c r="IP14" s="118">
        <v>760</v>
      </c>
      <c r="IQ14" s="118">
        <v>760</v>
      </c>
      <c r="IR14" s="118">
        <v>760</v>
      </c>
      <c r="IS14" s="118">
        <v>800</v>
      </c>
      <c r="IT14" s="118">
        <v>800</v>
      </c>
      <c r="IU14" s="118">
        <v>790</v>
      </c>
      <c r="IV14" s="118">
        <v>800</v>
      </c>
      <c r="IW14" s="118">
        <v>790</v>
      </c>
      <c r="IX14" s="118">
        <v>820</v>
      </c>
      <c r="IY14" s="118">
        <v>820</v>
      </c>
      <c r="IZ14" s="118">
        <v>820</v>
      </c>
      <c r="JA14" s="118">
        <v>820</v>
      </c>
      <c r="JB14" s="118">
        <v>790</v>
      </c>
      <c r="JC14" s="118">
        <v>790</v>
      </c>
      <c r="JD14" s="118">
        <v>790</v>
      </c>
      <c r="JE14" s="118">
        <v>800</v>
      </c>
      <c r="JF14" s="118">
        <v>790</v>
      </c>
      <c r="JG14" s="118">
        <v>790</v>
      </c>
      <c r="JH14" s="118">
        <v>800</v>
      </c>
      <c r="JI14" s="118">
        <v>790</v>
      </c>
      <c r="JJ14" s="118">
        <v>780</v>
      </c>
      <c r="JK14" s="118">
        <v>780</v>
      </c>
      <c r="JL14" s="118">
        <v>780</v>
      </c>
      <c r="JM14" s="118">
        <v>780</v>
      </c>
      <c r="JN14" s="118">
        <v>780</v>
      </c>
      <c r="JO14" s="118">
        <v>770</v>
      </c>
      <c r="JP14" s="118">
        <v>760</v>
      </c>
      <c r="JQ14" s="118">
        <v>770</v>
      </c>
      <c r="JR14" s="118">
        <v>770</v>
      </c>
      <c r="JS14" s="118">
        <v>770</v>
      </c>
      <c r="JT14" s="118">
        <v>770</v>
      </c>
      <c r="JU14" s="118">
        <v>770</v>
      </c>
      <c r="JV14" s="118">
        <v>770</v>
      </c>
      <c r="JW14" s="118">
        <v>770</v>
      </c>
      <c r="JX14" s="118">
        <v>770</v>
      </c>
      <c r="JY14" s="118">
        <v>780</v>
      </c>
      <c r="JZ14" s="118">
        <v>795</v>
      </c>
      <c r="KA14" s="118">
        <v>795</v>
      </c>
      <c r="KB14" s="118">
        <v>795</v>
      </c>
      <c r="KC14" s="118">
        <v>820</v>
      </c>
      <c r="KD14" s="118">
        <v>820</v>
      </c>
      <c r="KE14" s="118">
        <v>840</v>
      </c>
      <c r="KF14" s="118">
        <v>840</v>
      </c>
      <c r="KG14" s="118">
        <v>840</v>
      </c>
      <c r="KH14" s="118">
        <v>840</v>
      </c>
      <c r="KI14" s="118">
        <f>(900+970)/2</f>
        <v>935</v>
      </c>
      <c r="KJ14" s="118">
        <v>1080</v>
      </c>
      <c r="KK14" s="118">
        <v>1280</v>
      </c>
      <c r="KL14" s="118">
        <v>1140</v>
      </c>
    </row>
    <row r="15" spans="1:298" ht="14" hidden="1">
      <c r="F15" s="109" t="s">
        <v>77</v>
      </c>
      <c r="H15" s="1" t="s">
        <v>70</v>
      </c>
      <c r="AM15" s="51"/>
      <c r="BZ15" s="13"/>
      <c r="CC15" s="128" t="s">
        <v>88</v>
      </c>
      <c r="DA15" s="56"/>
      <c r="DB15" s="56"/>
      <c r="DC15" s="56"/>
      <c r="DD15" s="56"/>
      <c r="DE15" s="56"/>
      <c r="DF15" s="56"/>
      <c r="DG15" s="56"/>
      <c r="DH15" s="107">
        <v>2502.2399999999998</v>
      </c>
      <c r="DI15" s="107">
        <v>2502.2399999999998</v>
      </c>
      <c r="DJ15" s="56">
        <v>2502.2399999999998</v>
      </c>
      <c r="DK15" s="56">
        <v>2259.7399999999998</v>
      </c>
      <c r="DL15" s="56">
        <v>2259.7399999999998</v>
      </c>
      <c r="DM15" s="56">
        <v>2259.7399999999998</v>
      </c>
      <c r="DN15" s="107">
        <v>1918.02</v>
      </c>
      <c r="DO15" s="107">
        <v>1918.02</v>
      </c>
      <c r="DP15" s="107">
        <v>1918.02</v>
      </c>
      <c r="DQ15" s="107">
        <v>1587.33</v>
      </c>
      <c r="DR15" s="56">
        <v>1587.33</v>
      </c>
      <c r="DS15" s="56">
        <v>1587.33</v>
      </c>
      <c r="DT15" s="56">
        <v>1587.33</v>
      </c>
      <c r="DU15" s="56">
        <v>1587.33</v>
      </c>
      <c r="DV15" s="107">
        <v>1587.33</v>
      </c>
      <c r="DW15" s="107">
        <v>1587.33</v>
      </c>
      <c r="DX15" s="107">
        <v>1587.33</v>
      </c>
      <c r="DY15" s="107">
        <v>1477.1</v>
      </c>
      <c r="DZ15" s="56">
        <v>1477.1</v>
      </c>
      <c r="EA15" s="56">
        <v>1477.1</v>
      </c>
      <c r="EB15" s="56">
        <v>1477.1</v>
      </c>
      <c r="EC15" s="56">
        <v>1477.1</v>
      </c>
      <c r="ED15" s="56">
        <v>1543.23</v>
      </c>
      <c r="EE15" s="56">
        <v>1543.2339999999999</v>
      </c>
      <c r="EF15" s="56">
        <v>1543.2339999999999</v>
      </c>
      <c r="EG15" s="56">
        <v>1543.2339999999999</v>
      </c>
      <c r="EH15" s="56">
        <v>1543.2339999999999</v>
      </c>
      <c r="EI15" s="56">
        <v>1543.2339999999999</v>
      </c>
      <c r="EJ15" s="10">
        <v>1543.2339999999999</v>
      </c>
      <c r="EK15" s="10">
        <v>1543.2339999999999</v>
      </c>
      <c r="EL15" s="10">
        <v>1543.2339999999999</v>
      </c>
      <c r="EM15" s="10">
        <v>1543.2339999999999</v>
      </c>
      <c r="EN15" s="10">
        <v>1543.2339999999999</v>
      </c>
      <c r="EO15" s="10">
        <v>1543.2339999999999</v>
      </c>
      <c r="EP15" s="10">
        <v>1543.2339999999999</v>
      </c>
      <c r="EQ15" s="10">
        <v>1543.2339999999999</v>
      </c>
      <c r="ER15" s="10">
        <v>1543.2339999999999</v>
      </c>
      <c r="ES15" s="10">
        <v>1543.2339999999999</v>
      </c>
      <c r="ET15" s="10">
        <v>1543.2339999999999</v>
      </c>
      <c r="EU15" s="10">
        <v>1543.2339999999999</v>
      </c>
      <c r="EV15" s="75">
        <v>1543.2339999999999</v>
      </c>
      <c r="EW15" s="75">
        <v>1521.1880000000001</v>
      </c>
      <c r="EX15" s="75">
        <v>1521.1880000000001</v>
      </c>
      <c r="EY15" s="75">
        <v>1521.1880000000001</v>
      </c>
      <c r="EZ15" s="75">
        <v>1521.1880000000001</v>
      </c>
      <c r="FA15" s="75">
        <v>1521.1880000000001</v>
      </c>
      <c r="FB15" s="75">
        <v>1521.1880000000001</v>
      </c>
      <c r="FC15" s="75">
        <v>1521.1880000000001</v>
      </c>
      <c r="FD15" s="75">
        <v>1521.1880000000001</v>
      </c>
      <c r="FE15" s="75">
        <v>1521.1880000000001</v>
      </c>
      <c r="FF15" s="75">
        <v>1521.1880000000001</v>
      </c>
      <c r="FG15" s="75">
        <v>1521.1880000000001</v>
      </c>
      <c r="FH15" s="75">
        <v>1521.1880000000001</v>
      </c>
      <c r="FI15" s="75">
        <v>1521.1880000000001</v>
      </c>
      <c r="FJ15" s="75">
        <v>1521.1880000000001</v>
      </c>
      <c r="FK15" s="75">
        <v>1521.1880000000001</v>
      </c>
      <c r="FL15" s="75">
        <v>1521.1880000000001</v>
      </c>
      <c r="FM15" s="75">
        <v>1521.1880000000001</v>
      </c>
      <c r="FN15" s="75">
        <v>1521.1880000000001</v>
      </c>
      <c r="FO15" s="75">
        <v>1521.1880000000001</v>
      </c>
      <c r="FP15" s="75">
        <v>1521.1880000000001</v>
      </c>
      <c r="FQ15" s="75">
        <v>1521.1880000000001</v>
      </c>
      <c r="FR15" s="75">
        <v>1521.1880000000001</v>
      </c>
      <c r="FS15" s="75">
        <v>1521.1880000000001</v>
      </c>
      <c r="FT15" s="75">
        <v>1521.1880000000001</v>
      </c>
      <c r="FU15" s="75">
        <v>1521.1880000000001</v>
      </c>
      <c r="FV15" s="75">
        <v>1521.1880000000001</v>
      </c>
      <c r="FW15" s="75">
        <v>1521.1880000000001</v>
      </c>
      <c r="FX15" s="75">
        <v>1521.1880000000001</v>
      </c>
      <c r="FY15" s="75">
        <v>1521.1880000000001</v>
      </c>
      <c r="FZ15" s="75">
        <v>1521.1880000000001</v>
      </c>
      <c r="GA15" s="75">
        <v>1521.1880000000001</v>
      </c>
      <c r="GB15" s="75">
        <v>1521.1880000000001</v>
      </c>
      <c r="GC15" s="75">
        <v>1521.1880000000001</v>
      </c>
      <c r="GD15" s="75">
        <v>1521.1880000000001</v>
      </c>
      <c r="GE15" s="75">
        <v>1521.1880000000001</v>
      </c>
      <c r="GF15" s="75">
        <v>1521.1880000000001</v>
      </c>
      <c r="GG15" s="75">
        <v>1521.1880000000001</v>
      </c>
      <c r="GH15" s="75">
        <v>1521.1880000000001</v>
      </c>
      <c r="GI15" s="75">
        <v>1521.1880000000001</v>
      </c>
      <c r="GJ15" s="75">
        <v>1521.1880000000001</v>
      </c>
      <c r="GK15" s="75">
        <v>1521.1880000000001</v>
      </c>
      <c r="GL15" s="75">
        <v>1521.1880000000001</v>
      </c>
      <c r="GM15" s="75">
        <v>1521.1880000000001</v>
      </c>
      <c r="GN15" s="75">
        <v>1521.1880000000001</v>
      </c>
      <c r="GO15" s="75">
        <v>1521.1880000000001</v>
      </c>
      <c r="GP15" s="75">
        <v>1521.1880000000001</v>
      </c>
      <c r="GQ15" s="75">
        <v>1521.1880000000001</v>
      </c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  <c r="IX15" s="75"/>
      <c r="IY15" s="75"/>
      <c r="IZ15" s="75"/>
      <c r="JA15" s="75"/>
      <c r="JB15" s="75"/>
      <c r="JC15" s="75"/>
      <c r="JD15" s="75"/>
      <c r="JE15" s="75"/>
      <c r="JF15" s="75"/>
      <c r="JG15" s="75"/>
      <c r="JH15" s="75"/>
      <c r="JI15" s="75"/>
      <c r="JJ15" s="75"/>
      <c r="JK15" s="75"/>
      <c r="JL15" s="75"/>
      <c r="JM15" s="75"/>
      <c r="JN15" s="75"/>
      <c r="JO15" s="75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  <c r="KL15" s="75"/>
    </row>
    <row r="16" spans="1:298" ht="14">
      <c r="F16" s="59" t="s">
        <v>84</v>
      </c>
      <c r="H16" s="59" t="s">
        <v>84</v>
      </c>
      <c r="U16" s="41">
        <f>U14</f>
        <v>1165</v>
      </c>
      <c r="V16" s="41">
        <f t="shared" ref="V16:AM16" si="50">V14</f>
        <v>1272.5</v>
      </c>
      <c r="W16" s="41">
        <f t="shared" si="50"/>
        <v>1346</v>
      </c>
      <c r="X16" s="41">
        <f t="shared" si="50"/>
        <v>1297.5</v>
      </c>
      <c r="Y16" s="41">
        <f t="shared" si="50"/>
        <v>1316.6666666666667</v>
      </c>
      <c r="Z16" s="41">
        <f t="shared" si="50"/>
        <v>1390</v>
      </c>
      <c r="AA16" s="41">
        <f t="shared" si="50"/>
        <v>1220</v>
      </c>
      <c r="AB16" s="41">
        <f t="shared" si="50"/>
        <v>1270</v>
      </c>
      <c r="AC16" s="41">
        <f t="shared" si="50"/>
        <v>1190</v>
      </c>
      <c r="AD16" s="41">
        <f t="shared" si="50"/>
        <v>1190</v>
      </c>
      <c r="AE16" s="41">
        <f t="shared" si="50"/>
        <v>1130</v>
      </c>
      <c r="AF16" s="41">
        <f t="shared" si="50"/>
        <v>1100</v>
      </c>
      <c r="AG16" s="41">
        <f t="shared" si="50"/>
        <v>1100</v>
      </c>
      <c r="AH16" s="41">
        <f t="shared" si="50"/>
        <v>1070</v>
      </c>
      <c r="AI16" s="41">
        <f t="shared" si="50"/>
        <v>1040</v>
      </c>
      <c r="AJ16" s="41">
        <f t="shared" si="50"/>
        <v>1040</v>
      </c>
      <c r="AK16" s="41">
        <f t="shared" si="50"/>
        <v>977.5</v>
      </c>
      <c r="AL16" s="41">
        <f t="shared" si="50"/>
        <v>1000</v>
      </c>
      <c r="AM16" s="41">
        <f t="shared" si="50"/>
        <v>1045</v>
      </c>
      <c r="AN16" s="41">
        <f t="shared" ref="AN16:AV16" si="51">AN14</f>
        <v>1020</v>
      </c>
      <c r="AO16" s="41">
        <f t="shared" si="51"/>
        <v>1055</v>
      </c>
      <c r="AP16" s="41">
        <f t="shared" si="51"/>
        <v>974</v>
      </c>
      <c r="AQ16" s="41">
        <f t="shared" si="51"/>
        <v>895</v>
      </c>
      <c r="AR16" s="41">
        <f t="shared" si="51"/>
        <v>903</v>
      </c>
      <c r="AS16" s="41">
        <f t="shared" si="51"/>
        <v>918</v>
      </c>
      <c r="AT16" s="41">
        <f t="shared" si="51"/>
        <v>930</v>
      </c>
      <c r="AU16" s="41">
        <f t="shared" si="51"/>
        <v>922.5</v>
      </c>
      <c r="AV16" s="41">
        <f t="shared" si="51"/>
        <v>900</v>
      </c>
      <c r="AW16" s="41">
        <f t="shared" ref="AW16:AX16" si="52">AW14</f>
        <v>900</v>
      </c>
      <c r="AX16" s="41">
        <f t="shared" si="52"/>
        <v>930</v>
      </c>
      <c r="AY16" s="41">
        <f t="shared" ref="AY16:AZ16" si="53">AY14</f>
        <v>943.33333333333337</v>
      </c>
      <c r="AZ16" s="41">
        <f t="shared" si="53"/>
        <v>940</v>
      </c>
      <c r="BA16" s="41">
        <f t="shared" ref="BA16:BB16" si="54">BA14</f>
        <v>940</v>
      </c>
      <c r="BB16" s="41">
        <f t="shared" si="54"/>
        <v>942</v>
      </c>
      <c r="BC16" s="41">
        <f t="shared" ref="BC16:BD16" si="55">BC14</f>
        <v>950</v>
      </c>
      <c r="BD16" s="41">
        <f t="shared" si="55"/>
        <v>947.5</v>
      </c>
      <c r="BE16" s="41">
        <f t="shared" ref="BE16:BF16" si="56">BE14</f>
        <v>930</v>
      </c>
      <c r="BF16" s="41">
        <f t="shared" si="56"/>
        <v>880</v>
      </c>
      <c r="BG16" s="41">
        <f t="shared" ref="BG16:BH16" si="57">BG14</f>
        <v>862.5</v>
      </c>
      <c r="BH16" s="41">
        <f t="shared" si="57"/>
        <v>852</v>
      </c>
      <c r="BI16" s="41">
        <f t="shared" ref="BI16:BJ16" si="58">BI14</f>
        <v>830</v>
      </c>
      <c r="BJ16" s="41">
        <f t="shared" si="58"/>
        <v>827.5</v>
      </c>
      <c r="BK16" s="41">
        <f t="shared" ref="BK16:BL16" si="59">BK14</f>
        <v>840</v>
      </c>
      <c r="BL16" s="41">
        <f t="shared" si="59"/>
        <v>822.5</v>
      </c>
      <c r="BM16" s="41">
        <f t="shared" ref="BM16:BN16" si="60">BM14</f>
        <v>765</v>
      </c>
      <c r="BN16" s="41">
        <f t="shared" si="60"/>
        <v>782</v>
      </c>
      <c r="BO16" s="41">
        <f t="shared" ref="BO16:BP16" si="61">BO14</f>
        <v>807.5</v>
      </c>
      <c r="BP16" s="41">
        <f t="shared" si="61"/>
        <v>802</v>
      </c>
      <c r="BQ16" s="41">
        <f t="shared" ref="BQ16:BR16" si="62">BQ14</f>
        <v>795</v>
      </c>
      <c r="BR16" s="41">
        <f t="shared" si="62"/>
        <v>782.5</v>
      </c>
      <c r="BS16" s="41">
        <f t="shared" ref="BS16:BT16" si="63">BS14</f>
        <v>772</v>
      </c>
      <c r="BT16" s="41">
        <f t="shared" si="63"/>
        <v>770</v>
      </c>
      <c r="BU16" s="41">
        <f t="shared" ref="BU16:BV16" si="64">BU14</f>
        <v>772.5</v>
      </c>
      <c r="BV16" s="41">
        <f t="shared" si="64"/>
        <v>805</v>
      </c>
      <c r="BW16" s="41">
        <f t="shared" ref="BW16:BX16" si="65">BW14</f>
        <v>840</v>
      </c>
      <c r="BX16" s="41">
        <f t="shared" si="65"/>
        <v>1108.75</v>
      </c>
      <c r="BY16" s="41">
        <f t="shared" ref="BY16" si="66">BY14</f>
        <v>1140</v>
      </c>
      <c r="BZ16" s="13"/>
      <c r="CC16" s="1" t="s">
        <v>78</v>
      </c>
      <c r="DO16" s="41">
        <f>DO15+222</f>
        <v>2140.02</v>
      </c>
      <c r="DP16" s="41">
        <f t="shared" ref="DP16:EG16" si="67">DP15-222</f>
        <v>1696.02</v>
      </c>
      <c r="DQ16" s="41">
        <f t="shared" si="67"/>
        <v>1365.33</v>
      </c>
      <c r="DR16" s="41">
        <f t="shared" si="67"/>
        <v>1365.33</v>
      </c>
      <c r="DS16" s="41">
        <f t="shared" si="67"/>
        <v>1365.33</v>
      </c>
      <c r="DT16" s="41">
        <f t="shared" si="67"/>
        <v>1365.33</v>
      </c>
      <c r="DU16" s="41">
        <f t="shared" si="67"/>
        <v>1365.33</v>
      </c>
      <c r="DV16" s="41">
        <f t="shared" si="67"/>
        <v>1365.33</v>
      </c>
      <c r="DW16" s="41">
        <f t="shared" si="67"/>
        <v>1365.33</v>
      </c>
      <c r="DX16" s="41">
        <f t="shared" si="67"/>
        <v>1365.33</v>
      </c>
      <c r="DY16" s="41">
        <f t="shared" si="67"/>
        <v>1255.0999999999999</v>
      </c>
      <c r="DZ16" s="41">
        <f t="shared" si="67"/>
        <v>1255.0999999999999</v>
      </c>
      <c r="EA16" s="41">
        <f t="shared" si="67"/>
        <v>1255.0999999999999</v>
      </c>
      <c r="EB16" s="41">
        <f t="shared" si="67"/>
        <v>1255.0999999999999</v>
      </c>
      <c r="EC16" s="41">
        <f t="shared" si="67"/>
        <v>1255.0999999999999</v>
      </c>
      <c r="ED16" s="41">
        <f t="shared" si="67"/>
        <v>1321.23</v>
      </c>
      <c r="EE16" s="41">
        <f t="shared" si="67"/>
        <v>1321.2339999999999</v>
      </c>
      <c r="EF16" s="41">
        <f t="shared" si="67"/>
        <v>1321.2339999999999</v>
      </c>
      <c r="EG16" s="41">
        <f t="shared" si="67"/>
        <v>1321.2339999999999</v>
      </c>
      <c r="EH16" s="41">
        <f t="shared" ref="EH16:EU16" si="68">EH15-222</f>
        <v>1321.2339999999999</v>
      </c>
      <c r="EI16" s="41">
        <f t="shared" si="68"/>
        <v>1321.2339999999999</v>
      </c>
      <c r="EJ16" s="41">
        <f t="shared" si="68"/>
        <v>1321.2339999999999</v>
      </c>
      <c r="EK16" s="41">
        <f t="shared" si="68"/>
        <v>1321.2339999999999</v>
      </c>
      <c r="EL16" s="41">
        <f t="shared" si="68"/>
        <v>1321.2339999999999</v>
      </c>
      <c r="EM16" s="41">
        <f t="shared" si="68"/>
        <v>1321.2339999999999</v>
      </c>
      <c r="EN16" s="41">
        <f t="shared" si="68"/>
        <v>1321.2339999999999</v>
      </c>
      <c r="EO16" s="41">
        <f t="shared" si="68"/>
        <v>1321.2339999999999</v>
      </c>
      <c r="EP16" s="41">
        <f t="shared" si="68"/>
        <v>1321.2339999999999</v>
      </c>
      <c r="EQ16" s="41">
        <f t="shared" si="68"/>
        <v>1321.2339999999999</v>
      </c>
      <c r="ER16" s="41">
        <f t="shared" si="68"/>
        <v>1321.2339999999999</v>
      </c>
      <c r="ES16" s="41">
        <f t="shared" si="68"/>
        <v>1321.2339999999999</v>
      </c>
      <c r="ET16" s="41">
        <f t="shared" si="68"/>
        <v>1321.2339999999999</v>
      </c>
      <c r="EU16" s="41">
        <f t="shared" si="68"/>
        <v>1321.2339999999999</v>
      </c>
      <c r="EV16" s="41">
        <f t="shared" ref="EV16:FB16" si="69">EV15-222</f>
        <v>1321.2339999999999</v>
      </c>
      <c r="EW16" s="41">
        <f t="shared" si="69"/>
        <v>1299.1880000000001</v>
      </c>
      <c r="EX16" s="41">
        <f t="shared" si="69"/>
        <v>1299.1880000000001</v>
      </c>
      <c r="EY16" s="41">
        <f t="shared" si="69"/>
        <v>1299.1880000000001</v>
      </c>
      <c r="EZ16" s="41">
        <f t="shared" si="69"/>
        <v>1299.1880000000001</v>
      </c>
      <c r="FA16" s="41">
        <f t="shared" si="69"/>
        <v>1299.1880000000001</v>
      </c>
      <c r="FB16" s="41">
        <f t="shared" si="69"/>
        <v>1299.1880000000001</v>
      </c>
      <c r="FC16" s="41">
        <f t="shared" ref="FC16:FH16" si="70">FC15-222</f>
        <v>1299.1880000000001</v>
      </c>
      <c r="FD16" s="41">
        <f t="shared" si="70"/>
        <v>1299.1880000000001</v>
      </c>
      <c r="FE16" s="41">
        <f t="shared" si="70"/>
        <v>1299.1880000000001</v>
      </c>
      <c r="FF16" s="41">
        <f t="shared" si="70"/>
        <v>1299.1880000000001</v>
      </c>
      <c r="FG16" s="41">
        <f t="shared" si="70"/>
        <v>1299.1880000000001</v>
      </c>
      <c r="FH16" s="41">
        <f t="shared" si="70"/>
        <v>1299.1880000000001</v>
      </c>
      <c r="FI16" s="41">
        <f>FI15-222</f>
        <v>1299.1880000000001</v>
      </c>
      <c r="FJ16" s="41">
        <f t="shared" ref="FJ16:FO16" si="71">FJ15-222</f>
        <v>1299.1880000000001</v>
      </c>
      <c r="FK16" s="41">
        <f t="shared" si="71"/>
        <v>1299.1880000000001</v>
      </c>
      <c r="FL16" s="41">
        <f t="shared" si="71"/>
        <v>1299.1880000000001</v>
      </c>
      <c r="FM16" s="41">
        <f t="shared" si="71"/>
        <v>1299.1880000000001</v>
      </c>
      <c r="FN16" s="41">
        <f t="shared" si="71"/>
        <v>1299.1880000000001</v>
      </c>
      <c r="FO16" s="41">
        <f t="shared" si="71"/>
        <v>1299.1880000000001</v>
      </c>
      <c r="FP16" s="41">
        <f t="shared" ref="FP16:FU16" si="72">FP15-222</f>
        <v>1299.1880000000001</v>
      </c>
      <c r="FQ16" s="41">
        <f t="shared" si="72"/>
        <v>1299.1880000000001</v>
      </c>
      <c r="FR16" s="41">
        <f t="shared" si="72"/>
        <v>1299.1880000000001</v>
      </c>
      <c r="FS16" s="41">
        <f t="shared" si="72"/>
        <v>1299.1880000000001</v>
      </c>
      <c r="FT16" s="41">
        <f t="shared" si="72"/>
        <v>1299.1880000000001</v>
      </c>
      <c r="FU16" s="41">
        <f t="shared" si="72"/>
        <v>1299.1880000000001</v>
      </c>
      <c r="FV16" s="41">
        <f t="shared" ref="FV16:FW16" si="73">FV15-222</f>
        <v>1299.1880000000001</v>
      </c>
      <c r="FW16" s="41">
        <f t="shared" si="73"/>
        <v>1299.1880000000001</v>
      </c>
      <c r="FX16" s="41">
        <f t="shared" ref="FX16:FY16" si="74">FX15-222</f>
        <v>1299.1880000000001</v>
      </c>
      <c r="FY16" s="41">
        <f t="shared" si="74"/>
        <v>1299.1880000000001</v>
      </c>
      <c r="FZ16" s="41">
        <f t="shared" ref="FZ16:GA16" si="75">FZ15-222</f>
        <v>1299.1880000000001</v>
      </c>
      <c r="GA16" s="41">
        <f t="shared" si="75"/>
        <v>1299.1880000000001</v>
      </c>
      <c r="GB16" s="41">
        <f t="shared" ref="GB16:GC16" si="76">GB15-222</f>
        <v>1299.1880000000001</v>
      </c>
      <c r="GC16" s="41">
        <f t="shared" si="76"/>
        <v>1299.1880000000001</v>
      </c>
      <c r="GD16" s="41">
        <f t="shared" ref="GD16:GE16" si="77">GD15-222</f>
        <v>1299.1880000000001</v>
      </c>
      <c r="GE16" s="41">
        <f t="shared" si="77"/>
        <v>1299.1880000000001</v>
      </c>
      <c r="GF16" s="41">
        <f t="shared" ref="GF16:GG16" si="78">GF15-222</f>
        <v>1299.1880000000001</v>
      </c>
      <c r="GG16" s="41">
        <f t="shared" si="78"/>
        <v>1299.1880000000001</v>
      </c>
      <c r="GH16" s="41">
        <f t="shared" ref="GH16:GJ16" si="79">GH15-222</f>
        <v>1299.1880000000001</v>
      </c>
      <c r="GI16" s="41">
        <f t="shared" si="79"/>
        <v>1299.1880000000001</v>
      </c>
      <c r="GJ16" s="41">
        <f t="shared" si="79"/>
        <v>1299.1880000000001</v>
      </c>
      <c r="GK16" s="41">
        <f t="shared" ref="GK16:GL16" si="80">GK15-222</f>
        <v>1299.1880000000001</v>
      </c>
      <c r="GL16" s="41">
        <f t="shared" si="80"/>
        <v>1299.1880000000001</v>
      </c>
      <c r="GM16" s="41">
        <f t="shared" ref="GM16:GN16" si="81">GM15-222</f>
        <v>1299.1880000000001</v>
      </c>
      <c r="GN16" s="41">
        <f t="shared" si="81"/>
        <v>1299.1880000000001</v>
      </c>
      <c r="GO16" s="41">
        <f t="shared" ref="GO16:GP16" si="82">GO15-222</f>
        <v>1299.1880000000001</v>
      </c>
      <c r="GP16" s="41">
        <f t="shared" si="82"/>
        <v>1299.1880000000001</v>
      </c>
      <c r="GQ16" s="41">
        <f>GQ15-222</f>
        <v>1299.1880000000001</v>
      </c>
      <c r="GR16" s="41">
        <f t="shared" ref="GR16:GS16" si="83">GR15-222</f>
        <v>-222</v>
      </c>
      <c r="GS16" s="41">
        <f t="shared" si="83"/>
        <v>-222</v>
      </c>
      <c r="GT16" s="41">
        <f t="shared" ref="GT16:GU16" si="84">GT15-222</f>
        <v>-222</v>
      </c>
      <c r="GU16" s="41">
        <f t="shared" si="84"/>
        <v>-222</v>
      </c>
      <c r="GV16" s="41">
        <f t="shared" ref="GV16:GW16" si="85">GV15-222</f>
        <v>-222</v>
      </c>
      <c r="GW16" s="41">
        <f t="shared" si="85"/>
        <v>-222</v>
      </c>
      <c r="GX16" s="41">
        <f t="shared" ref="GX16:GY16" si="86">GX15-222</f>
        <v>-222</v>
      </c>
      <c r="GY16" s="41">
        <f t="shared" si="86"/>
        <v>-222</v>
      </c>
      <c r="GZ16" s="41">
        <f t="shared" ref="GZ16:HA16" si="87">GZ15-222</f>
        <v>-222</v>
      </c>
      <c r="HA16" s="41">
        <f t="shared" si="87"/>
        <v>-222</v>
      </c>
      <c r="HB16" s="41">
        <f t="shared" ref="HB16:HC16" si="88">HB15-222</f>
        <v>-222</v>
      </c>
      <c r="HC16" s="41">
        <f t="shared" si="88"/>
        <v>-222</v>
      </c>
      <c r="HD16" s="41">
        <f t="shared" ref="HD16:HE16" si="89">HD15-222</f>
        <v>-222</v>
      </c>
      <c r="HE16" s="41">
        <f t="shared" si="89"/>
        <v>-222</v>
      </c>
      <c r="HF16" s="41">
        <f t="shared" ref="HF16:HG16" si="90">HF15-222</f>
        <v>-222</v>
      </c>
      <c r="HG16" s="41">
        <f t="shared" si="90"/>
        <v>-222</v>
      </c>
      <c r="HH16" s="41">
        <f t="shared" ref="HH16:HI16" si="91">HH15-222</f>
        <v>-222</v>
      </c>
      <c r="HI16" s="41">
        <f t="shared" si="91"/>
        <v>-222</v>
      </c>
      <c r="HJ16" s="41">
        <f t="shared" ref="HJ16:HK16" si="92">HJ15-222</f>
        <v>-222</v>
      </c>
      <c r="HK16" s="41">
        <f t="shared" si="92"/>
        <v>-222</v>
      </c>
      <c r="HL16" s="41">
        <f t="shared" ref="HL16:HM16" si="93">HL15-222</f>
        <v>-222</v>
      </c>
      <c r="HM16" s="41">
        <f t="shared" si="93"/>
        <v>-222</v>
      </c>
      <c r="HN16" s="41">
        <f t="shared" ref="HN16:HO16" si="94">HN15-222</f>
        <v>-222</v>
      </c>
      <c r="HO16" s="41">
        <f t="shared" si="94"/>
        <v>-222</v>
      </c>
      <c r="HP16" s="41">
        <f t="shared" ref="HP16:HQ16" si="95">HP15-222</f>
        <v>-222</v>
      </c>
      <c r="HQ16" s="41">
        <f t="shared" si="95"/>
        <v>-222</v>
      </c>
      <c r="HR16" s="41">
        <f t="shared" ref="HR16:HV16" si="96">HR15-222</f>
        <v>-222</v>
      </c>
      <c r="HS16" s="41">
        <f t="shared" si="96"/>
        <v>-222</v>
      </c>
      <c r="HT16" s="41">
        <f t="shared" si="96"/>
        <v>-222</v>
      </c>
      <c r="HU16" s="41">
        <f t="shared" si="96"/>
        <v>-222</v>
      </c>
      <c r="HV16" s="41">
        <f t="shared" si="96"/>
        <v>-222</v>
      </c>
      <c r="HW16" s="41">
        <f t="shared" ref="HW16:HZ16" si="97">HW15-222</f>
        <v>-222</v>
      </c>
      <c r="HX16" s="41">
        <f t="shared" si="97"/>
        <v>-222</v>
      </c>
      <c r="HY16" s="41">
        <f t="shared" si="97"/>
        <v>-222</v>
      </c>
      <c r="HZ16" s="41">
        <f t="shared" si="97"/>
        <v>-222</v>
      </c>
      <c r="IA16" s="41">
        <f t="shared" ref="IA16:IB16" si="98">IA15-222</f>
        <v>-222</v>
      </c>
      <c r="IB16" s="41">
        <f t="shared" si="98"/>
        <v>-222</v>
      </c>
      <c r="IC16" s="41">
        <f t="shared" ref="IC16:ID16" si="99">IC15-222</f>
        <v>-222</v>
      </c>
      <c r="ID16" s="41">
        <f t="shared" si="99"/>
        <v>-222</v>
      </c>
      <c r="IE16" s="41">
        <f t="shared" ref="IE16:IG16" si="100">IE15-222</f>
        <v>-222</v>
      </c>
      <c r="IF16" s="41">
        <f t="shared" si="100"/>
        <v>-222</v>
      </c>
      <c r="IG16" s="41">
        <f t="shared" si="100"/>
        <v>-222</v>
      </c>
      <c r="IH16" s="41">
        <f t="shared" ref="IH16:II16" si="101">IH15-222</f>
        <v>-222</v>
      </c>
      <c r="II16" s="41">
        <f t="shared" si="101"/>
        <v>-222</v>
      </c>
      <c r="IJ16" s="41">
        <f t="shared" ref="IJ16:IL16" si="102">IJ15-222</f>
        <v>-222</v>
      </c>
      <c r="IK16" s="41">
        <f t="shared" si="102"/>
        <v>-222</v>
      </c>
      <c r="IL16" s="41">
        <f t="shared" si="102"/>
        <v>-222</v>
      </c>
      <c r="IM16" s="41">
        <f t="shared" ref="IM16:IP16" si="103">IM15-222</f>
        <v>-222</v>
      </c>
      <c r="IN16" s="41">
        <f t="shared" si="103"/>
        <v>-222</v>
      </c>
      <c r="IO16" s="41">
        <f t="shared" si="103"/>
        <v>-222</v>
      </c>
      <c r="IP16" s="41">
        <f t="shared" si="103"/>
        <v>-222</v>
      </c>
      <c r="IQ16" s="41">
        <f t="shared" ref="IQ16:IU16" si="104">IQ15-222</f>
        <v>-222</v>
      </c>
      <c r="IR16" s="41">
        <f t="shared" si="104"/>
        <v>-222</v>
      </c>
      <c r="IS16" s="41">
        <f t="shared" si="104"/>
        <v>-222</v>
      </c>
      <c r="IT16" s="41">
        <f t="shared" si="104"/>
        <v>-222</v>
      </c>
      <c r="IU16" s="41">
        <f t="shared" si="104"/>
        <v>-222</v>
      </c>
      <c r="IV16" s="41">
        <f t="shared" ref="IV16:IY16" si="105">IV15-222</f>
        <v>-222</v>
      </c>
      <c r="IW16" s="41">
        <f t="shared" si="105"/>
        <v>-222</v>
      </c>
      <c r="IX16" s="41">
        <f t="shared" si="105"/>
        <v>-222</v>
      </c>
      <c r="IY16" s="41">
        <f t="shared" si="105"/>
        <v>-222</v>
      </c>
      <c r="IZ16" s="41">
        <f t="shared" ref="IZ16:JD16" si="106">IZ15-222</f>
        <v>-222</v>
      </c>
      <c r="JA16" s="41">
        <f t="shared" si="106"/>
        <v>-222</v>
      </c>
      <c r="JB16" s="41">
        <f t="shared" si="106"/>
        <v>-222</v>
      </c>
      <c r="JC16" s="41">
        <f t="shared" si="106"/>
        <v>-222</v>
      </c>
      <c r="JD16" s="41">
        <f t="shared" si="106"/>
        <v>-222</v>
      </c>
      <c r="JE16" s="41">
        <f t="shared" ref="JE16:JH16" si="107">JE15-222</f>
        <v>-222</v>
      </c>
      <c r="JF16" s="41">
        <f t="shared" si="107"/>
        <v>-222</v>
      </c>
      <c r="JG16" s="41">
        <f t="shared" si="107"/>
        <v>-222</v>
      </c>
      <c r="JH16" s="41">
        <f t="shared" si="107"/>
        <v>-222</v>
      </c>
      <c r="JI16" s="41">
        <f t="shared" ref="JI16:JL16" si="108">JI15-222</f>
        <v>-222</v>
      </c>
      <c r="JJ16" s="41">
        <f t="shared" si="108"/>
        <v>-222</v>
      </c>
      <c r="JK16" s="41">
        <f t="shared" si="108"/>
        <v>-222</v>
      </c>
      <c r="JL16" s="41">
        <f t="shared" si="108"/>
        <v>-222</v>
      </c>
      <c r="JM16" s="41">
        <f t="shared" ref="JM16:JQ16" si="109">JM15-222</f>
        <v>-222</v>
      </c>
      <c r="JN16" s="41">
        <f t="shared" si="109"/>
        <v>-222</v>
      </c>
      <c r="JO16" s="41">
        <f t="shared" si="109"/>
        <v>-222</v>
      </c>
      <c r="JP16" s="41">
        <f t="shared" si="109"/>
        <v>-222</v>
      </c>
      <c r="JQ16" s="41">
        <f t="shared" si="109"/>
        <v>-222</v>
      </c>
      <c r="JR16" s="41">
        <f t="shared" ref="JR16:JU16" si="110">JR15-222</f>
        <v>-222</v>
      </c>
      <c r="JS16" s="41">
        <f t="shared" si="110"/>
        <v>-222</v>
      </c>
      <c r="JT16" s="41">
        <f t="shared" si="110"/>
        <v>-222</v>
      </c>
      <c r="JU16" s="41">
        <f t="shared" si="110"/>
        <v>-222</v>
      </c>
      <c r="JV16" s="41">
        <f t="shared" ref="JV16:JY16" si="111">JV15-222</f>
        <v>-222</v>
      </c>
      <c r="JW16" s="41">
        <f t="shared" si="111"/>
        <v>-222</v>
      </c>
      <c r="JX16" s="41">
        <f t="shared" si="111"/>
        <v>-222</v>
      </c>
      <c r="JY16" s="41">
        <f t="shared" si="111"/>
        <v>-222</v>
      </c>
      <c r="JZ16" s="41">
        <f t="shared" ref="JZ16:KD16" si="112">JZ15-222</f>
        <v>-222</v>
      </c>
      <c r="KA16" s="41">
        <f t="shared" si="112"/>
        <v>-222</v>
      </c>
      <c r="KB16" s="41">
        <f t="shared" si="112"/>
        <v>-222</v>
      </c>
      <c r="KC16" s="41">
        <f t="shared" si="112"/>
        <v>-222</v>
      </c>
      <c r="KD16" s="41">
        <f t="shared" si="112"/>
        <v>-222</v>
      </c>
      <c r="KE16" s="41">
        <f t="shared" ref="KE16:KH16" si="113">KE15-222</f>
        <v>-222</v>
      </c>
      <c r="KF16" s="41">
        <f t="shared" si="113"/>
        <v>-222</v>
      </c>
      <c r="KG16" s="41">
        <f t="shared" si="113"/>
        <v>-222</v>
      </c>
      <c r="KH16" s="41">
        <f t="shared" si="113"/>
        <v>-222</v>
      </c>
      <c r="KI16" s="41">
        <f t="shared" ref="KI16:KL16" si="114">KI15-222</f>
        <v>-222</v>
      </c>
      <c r="KJ16" s="41">
        <f t="shared" si="114"/>
        <v>-222</v>
      </c>
      <c r="KK16" s="41">
        <f t="shared" si="114"/>
        <v>-222</v>
      </c>
      <c r="KL16" s="41">
        <f t="shared" si="114"/>
        <v>-222</v>
      </c>
    </row>
    <row r="17" spans="6:298" ht="14">
      <c r="H17" s="117" t="s">
        <v>82</v>
      </c>
      <c r="U17" s="41"/>
      <c r="V17" s="3"/>
      <c r="X17" s="41">
        <f>X14</f>
        <v>1297.5</v>
      </c>
      <c r="Y17" s="41">
        <f t="shared" ref="Y17:AQ17" si="115">Y14</f>
        <v>1316.6666666666667</v>
      </c>
      <c r="Z17" s="41">
        <f t="shared" si="115"/>
        <v>1390</v>
      </c>
      <c r="AA17" s="41">
        <f t="shared" si="115"/>
        <v>1220</v>
      </c>
      <c r="AB17" s="41">
        <f t="shared" si="115"/>
        <v>1270</v>
      </c>
      <c r="AC17" s="41">
        <f t="shared" si="115"/>
        <v>1190</v>
      </c>
      <c r="AD17" s="41">
        <f t="shared" si="115"/>
        <v>1190</v>
      </c>
      <c r="AE17" s="41">
        <f t="shared" si="115"/>
        <v>1130</v>
      </c>
      <c r="AF17" s="41">
        <f t="shared" si="115"/>
        <v>1100</v>
      </c>
      <c r="AG17" s="41">
        <f t="shared" si="115"/>
        <v>1100</v>
      </c>
      <c r="AH17" s="41">
        <f t="shared" si="115"/>
        <v>1070</v>
      </c>
      <c r="AI17" s="41">
        <f t="shared" si="115"/>
        <v>1040</v>
      </c>
      <c r="AJ17" s="41">
        <f t="shared" si="115"/>
        <v>1040</v>
      </c>
      <c r="AK17" s="41">
        <f t="shared" si="115"/>
        <v>977.5</v>
      </c>
      <c r="AL17" s="41">
        <f>AL14</f>
        <v>1000</v>
      </c>
      <c r="AM17" s="41">
        <f t="shared" si="115"/>
        <v>1045</v>
      </c>
      <c r="AN17" s="41">
        <f t="shared" si="115"/>
        <v>1020</v>
      </c>
      <c r="AO17" s="41">
        <f t="shared" si="115"/>
        <v>1055</v>
      </c>
      <c r="AP17" s="41">
        <f t="shared" si="115"/>
        <v>974</v>
      </c>
      <c r="AQ17" s="41">
        <f t="shared" si="115"/>
        <v>895</v>
      </c>
      <c r="AR17" s="41">
        <f t="shared" ref="AR17:AW17" si="116">AR14</f>
        <v>903</v>
      </c>
      <c r="AS17" s="41">
        <f t="shared" si="116"/>
        <v>918</v>
      </c>
      <c r="AT17" s="41">
        <f t="shared" si="116"/>
        <v>930</v>
      </c>
      <c r="AU17" s="41">
        <f t="shared" si="116"/>
        <v>922.5</v>
      </c>
      <c r="AV17" s="41">
        <f t="shared" si="116"/>
        <v>900</v>
      </c>
      <c r="AW17" s="41">
        <f t="shared" si="116"/>
        <v>900</v>
      </c>
      <c r="AX17" s="41">
        <f t="shared" ref="AX17:AY17" si="117">AX14</f>
        <v>930</v>
      </c>
      <c r="AY17" s="41">
        <f t="shared" si="117"/>
        <v>943.33333333333337</v>
      </c>
      <c r="AZ17" s="41">
        <f t="shared" ref="AZ17:BA17" si="118">AZ14</f>
        <v>940</v>
      </c>
      <c r="BA17" s="41">
        <f t="shared" si="118"/>
        <v>940</v>
      </c>
      <c r="BB17" s="41">
        <f t="shared" ref="BB17:BC17" si="119">BB14</f>
        <v>942</v>
      </c>
      <c r="BC17" s="41">
        <f t="shared" si="119"/>
        <v>950</v>
      </c>
      <c r="BD17" s="41">
        <f t="shared" ref="BD17:BE17" si="120">BD14</f>
        <v>947.5</v>
      </c>
      <c r="BE17" s="41">
        <f t="shared" si="120"/>
        <v>930</v>
      </c>
      <c r="BF17" s="41">
        <f t="shared" ref="BF17:BG17" si="121">BF14</f>
        <v>880</v>
      </c>
      <c r="BG17" s="41">
        <f t="shared" si="121"/>
        <v>862.5</v>
      </c>
      <c r="BH17" s="41">
        <f t="shared" ref="BH17:BI17" si="122">BH14</f>
        <v>852</v>
      </c>
      <c r="BI17" s="41">
        <f t="shared" si="122"/>
        <v>830</v>
      </c>
      <c r="BJ17" s="41">
        <f t="shared" ref="BJ17:BK17" si="123">BJ14</f>
        <v>827.5</v>
      </c>
      <c r="BK17" s="41">
        <f t="shared" si="123"/>
        <v>840</v>
      </c>
      <c r="BL17" s="41">
        <f t="shared" ref="BL17:BM17" si="124">BL14</f>
        <v>822.5</v>
      </c>
      <c r="BM17" s="41">
        <f t="shared" si="124"/>
        <v>765</v>
      </c>
      <c r="BN17" s="41">
        <f t="shared" ref="BN17:BO17" si="125">BN14</f>
        <v>782</v>
      </c>
      <c r="BO17" s="41">
        <f t="shared" si="125"/>
        <v>807.5</v>
      </c>
      <c r="BP17" s="41">
        <f t="shared" ref="BP17:BQ17" si="126">BP14</f>
        <v>802</v>
      </c>
      <c r="BQ17" s="41">
        <f t="shared" si="126"/>
        <v>795</v>
      </c>
      <c r="BR17" s="41">
        <f t="shared" ref="BR17:BS17" si="127">BR14</f>
        <v>782.5</v>
      </c>
      <c r="BS17" s="41">
        <f t="shared" si="127"/>
        <v>772</v>
      </c>
      <c r="BT17" s="41">
        <f t="shared" ref="BT17:BU17" si="128">BT14</f>
        <v>770</v>
      </c>
      <c r="BU17" s="41">
        <f t="shared" si="128"/>
        <v>772.5</v>
      </c>
      <c r="BV17" s="41">
        <f t="shared" ref="BV17:BW17" si="129">BV14</f>
        <v>805</v>
      </c>
      <c r="BW17" s="41">
        <f t="shared" si="129"/>
        <v>840</v>
      </c>
      <c r="BX17" s="41">
        <f t="shared" ref="BX17:BY17" si="130">BX14</f>
        <v>1108.75</v>
      </c>
      <c r="BY17" s="41">
        <f t="shared" si="130"/>
        <v>1140</v>
      </c>
      <c r="CC17" s="117" t="s">
        <v>82</v>
      </c>
      <c r="DQ17" s="41">
        <f t="shared" ref="DQ17:EI17" si="131">DQ14</f>
        <v>1100</v>
      </c>
      <c r="DR17" s="41">
        <f t="shared" si="131"/>
        <v>1100</v>
      </c>
      <c r="DS17" s="41">
        <f t="shared" si="131"/>
        <v>1070</v>
      </c>
      <c r="DT17" s="41">
        <f t="shared" si="131"/>
        <v>1040</v>
      </c>
      <c r="DU17" s="41">
        <f t="shared" si="131"/>
        <v>995</v>
      </c>
      <c r="DV17" s="41">
        <f t="shared" si="131"/>
        <v>980</v>
      </c>
      <c r="DW17" s="41">
        <f t="shared" si="131"/>
        <v>980</v>
      </c>
      <c r="DX17" s="41">
        <f t="shared" si="131"/>
        <v>980</v>
      </c>
      <c r="DY17" s="41">
        <f t="shared" si="131"/>
        <v>970</v>
      </c>
      <c r="DZ17" s="41">
        <f t="shared" si="131"/>
        <v>970</v>
      </c>
      <c r="EA17" s="41">
        <f t="shared" si="131"/>
        <v>970</v>
      </c>
      <c r="EB17" s="41">
        <f t="shared" si="131"/>
        <v>980</v>
      </c>
      <c r="EC17" s="41">
        <f t="shared" si="131"/>
        <v>990</v>
      </c>
      <c r="ED17" s="41">
        <f>ED14</f>
        <v>970</v>
      </c>
      <c r="EE17" s="41">
        <f t="shared" si="131"/>
        <v>980</v>
      </c>
      <c r="EF17" s="41">
        <f t="shared" si="131"/>
        <v>990</v>
      </c>
      <c r="EG17" s="41">
        <f t="shared" si="131"/>
        <v>1060</v>
      </c>
      <c r="EH17" s="41">
        <f t="shared" si="131"/>
        <v>1070</v>
      </c>
      <c r="EI17" s="41">
        <f t="shared" si="131"/>
        <v>1070</v>
      </c>
      <c r="EJ17" s="41">
        <f t="shared" ref="EJ17:EO17" si="132">EJ14</f>
        <v>1020</v>
      </c>
      <c r="EK17" s="41">
        <f t="shared" si="132"/>
        <v>1020</v>
      </c>
      <c r="EL17" s="41">
        <f t="shared" si="132"/>
        <v>1020</v>
      </c>
      <c r="EM17" s="41">
        <f t="shared" si="132"/>
        <v>1020</v>
      </c>
      <c r="EN17" s="41">
        <f t="shared" si="132"/>
        <v>1020</v>
      </c>
      <c r="EO17" s="41">
        <f t="shared" si="132"/>
        <v>1020</v>
      </c>
      <c r="EP17" s="41">
        <f t="shared" ref="EP17:EU17" si="133">EP14</f>
        <v>1050</v>
      </c>
      <c r="EQ17" s="41">
        <f t="shared" si="133"/>
        <v>1070</v>
      </c>
      <c r="ER17" s="41">
        <f t="shared" si="133"/>
        <v>1050</v>
      </c>
      <c r="ES17" s="41">
        <f t="shared" si="133"/>
        <v>1050</v>
      </c>
      <c r="ET17" s="41">
        <f t="shared" si="133"/>
        <v>1020</v>
      </c>
      <c r="EU17" s="41">
        <f t="shared" si="133"/>
        <v>1000</v>
      </c>
      <c r="EV17" s="41">
        <f t="shared" ref="EV17:FA17" si="134">EV14</f>
        <v>980</v>
      </c>
      <c r="EW17" s="41">
        <f t="shared" si="134"/>
        <v>960</v>
      </c>
      <c r="EX17" s="41">
        <f t="shared" si="134"/>
        <v>910</v>
      </c>
      <c r="EY17" s="41">
        <f t="shared" si="134"/>
        <v>910</v>
      </c>
      <c r="EZ17" s="41">
        <f t="shared" si="134"/>
        <v>890</v>
      </c>
      <c r="FA17" s="41">
        <f t="shared" si="134"/>
        <v>890</v>
      </c>
      <c r="FB17" s="41">
        <f t="shared" ref="FB17:FG17" si="135">FB14</f>
        <v>890</v>
      </c>
      <c r="FC17" s="41">
        <f t="shared" si="135"/>
        <v>890</v>
      </c>
      <c r="FD17" s="41">
        <f t="shared" si="135"/>
        <v>882</v>
      </c>
      <c r="FE17" s="41">
        <f t="shared" si="135"/>
        <v>920</v>
      </c>
      <c r="FF17" s="41">
        <f t="shared" si="135"/>
        <v>920</v>
      </c>
      <c r="FG17" s="41">
        <f t="shared" si="135"/>
        <v>940</v>
      </c>
      <c r="FH17" s="41">
        <f>FH14</f>
        <v>920</v>
      </c>
      <c r="FI17" s="41">
        <f>FI14</f>
        <v>910</v>
      </c>
      <c r="FJ17" s="41">
        <f t="shared" ref="FJ17:FO17" si="136">FJ14</f>
        <v>910</v>
      </c>
      <c r="FK17" s="41">
        <f t="shared" si="136"/>
        <v>910</v>
      </c>
      <c r="FL17" s="41">
        <f t="shared" si="136"/>
        <v>910</v>
      </c>
      <c r="FM17" s="41">
        <f t="shared" si="136"/>
        <v>930</v>
      </c>
      <c r="FN17" s="41">
        <f t="shared" si="136"/>
        <v>940</v>
      </c>
      <c r="FO17" s="41">
        <f t="shared" si="136"/>
        <v>940</v>
      </c>
      <c r="FP17" s="41">
        <f t="shared" ref="FP17:FU17" si="137">FP14</f>
        <v>940</v>
      </c>
      <c r="FQ17" s="41">
        <f t="shared" si="137"/>
        <v>930</v>
      </c>
      <c r="FR17" s="41">
        <f t="shared" si="137"/>
        <v>920</v>
      </c>
      <c r="FS17" s="41">
        <f t="shared" si="137"/>
        <v>900</v>
      </c>
      <c r="FT17" s="41">
        <f t="shared" si="137"/>
        <v>900</v>
      </c>
      <c r="FU17" s="41">
        <f t="shared" si="137"/>
        <v>900</v>
      </c>
      <c r="FV17" s="41">
        <f t="shared" ref="FV17:FW17" si="138">FV14</f>
        <v>900</v>
      </c>
      <c r="FW17" s="41">
        <f t="shared" si="138"/>
        <v>900</v>
      </c>
      <c r="FX17" s="41">
        <f t="shared" ref="FX17:FY17" si="139">FX14</f>
        <v>900</v>
      </c>
      <c r="FY17" s="41">
        <f t="shared" si="139"/>
        <v>900</v>
      </c>
      <c r="FZ17" s="41">
        <f t="shared" ref="FZ17:GA17" si="140">FZ14</f>
        <v>900</v>
      </c>
      <c r="GA17" s="41">
        <f t="shared" si="140"/>
        <v>900</v>
      </c>
      <c r="GB17" s="41">
        <f t="shared" ref="GB17:HJ17" si="141">GB14</f>
        <v>900</v>
      </c>
      <c r="GC17" s="41">
        <f t="shared" si="141"/>
        <v>900</v>
      </c>
      <c r="GD17" s="41">
        <f t="shared" si="141"/>
        <v>940</v>
      </c>
      <c r="GE17" s="41">
        <f t="shared" si="141"/>
        <v>940</v>
      </c>
      <c r="GF17" s="41">
        <f t="shared" si="141"/>
        <v>940</v>
      </c>
      <c r="GG17" s="41">
        <f t="shared" si="141"/>
        <v>950</v>
      </c>
      <c r="GH17" s="41">
        <f t="shared" si="141"/>
        <v>940</v>
      </c>
      <c r="GI17" s="41">
        <f t="shared" si="141"/>
        <v>940</v>
      </c>
      <c r="GJ17" s="41">
        <f t="shared" si="141"/>
        <v>940</v>
      </c>
      <c r="GK17" s="41">
        <f t="shared" si="141"/>
        <v>940</v>
      </c>
      <c r="GL17" s="41">
        <f t="shared" si="141"/>
        <v>940</v>
      </c>
      <c r="GM17" s="41">
        <f t="shared" si="141"/>
        <v>940</v>
      </c>
      <c r="GN17" s="41">
        <f t="shared" si="141"/>
        <v>940</v>
      </c>
      <c r="GO17" s="41">
        <f t="shared" si="141"/>
        <v>940</v>
      </c>
      <c r="GP17" s="41">
        <f t="shared" si="141"/>
        <v>940</v>
      </c>
      <c r="GQ17" s="41">
        <f t="shared" si="141"/>
        <v>940</v>
      </c>
      <c r="GR17" s="41">
        <f t="shared" si="141"/>
        <v>940</v>
      </c>
      <c r="GS17" s="41">
        <f t="shared" si="141"/>
        <v>940</v>
      </c>
      <c r="GT17" s="41">
        <f t="shared" si="141"/>
        <v>940</v>
      </c>
      <c r="GU17" s="41">
        <f t="shared" si="141"/>
        <v>940</v>
      </c>
      <c r="GV17" s="41">
        <f t="shared" si="141"/>
        <v>950</v>
      </c>
      <c r="GW17" s="41">
        <f t="shared" si="141"/>
        <v>950</v>
      </c>
      <c r="GX17" s="41">
        <f t="shared" si="141"/>
        <v>950</v>
      </c>
      <c r="GY17" s="41">
        <f t="shared" si="141"/>
        <v>950</v>
      </c>
      <c r="GZ17" s="41">
        <f t="shared" si="141"/>
        <v>950</v>
      </c>
      <c r="HA17" s="41">
        <f t="shared" si="141"/>
        <v>950</v>
      </c>
      <c r="HB17" s="41">
        <f t="shared" si="141"/>
        <v>950</v>
      </c>
      <c r="HC17" s="41">
        <f t="shared" si="141"/>
        <v>950</v>
      </c>
      <c r="HD17" s="41">
        <f t="shared" si="141"/>
        <v>940</v>
      </c>
      <c r="HE17" s="41">
        <f t="shared" si="141"/>
        <v>940</v>
      </c>
      <c r="HF17" s="41">
        <f t="shared" si="141"/>
        <v>940</v>
      </c>
      <c r="HG17" s="41">
        <f t="shared" si="141"/>
        <v>940</v>
      </c>
      <c r="HH17" s="41">
        <f t="shared" si="141"/>
        <v>930</v>
      </c>
      <c r="HI17" s="41">
        <f t="shared" si="141"/>
        <v>900</v>
      </c>
      <c r="HJ17" s="41">
        <f t="shared" si="141"/>
        <v>900</v>
      </c>
      <c r="HK17" s="41">
        <f t="shared" ref="HK17:HL17" si="142">HK14</f>
        <v>890</v>
      </c>
      <c r="HL17" s="41">
        <f t="shared" si="142"/>
        <v>870</v>
      </c>
      <c r="HM17" s="41">
        <f t="shared" ref="HM17:HO17" si="143">HM14</f>
        <v>860</v>
      </c>
      <c r="HN17" s="41">
        <f t="shared" si="143"/>
        <v>860</v>
      </c>
      <c r="HO17" s="41">
        <f t="shared" si="143"/>
        <v>860</v>
      </c>
      <c r="HP17" s="41">
        <f t="shared" ref="HP17:HQ17" si="144">HP14</f>
        <v>870</v>
      </c>
      <c r="HQ17" s="41">
        <f t="shared" si="144"/>
        <v>860</v>
      </c>
      <c r="HR17" s="41">
        <f t="shared" ref="HR17:HV17" si="145">HR14</f>
        <v>860</v>
      </c>
      <c r="HS17" s="41">
        <f t="shared" si="145"/>
        <v>860</v>
      </c>
      <c r="HT17" s="41">
        <f t="shared" si="145"/>
        <v>860</v>
      </c>
      <c r="HU17" s="41">
        <f t="shared" si="145"/>
        <v>840</v>
      </c>
      <c r="HV17" s="41">
        <f t="shared" si="145"/>
        <v>840</v>
      </c>
      <c r="HW17" s="41">
        <f t="shared" ref="HW17:HZ17" si="146">HW14</f>
        <v>840</v>
      </c>
      <c r="HX17" s="41">
        <f t="shared" si="146"/>
        <v>830</v>
      </c>
      <c r="HY17" s="41">
        <f t="shared" si="146"/>
        <v>830</v>
      </c>
      <c r="HZ17" s="41">
        <f t="shared" si="146"/>
        <v>820</v>
      </c>
      <c r="IA17" s="41">
        <f t="shared" ref="IA17:IB17" si="147">IA14</f>
        <v>820</v>
      </c>
      <c r="IB17" s="41">
        <f t="shared" si="147"/>
        <v>820</v>
      </c>
      <c r="IC17" s="41">
        <f t="shared" ref="IC17:ID17" si="148">IC14</f>
        <v>820</v>
      </c>
      <c r="ID17" s="41">
        <f t="shared" si="148"/>
        <v>850</v>
      </c>
      <c r="IE17" s="41">
        <f t="shared" ref="IE17:IG17" si="149">IE14</f>
        <v>840</v>
      </c>
      <c r="IF17" s="41">
        <f t="shared" si="149"/>
        <v>840</v>
      </c>
      <c r="IG17" s="41">
        <f t="shared" si="149"/>
        <v>840</v>
      </c>
      <c r="IH17" s="41">
        <f t="shared" ref="IH17:II17" si="150">IH14</f>
        <v>840</v>
      </c>
      <c r="II17" s="41">
        <f t="shared" si="150"/>
        <v>840</v>
      </c>
      <c r="IJ17" s="41">
        <f t="shared" ref="IJ17:IL17" si="151">IJ14</f>
        <v>830</v>
      </c>
      <c r="IK17" s="41">
        <f t="shared" si="151"/>
        <v>810</v>
      </c>
      <c r="IL17" s="41">
        <f t="shared" si="151"/>
        <v>810</v>
      </c>
      <c r="IM17" s="41">
        <f t="shared" ref="IM17:IP17" si="152">IM14</f>
        <v>800</v>
      </c>
      <c r="IN17" s="41">
        <f t="shared" si="152"/>
        <v>750</v>
      </c>
      <c r="IO17" s="41">
        <f t="shared" si="152"/>
        <v>750</v>
      </c>
      <c r="IP17" s="41">
        <f t="shared" si="152"/>
        <v>760</v>
      </c>
      <c r="IQ17" s="41">
        <f t="shared" ref="IQ17:IU17" si="153">IQ14</f>
        <v>760</v>
      </c>
      <c r="IR17" s="41">
        <f t="shared" si="153"/>
        <v>760</v>
      </c>
      <c r="IS17" s="41">
        <f t="shared" si="153"/>
        <v>800</v>
      </c>
      <c r="IT17" s="41">
        <f t="shared" si="153"/>
        <v>800</v>
      </c>
      <c r="IU17" s="41">
        <f t="shared" si="153"/>
        <v>790</v>
      </c>
      <c r="IV17" s="41">
        <f t="shared" ref="IV17:IY17" si="154">IV14</f>
        <v>800</v>
      </c>
      <c r="IW17" s="41">
        <f t="shared" si="154"/>
        <v>790</v>
      </c>
      <c r="IX17" s="41">
        <f t="shared" si="154"/>
        <v>820</v>
      </c>
      <c r="IY17" s="41">
        <f t="shared" si="154"/>
        <v>820</v>
      </c>
      <c r="IZ17" s="41">
        <f t="shared" ref="IZ17:JD17" si="155">IZ14</f>
        <v>820</v>
      </c>
      <c r="JA17" s="41">
        <f t="shared" si="155"/>
        <v>820</v>
      </c>
      <c r="JB17" s="41">
        <f t="shared" si="155"/>
        <v>790</v>
      </c>
      <c r="JC17" s="41">
        <f t="shared" si="155"/>
        <v>790</v>
      </c>
      <c r="JD17" s="41">
        <f t="shared" si="155"/>
        <v>790</v>
      </c>
      <c r="JE17" s="41">
        <f t="shared" ref="JE17:JH17" si="156">JE14</f>
        <v>800</v>
      </c>
      <c r="JF17" s="41">
        <f t="shared" si="156"/>
        <v>790</v>
      </c>
      <c r="JG17" s="41">
        <f t="shared" si="156"/>
        <v>790</v>
      </c>
      <c r="JH17" s="41">
        <f t="shared" si="156"/>
        <v>800</v>
      </c>
      <c r="JI17" s="41">
        <f t="shared" ref="JI17:JL17" si="157">JI14</f>
        <v>790</v>
      </c>
      <c r="JJ17" s="41">
        <f t="shared" si="157"/>
        <v>780</v>
      </c>
      <c r="JK17" s="41">
        <f t="shared" si="157"/>
        <v>780</v>
      </c>
      <c r="JL17" s="41">
        <f t="shared" si="157"/>
        <v>780</v>
      </c>
      <c r="JM17" s="41">
        <f t="shared" ref="JM17:JQ17" si="158">JM14</f>
        <v>780</v>
      </c>
      <c r="JN17" s="41">
        <f t="shared" si="158"/>
        <v>780</v>
      </c>
      <c r="JO17" s="41">
        <f t="shared" si="158"/>
        <v>770</v>
      </c>
      <c r="JP17" s="41">
        <f t="shared" si="158"/>
        <v>760</v>
      </c>
      <c r="JQ17" s="41">
        <f t="shared" si="158"/>
        <v>770</v>
      </c>
      <c r="JR17" s="41">
        <f t="shared" ref="JR17:JU17" si="159">JR14</f>
        <v>770</v>
      </c>
      <c r="JS17" s="41">
        <f t="shared" si="159"/>
        <v>770</v>
      </c>
      <c r="JT17" s="41">
        <f t="shared" si="159"/>
        <v>770</v>
      </c>
      <c r="JU17" s="41">
        <f t="shared" si="159"/>
        <v>770</v>
      </c>
      <c r="JV17" s="41">
        <f t="shared" ref="JV17:JY17" si="160">JV14</f>
        <v>770</v>
      </c>
      <c r="JW17" s="41">
        <f t="shared" si="160"/>
        <v>770</v>
      </c>
      <c r="JX17" s="41">
        <f t="shared" si="160"/>
        <v>770</v>
      </c>
      <c r="JY17" s="41">
        <f t="shared" si="160"/>
        <v>780</v>
      </c>
      <c r="JZ17" s="41">
        <f t="shared" ref="JZ17:KD17" si="161">JZ14</f>
        <v>795</v>
      </c>
      <c r="KA17" s="41">
        <f t="shared" si="161"/>
        <v>795</v>
      </c>
      <c r="KB17" s="41">
        <f t="shared" si="161"/>
        <v>795</v>
      </c>
      <c r="KC17" s="41">
        <f t="shared" si="161"/>
        <v>820</v>
      </c>
      <c r="KD17" s="41">
        <f t="shared" si="161"/>
        <v>820</v>
      </c>
      <c r="KE17" s="41">
        <f t="shared" ref="KE17:KH17" si="162">KE14</f>
        <v>840</v>
      </c>
      <c r="KF17" s="41">
        <f t="shared" si="162"/>
        <v>840</v>
      </c>
      <c r="KG17" s="41">
        <f t="shared" si="162"/>
        <v>840</v>
      </c>
      <c r="KH17" s="41">
        <f t="shared" si="162"/>
        <v>840</v>
      </c>
      <c r="KI17" s="41">
        <f t="shared" ref="KI17:KL17" si="163">KI14</f>
        <v>935</v>
      </c>
      <c r="KJ17" s="41">
        <f t="shared" si="163"/>
        <v>1080</v>
      </c>
      <c r="KK17" s="41">
        <f t="shared" si="163"/>
        <v>1280</v>
      </c>
      <c r="KL17" s="41">
        <f t="shared" si="163"/>
        <v>1140</v>
      </c>
    </row>
    <row r="18" spans="6:298" ht="15">
      <c r="F18" s="62"/>
      <c r="H18" s="117" t="s">
        <v>83</v>
      </c>
      <c r="V18" s="3"/>
      <c r="X18" s="41">
        <f t="shared" ref="X18:AK18" si="164">X7-X17</f>
        <v>272.5</v>
      </c>
      <c r="Y18" s="41">
        <f t="shared" si="164"/>
        <v>253.33333333333326</v>
      </c>
      <c r="Z18" s="41">
        <f t="shared" si="164"/>
        <v>180</v>
      </c>
      <c r="AA18" s="41">
        <f t="shared" si="164"/>
        <v>350</v>
      </c>
      <c r="AB18" s="41">
        <f t="shared" si="164"/>
        <v>230</v>
      </c>
      <c r="AC18" s="41">
        <f t="shared" si="164"/>
        <v>310</v>
      </c>
      <c r="AD18" s="41" t="e">
        <f t="shared" si="164"/>
        <v>#REF!</v>
      </c>
      <c r="AE18" s="41" t="e">
        <f t="shared" si="164"/>
        <v>#REF!</v>
      </c>
      <c r="AF18" s="41" t="e">
        <f t="shared" si="164"/>
        <v>#REF!</v>
      </c>
      <c r="AG18" s="41" t="e">
        <f t="shared" si="164"/>
        <v>#REF!</v>
      </c>
      <c r="AH18" s="41" t="e">
        <f t="shared" si="164"/>
        <v>#REF!</v>
      </c>
      <c r="AI18" s="41" t="e">
        <f t="shared" si="164"/>
        <v>#REF!</v>
      </c>
      <c r="AJ18" s="41" t="e">
        <f t="shared" si="164"/>
        <v>#REF!</v>
      </c>
      <c r="AK18" s="41">
        <f t="shared" si="164"/>
        <v>372.5</v>
      </c>
      <c r="AL18" s="41">
        <f>AL6-AL17</f>
        <v>330</v>
      </c>
      <c r="AM18" s="41">
        <f t="shared" ref="AM18:BC18" si="165">AM6-AM17</f>
        <v>285</v>
      </c>
      <c r="AN18" s="41">
        <f t="shared" si="165"/>
        <v>360</v>
      </c>
      <c r="AO18" s="41">
        <f t="shared" si="165"/>
        <v>325</v>
      </c>
      <c r="AP18" s="41">
        <f t="shared" si="165"/>
        <v>406</v>
      </c>
      <c r="AQ18" s="41">
        <f t="shared" si="165"/>
        <v>430</v>
      </c>
      <c r="AR18" s="41">
        <f t="shared" si="165"/>
        <v>372</v>
      </c>
      <c r="AS18" s="41">
        <f t="shared" si="165"/>
        <v>332</v>
      </c>
      <c r="AT18" s="41">
        <f t="shared" si="165"/>
        <v>320</v>
      </c>
      <c r="AU18" s="41">
        <f t="shared" si="165"/>
        <v>327.5</v>
      </c>
      <c r="AV18" s="41">
        <f t="shared" si="165"/>
        <v>350</v>
      </c>
      <c r="AW18" s="41">
        <f t="shared" si="165"/>
        <v>350</v>
      </c>
      <c r="AX18" s="41">
        <f t="shared" si="165"/>
        <v>320</v>
      </c>
      <c r="AY18" s="41">
        <f t="shared" si="165"/>
        <v>306.66666666666663</v>
      </c>
      <c r="AZ18" s="41">
        <f t="shared" si="165"/>
        <v>310</v>
      </c>
      <c r="BA18" s="41">
        <f t="shared" si="165"/>
        <v>310</v>
      </c>
      <c r="BB18" s="41">
        <f t="shared" si="165"/>
        <v>358</v>
      </c>
      <c r="BC18" s="41">
        <f t="shared" si="165"/>
        <v>350</v>
      </c>
      <c r="BD18" s="41">
        <f t="shared" ref="BD18:BE18" si="166">BD6-BD17</f>
        <v>352.5</v>
      </c>
      <c r="BE18" s="41">
        <f t="shared" si="166"/>
        <v>370</v>
      </c>
      <c r="BF18" s="41">
        <f t="shared" ref="BF18:BG18" si="167">BF6-BF17</f>
        <v>430</v>
      </c>
      <c r="BG18" s="41">
        <f t="shared" si="167"/>
        <v>462.5</v>
      </c>
      <c r="BH18" s="41">
        <f t="shared" ref="BH18:BI18" si="168">BH6-BH17</f>
        <v>473</v>
      </c>
      <c r="BI18" s="41">
        <f t="shared" si="168"/>
        <v>445</v>
      </c>
      <c r="BJ18" s="41">
        <f t="shared" ref="BJ18:BK18" si="169">BJ6-BJ17</f>
        <v>402.5</v>
      </c>
      <c r="BK18" s="41">
        <f t="shared" si="169"/>
        <v>390</v>
      </c>
      <c r="BL18" s="41">
        <f t="shared" ref="BL18:BM18" si="170">BL6-BL17</f>
        <v>407.5</v>
      </c>
      <c r="BM18" s="41">
        <f t="shared" si="170"/>
        <v>485</v>
      </c>
      <c r="BN18" s="41">
        <f t="shared" ref="BN18:BO18" si="171">BN6-BN17</f>
        <v>468</v>
      </c>
      <c r="BO18" s="41">
        <f t="shared" si="171"/>
        <v>442.5</v>
      </c>
      <c r="BP18" s="41">
        <f t="shared" ref="BP18:BQ18" si="172">BP6-BP17</f>
        <v>448</v>
      </c>
      <c r="BQ18" s="41">
        <f t="shared" si="172"/>
        <v>425</v>
      </c>
      <c r="BR18" s="41">
        <f t="shared" ref="BR18:BS18" si="173">BR6-BR17</f>
        <v>437.5</v>
      </c>
      <c r="BS18" s="41">
        <f t="shared" si="173"/>
        <v>438</v>
      </c>
      <c r="BT18" s="41">
        <f t="shared" ref="BT18:BU18" si="174">BT6-BT17</f>
        <v>430</v>
      </c>
      <c r="BU18" s="41">
        <f t="shared" si="174"/>
        <v>427.5</v>
      </c>
      <c r="BV18" s="41">
        <f t="shared" ref="BV18:BW18" si="175">BV6-BV17</f>
        <v>355</v>
      </c>
      <c r="BW18" s="41">
        <f t="shared" si="175"/>
        <v>320</v>
      </c>
      <c r="BX18" s="41">
        <f t="shared" ref="BX18:BY18" si="176">BX6-BX17</f>
        <v>51.25</v>
      </c>
      <c r="BY18" s="41">
        <f t="shared" si="176"/>
        <v>160</v>
      </c>
      <c r="CC18" s="117" t="s">
        <v>83</v>
      </c>
      <c r="DQ18" s="41" t="e">
        <f t="shared" ref="DQ18:EV18" si="177">+DQ7-DQ17</f>
        <v>#REF!</v>
      </c>
      <c r="DR18" s="41" t="e">
        <f t="shared" si="177"/>
        <v>#REF!</v>
      </c>
      <c r="DS18" s="41" t="e">
        <f t="shared" si="177"/>
        <v>#REF!</v>
      </c>
      <c r="DT18" s="41" t="e">
        <f t="shared" si="177"/>
        <v>#REF!</v>
      </c>
      <c r="DU18" s="41">
        <f t="shared" si="177"/>
        <v>405</v>
      </c>
      <c r="DV18" s="41">
        <f t="shared" si="177"/>
        <v>420</v>
      </c>
      <c r="DW18" s="41">
        <f t="shared" si="177"/>
        <v>420</v>
      </c>
      <c r="DX18" s="41">
        <f t="shared" si="177"/>
        <v>420</v>
      </c>
      <c r="DY18" s="41">
        <f t="shared" si="177"/>
        <v>430</v>
      </c>
      <c r="DZ18" s="41">
        <f t="shared" si="177"/>
        <v>430</v>
      </c>
      <c r="EA18" s="41">
        <f t="shared" si="177"/>
        <v>430</v>
      </c>
      <c r="EB18" s="41">
        <f t="shared" si="177"/>
        <v>370</v>
      </c>
      <c r="EC18" s="41">
        <f t="shared" si="177"/>
        <v>360</v>
      </c>
      <c r="ED18" s="41">
        <f t="shared" si="177"/>
        <v>360</v>
      </c>
      <c r="EE18" s="41">
        <f t="shared" si="177"/>
        <v>350</v>
      </c>
      <c r="EF18" s="41">
        <f t="shared" si="177"/>
        <v>340</v>
      </c>
      <c r="EG18" s="41">
        <f t="shared" si="177"/>
        <v>270</v>
      </c>
      <c r="EH18" s="41">
        <f t="shared" si="177"/>
        <v>260</v>
      </c>
      <c r="EI18" s="41">
        <f t="shared" si="177"/>
        <v>260</v>
      </c>
      <c r="EJ18" s="41">
        <f t="shared" si="177"/>
        <v>310</v>
      </c>
      <c r="EK18" s="41">
        <f t="shared" si="177"/>
        <v>310</v>
      </c>
      <c r="EL18" s="41">
        <f t="shared" si="177"/>
        <v>360</v>
      </c>
      <c r="EM18" s="41">
        <f t="shared" si="177"/>
        <v>360</v>
      </c>
      <c r="EN18" s="41">
        <f t="shared" si="177"/>
        <v>360</v>
      </c>
      <c r="EO18" s="41">
        <f t="shared" si="177"/>
        <v>360</v>
      </c>
      <c r="EP18" s="41">
        <f t="shared" si="177"/>
        <v>330</v>
      </c>
      <c r="EQ18" s="41">
        <f t="shared" si="177"/>
        <v>310</v>
      </c>
      <c r="ER18" s="41">
        <f t="shared" si="177"/>
        <v>330</v>
      </c>
      <c r="ES18" s="41">
        <f t="shared" si="177"/>
        <v>330</v>
      </c>
      <c r="ET18" s="41">
        <f t="shared" si="177"/>
        <v>360</v>
      </c>
      <c r="EU18" s="41">
        <f t="shared" si="177"/>
        <v>380</v>
      </c>
      <c r="EV18" s="41">
        <f t="shared" si="177"/>
        <v>400</v>
      </c>
      <c r="EW18" s="41">
        <f t="shared" ref="EW18:GB18" si="178">+EW7-EW17</f>
        <v>420</v>
      </c>
      <c r="EX18" s="41">
        <f t="shared" si="178"/>
        <v>470</v>
      </c>
      <c r="EY18" s="41">
        <f t="shared" si="178"/>
        <v>440</v>
      </c>
      <c r="EZ18" s="41">
        <f t="shared" si="178"/>
        <v>460</v>
      </c>
      <c r="FA18" s="41">
        <f t="shared" si="178"/>
        <v>410</v>
      </c>
      <c r="FB18" s="41">
        <f t="shared" si="178"/>
        <v>410</v>
      </c>
      <c r="FC18" s="41">
        <f t="shared" si="178"/>
        <v>410</v>
      </c>
      <c r="FD18" s="41">
        <f t="shared" si="178"/>
        <v>418</v>
      </c>
      <c r="FE18" s="41">
        <f t="shared" si="178"/>
        <v>330</v>
      </c>
      <c r="FF18" s="41">
        <f t="shared" si="178"/>
        <v>330</v>
      </c>
      <c r="FG18" s="41">
        <f t="shared" si="178"/>
        <v>310</v>
      </c>
      <c r="FH18" s="41">
        <f t="shared" si="178"/>
        <v>330</v>
      </c>
      <c r="FI18" s="41">
        <f t="shared" si="178"/>
        <v>340</v>
      </c>
      <c r="FJ18" s="41">
        <f t="shared" si="178"/>
        <v>340</v>
      </c>
      <c r="FK18" s="41">
        <f t="shared" si="178"/>
        <v>340</v>
      </c>
      <c r="FL18" s="41">
        <f t="shared" si="178"/>
        <v>340</v>
      </c>
      <c r="FM18" s="41">
        <f t="shared" si="178"/>
        <v>320</v>
      </c>
      <c r="FN18" s="41">
        <f t="shared" si="178"/>
        <v>310</v>
      </c>
      <c r="FO18" s="41">
        <f t="shared" si="178"/>
        <v>310</v>
      </c>
      <c r="FP18" s="41">
        <f t="shared" si="178"/>
        <v>310</v>
      </c>
      <c r="FQ18" s="41">
        <f t="shared" si="178"/>
        <v>320</v>
      </c>
      <c r="FR18" s="41">
        <f t="shared" si="178"/>
        <v>330</v>
      </c>
      <c r="FS18" s="41">
        <f t="shared" si="178"/>
        <v>350</v>
      </c>
      <c r="FT18" s="41">
        <f t="shared" si="178"/>
        <v>350</v>
      </c>
      <c r="FU18" s="41">
        <f t="shared" si="178"/>
        <v>350</v>
      </c>
      <c r="FV18" s="41">
        <f t="shared" si="178"/>
        <v>350</v>
      </c>
      <c r="FW18" s="41">
        <f t="shared" si="178"/>
        <v>350</v>
      </c>
      <c r="FX18" s="41">
        <f t="shared" si="178"/>
        <v>350</v>
      </c>
      <c r="FY18" s="41">
        <f t="shared" si="178"/>
        <v>350</v>
      </c>
      <c r="FZ18" s="41">
        <f t="shared" si="178"/>
        <v>350</v>
      </c>
      <c r="GA18" s="41">
        <f t="shared" si="178"/>
        <v>350</v>
      </c>
      <c r="GB18" s="41">
        <f t="shared" si="178"/>
        <v>350</v>
      </c>
      <c r="GC18" s="41">
        <f>+GC6-GC17</f>
        <v>350</v>
      </c>
      <c r="GD18" s="41">
        <f t="shared" ref="GD18:GK18" si="179">+GD6-GD17</f>
        <v>310</v>
      </c>
      <c r="GE18" s="41">
        <f t="shared" si="179"/>
        <v>310</v>
      </c>
      <c r="GF18" s="41">
        <f t="shared" si="179"/>
        <v>310</v>
      </c>
      <c r="GG18" s="41">
        <f t="shared" si="179"/>
        <v>300</v>
      </c>
      <c r="GH18" s="41">
        <f t="shared" si="179"/>
        <v>310</v>
      </c>
      <c r="GI18" s="41">
        <f t="shared" si="179"/>
        <v>310</v>
      </c>
      <c r="GJ18" s="41">
        <f t="shared" si="179"/>
        <v>310</v>
      </c>
      <c r="GK18" s="41">
        <f t="shared" si="179"/>
        <v>310</v>
      </c>
      <c r="GL18" s="41">
        <f t="shared" ref="GL18" si="180">+GL6-GL17</f>
        <v>310</v>
      </c>
      <c r="GM18" s="41">
        <f t="shared" ref="GM18" si="181">+GM6-GM17</f>
        <v>310</v>
      </c>
      <c r="GN18" s="41">
        <f t="shared" ref="GN18" si="182">+GN6-GN17</f>
        <v>310</v>
      </c>
      <c r="GO18" s="41">
        <f t="shared" ref="GO18" si="183">+GO6-GO17</f>
        <v>310</v>
      </c>
      <c r="GP18" s="41">
        <f t="shared" ref="GP18" si="184">+GP6-GP17</f>
        <v>310</v>
      </c>
      <c r="GQ18" s="41">
        <f t="shared" ref="GQ18" si="185">+GQ6-GQ17</f>
        <v>310</v>
      </c>
      <c r="GR18" s="41">
        <f t="shared" ref="GR18:GS18" si="186">+GR6-GR17</f>
        <v>360</v>
      </c>
      <c r="GS18" s="41">
        <f t="shared" si="186"/>
        <v>360</v>
      </c>
      <c r="GT18" s="41">
        <f t="shared" ref="GT18" si="187">+GT6-GT17</f>
        <v>360</v>
      </c>
      <c r="GU18" s="41">
        <f t="shared" ref="GU18" si="188">+GU6-GU17</f>
        <v>360</v>
      </c>
      <c r="GV18" s="41">
        <f t="shared" ref="GV18" si="189">+GV6-GV17</f>
        <v>350</v>
      </c>
      <c r="GW18" s="41">
        <f t="shared" ref="GW18" si="190">+GW6-GW17</f>
        <v>350</v>
      </c>
      <c r="GX18" s="41">
        <f t="shared" ref="GX18:GY18" si="191">+GX6-GX17</f>
        <v>350</v>
      </c>
      <c r="GY18" s="41">
        <f t="shared" si="191"/>
        <v>350</v>
      </c>
      <c r="GZ18" s="41">
        <f t="shared" ref="GZ18:HA18" si="192">+GZ6-GZ17</f>
        <v>350</v>
      </c>
      <c r="HA18" s="41">
        <f t="shared" si="192"/>
        <v>350</v>
      </c>
      <c r="HB18" s="41">
        <f t="shared" ref="HB18:HC18" si="193">+HB6-HB17</f>
        <v>350</v>
      </c>
      <c r="HC18" s="41">
        <f t="shared" si="193"/>
        <v>350</v>
      </c>
      <c r="HD18" s="41">
        <f t="shared" ref="HD18:HE18" si="194">+HD6-HD17</f>
        <v>360</v>
      </c>
      <c r="HE18" s="41">
        <f t="shared" si="194"/>
        <v>360</v>
      </c>
      <c r="HF18" s="41">
        <f t="shared" ref="HF18:HG18" si="195">+HF6-HF17</f>
        <v>360</v>
      </c>
      <c r="HG18" s="41">
        <f t="shared" si="195"/>
        <v>360</v>
      </c>
      <c r="HH18" s="41">
        <f t="shared" ref="HH18:HI18" si="196">+HH6-HH17</f>
        <v>370</v>
      </c>
      <c r="HI18" s="41">
        <f t="shared" si="196"/>
        <v>400</v>
      </c>
      <c r="HJ18" s="41">
        <f t="shared" ref="HJ18:HK18" si="197">+HJ6-HJ17</f>
        <v>410</v>
      </c>
      <c r="HK18" s="41">
        <f t="shared" si="197"/>
        <v>420</v>
      </c>
      <c r="HL18" s="41">
        <f t="shared" ref="HL18:HM18" si="198">+HL6-HL17</f>
        <v>440</v>
      </c>
      <c r="HM18" s="41">
        <f t="shared" si="198"/>
        <v>450</v>
      </c>
      <c r="HN18" s="41">
        <f t="shared" ref="HN18:HO18" si="199">+HN6-HN17</f>
        <v>465</v>
      </c>
      <c r="HO18" s="41">
        <f t="shared" si="199"/>
        <v>465</v>
      </c>
      <c r="HP18" s="41">
        <f t="shared" ref="HP18:HQ18" si="200">+HP6-HP17</f>
        <v>455</v>
      </c>
      <c r="HQ18" s="41">
        <f t="shared" si="200"/>
        <v>465</v>
      </c>
      <c r="HR18" s="41">
        <f t="shared" ref="HR18:HV18" si="201">+HR6-HR17</f>
        <v>465</v>
      </c>
      <c r="HS18" s="41">
        <f t="shared" si="201"/>
        <v>465</v>
      </c>
      <c r="HT18" s="41">
        <f t="shared" si="201"/>
        <v>465</v>
      </c>
      <c r="HU18" s="41">
        <f t="shared" si="201"/>
        <v>485</v>
      </c>
      <c r="HV18" s="41">
        <f t="shared" si="201"/>
        <v>485</v>
      </c>
      <c r="HW18" s="41">
        <f t="shared" ref="HW18:HZ18" si="202">+HW6-HW17</f>
        <v>435</v>
      </c>
      <c r="HX18" s="41">
        <f t="shared" si="202"/>
        <v>445</v>
      </c>
      <c r="HY18" s="41">
        <f t="shared" si="202"/>
        <v>445</v>
      </c>
      <c r="HZ18" s="41">
        <f t="shared" si="202"/>
        <v>455</v>
      </c>
      <c r="IA18" s="41">
        <f t="shared" ref="IA18:IB18" si="203">+IA6-IA17</f>
        <v>410</v>
      </c>
      <c r="IB18" s="41">
        <f t="shared" si="203"/>
        <v>410</v>
      </c>
      <c r="IC18" s="41">
        <f t="shared" ref="IC18:ID18" si="204">+IC6-IC17</f>
        <v>410</v>
      </c>
      <c r="ID18" s="41">
        <f t="shared" si="204"/>
        <v>380</v>
      </c>
      <c r="IE18" s="41">
        <f t="shared" ref="IE18:IG18" si="205">+IE6-IE17</f>
        <v>390</v>
      </c>
      <c r="IF18" s="41">
        <f t="shared" si="205"/>
        <v>390</v>
      </c>
      <c r="IG18" s="41">
        <f t="shared" si="205"/>
        <v>390</v>
      </c>
      <c r="IH18" s="41">
        <f t="shared" ref="IH18:II18" si="206">+IH6-IH17</f>
        <v>390</v>
      </c>
      <c r="II18" s="41">
        <f t="shared" si="206"/>
        <v>390</v>
      </c>
      <c r="IJ18" s="41">
        <f t="shared" ref="IJ18:IL18" si="207">+IJ6-IJ17</f>
        <v>400</v>
      </c>
      <c r="IK18" s="41">
        <f t="shared" si="207"/>
        <v>420</v>
      </c>
      <c r="IL18" s="41">
        <f t="shared" si="207"/>
        <v>420</v>
      </c>
      <c r="IM18" s="41">
        <f t="shared" ref="IM18:IP18" si="208">+IM6-IM17</f>
        <v>450</v>
      </c>
      <c r="IN18" s="41">
        <f t="shared" si="208"/>
        <v>500</v>
      </c>
      <c r="IO18" s="41">
        <f t="shared" si="208"/>
        <v>500</v>
      </c>
      <c r="IP18" s="41">
        <f t="shared" si="208"/>
        <v>490</v>
      </c>
      <c r="IQ18" s="41">
        <f t="shared" ref="IQ18:IU18" si="209">+IQ6-IQ17</f>
        <v>490</v>
      </c>
      <c r="IR18" s="41">
        <f t="shared" si="209"/>
        <v>490</v>
      </c>
      <c r="IS18" s="41">
        <f t="shared" si="209"/>
        <v>450</v>
      </c>
      <c r="IT18" s="41">
        <f t="shared" si="209"/>
        <v>450</v>
      </c>
      <c r="IU18" s="41">
        <f t="shared" si="209"/>
        <v>460</v>
      </c>
      <c r="IV18" s="41">
        <f t="shared" ref="IV18:IY18" si="210">+IV6-IV17</f>
        <v>423.08345182389439</v>
      </c>
      <c r="IW18" s="41">
        <f t="shared" si="210"/>
        <v>435.22861301447779</v>
      </c>
      <c r="IX18" s="41">
        <f t="shared" si="210"/>
        <v>399.85946597651218</v>
      </c>
      <c r="IY18" s="41">
        <f t="shared" si="210"/>
        <v>399.05305328016675</v>
      </c>
      <c r="IZ18" s="41">
        <f t="shared" ref="IZ18:JD18" si="211">+IZ6-IZ17</f>
        <v>395.28891612105326</v>
      </c>
      <c r="JA18" s="41">
        <f t="shared" si="211"/>
        <v>408.31313760815851</v>
      </c>
      <c r="JB18" s="41">
        <f t="shared" si="211"/>
        <v>426.0902473013</v>
      </c>
      <c r="JC18" s="41">
        <f t="shared" si="211"/>
        <v>430.5681658529486</v>
      </c>
      <c r="JD18" s="41">
        <f t="shared" si="211"/>
        <v>426.90734480216793</v>
      </c>
      <c r="JE18" s="41">
        <f t="shared" ref="JE18:JH18" si="212">+JE6-JE17</f>
        <v>404.47341524403009</v>
      </c>
      <c r="JF18" s="41">
        <f t="shared" si="212"/>
        <v>397.68137723989094</v>
      </c>
      <c r="JG18" s="41">
        <f t="shared" si="212"/>
        <v>430</v>
      </c>
      <c r="JH18" s="41">
        <f t="shared" si="212"/>
        <v>420</v>
      </c>
      <c r="JI18" s="41">
        <f t="shared" ref="JI18:JL18" si="213">+JI6-JI17</f>
        <v>430</v>
      </c>
      <c r="JJ18" s="41">
        <f t="shared" si="213"/>
        <v>440</v>
      </c>
      <c r="JK18" s="41">
        <f t="shared" si="213"/>
        <v>440</v>
      </c>
      <c r="JL18" s="41">
        <f t="shared" si="213"/>
        <v>440</v>
      </c>
      <c r="JM18" s="41">
        <f t="shared" ref="JM18:JQ18" si="214">+JM6-JM17</f>
        <v>430</v>
      </c>
      <c r="JN18" s="41">
        <f t="shared" si="214"/>
        <v>430</v>
      </c>
      <c r="JO18" s="41">
        <f t="shared" si="214"/>
        <v>440</v>
      </c>
      <c r="JP18" s="41">
        <f t="shared" si="214"/>
        <v>450</v>
      </c>
      <c r="JQ18" s="41">
        <f t="shared" si="214"/>
        <v>440</v>
      </c>
      <c r="JR18" s="41">
        <f t="shared" ref="JR18:JU18" si="215">+JR6-JR17</f>
        <v>430</v>
      </c>
      <c r="JS18" s="41">
        <f t="shared" si="215"/>
        <v>430</v>
      </c>
      <c r="JT18" s="41">
        <f t="shared" si="215"/>
        <v>430</v>
      </c>
      <c r="JU18" s="41">
        <f t="shared" si="215"/>
        <v>430</v>
      </c>
      <c r="JV18" s="41">
        <f t="shared" ref="JV18:JY18" si="216">+JV6-JV17</f>
        <v>430</v>
      </c>
      <c r="JW18" s="41">
        <f t="shared" si="216"/>
        <v>430</v>
      </c>
      <c r="JX18" s="41">
        <f t="shared" si="216"/>
        <v>430</v>
      </c>
      <c r="JY18" s="41">
        <f t="shared" si="216"/>
        <v>420</v>
      </c>
      <c r="JZ18" s="41">
        <f t="shared" ref="JZ18:KD18" si="217">+JZ6-JZ17</f>
        <v>365</v>
      </c>
      <c r="KA18" s="41">
        <f t="shared" si="217"/>
        <v>365</v>
      </c>
      <c r="KB18" s="41">
        <f t="shared" si="217"/>
        <v>365</v>
      </c>
      <c r="KC18" s="41">
        <f t="shared" si="217"/>
        <v>340</v>
      </c>
      <c r="KD18" s="41">
        <f t="shared" si="217"/>
        <v>340</v>
      </c>
      <c r="KE18" s="41">
        <f t="shared" ref="KE18:KH18" si="218">+KE6-KE17</f>
        <v>320</v>
      </c>
      <c r="KF18" s="41">
        <f t="shared" si="218"/>
        <v>320</v>
      </c>
      <c r="KG18" s="41">
        <f t="shared" si="218"/>
        <v>320</v>
      </c>
      <c r="KH18" s="41">
        <f t="shared" si="218"/>
        <v>320</v>
      </c>
      <c r="KI18" s="41">
        <f t="shared" ref="KI18:KL18" si="219">+KI6-KI17</f>
        <v>225</v>
      </c>
      <c r="KJ18" s="41">
        <f t="shared" si="219"/>
        <v>80</v>
      </c>
      <c r="KK18" s="41">
        <f t="shared" si="219"/>
        <v>-70</v>
      </c>
      <c r="KL18" s="41">
        <f t="shared" si="219"/>
        <v>140</v>
      </c>
    </row>
    <row r="19" spans="6:298" ht="15">
      <c r="F19" s="62"/>
      <c r="H19" s="1" t="s">
        <v>81</v>
      </c>
      <c r="U19" s="41"/>
      <c r="X19" s="51">
        <f>X18/X17</f>
        <v>0.21001926782273603</v>
      </c>
      <c r="Y19" s="51">
        <f t="shared" ref="Y19:AQ19" si="220">Y18/Y17</f>
        <v>0.19240506329113918</v>
      </c>
      <c r="Z19" s="51">
        <f t="shared" si="220"/>
        <v>0.12949640287769784</v>
      </c>
      <c r="AA19" s="51">
        <f t="shared" si="220"/>
        <v>0.28688524590163933</v>
      </c>
      <c r="AB19" s="51">
        <f t="shared" si="220"/>
        <v>0.18110236220472442</v>
      </c>
      <c r="AC19" s="51">
        <f t="shared" si="220"/>
        <v>0.26050420168067229</v>
      </c>
      <c r="AD19" s="51" t="e">
        <f t="shared" si="220"/>
        <v>#REF!</v>
      </c>
      <c r="AE19" s="51" t="e">
        <f t="shared" si="220"/>
        <v>#REF!</v>
      </c>
      <c r="AF19" s="51" t="e">
        <f t="shared" si="220"/>
        <v>#REF!</v>
      </c>
      <c r="AG19" s="51" t="e">
        <f t="shared" si="220"/>
        <v>#REF!</v>
      </c>
      <c r="AH19" s="51" t="e">
        <f t="shared" si="220"/>
        <v>#REF!</v>
      </c>
      <c r="AI19" s="51" t="e">
        <f t="shared" si="220"/>
        <v>#REF!</v>
      </c>
      <c r="AJ19" s="51" t="e">
        <f t="shared" si="220"/>
        <v>#REF!</v>
      </c>
      <c r="AK19" s="51">
        <f t="shared" si="220"/>
        <v>0.38107416879795397</v>
      </c>
      <c r="AL19" s="51">
        <f t="shared" si="220"/>
        <v>0.33</v>
      </c>
      <c r="AM19" s="51">
        <f t="shared" si="220"/>
        <v>0.27272727272727271</v>
      </c>
      <c r="AN19" s="51">
        <f t="shared" si="220"/>
        <v>0.35294117647058826</v>
      </c>
      <c r="AO19" s="51">
        <f t="shared" si="220"/>
        <v>0.30805687203791471</v>
      </c>
      <c r="AP19" s="51">
        <f t="shared" si="220"/>
        <v>0.41683778234086244</v>
      </c>
      <c r="AQ19" s="51">
        <f t="shared" si="220"/>
        <v>0.48044692737430167</v>
      </c>
      <c r="AR19" s="51">
        <f t="shared" ref="AR19:AW19" si="221">AR18/AR17</f>
        <v>0.41196013289036543</v>
      </c>
      <c r="AS19" s="51">
        <f t="shared" si="221"/>
        <v>0.36165577342047928</v>
      </c>
      <c r="AT19" s="51">
        <f t="shared" si="221"/>
        <v>0.34408602150537637</v>
      </c>
      <c r="AU19" s="51">
        <f t="shared" si="221"/>
        <v>0.35501355013550134</v>
      </c>
      <c r="AV19" s="51">
        <f t="shared" si="221"/>
        <v>0.3888888888888889</v>
      </c>
      <c r="AW19" s="51">
        <f t="shared" si="221"/>
        <v>0.3888888888888889</v>
      </c>
      <c r="AX19" s="51">
        <f t="shared" ref="AX19:AY19" si="222">AX18/AX17</f>
        <v>0.34408602150537637</v>
      </c>
      <c r="AY19" s="51">
        <f t="shared" si="222"/>
        <v>0.32508833922261476</v>
      </c>
      <c r="AZ19" s="51">
        <f t="shared" ref="AZ19:BA19" si="223">AZ18/AZ17</f>
        <v>0.32978723404255317</v>
      </c>
      <c r="BA19" s="51">
        <f t="shared" si="223"/>
        <v>0.32978723404255317</v>
      </c>
      <c r="BB19" s="51">
        <f t="shared" ref="BB19:BC19" si="224">BB18/BB17</f>
        <v>0.38004246284501064</v>
      </c>
      <c r="BC19" s="51">
        <f t="shared" si="224"/>
        <v>0.36842105263157893</v>
      </c>
      <c r="BD19" s="51">
        <f t="shared" ref="BD19:BE19" si="225">BD18/BD17</f>
        <v>0.37203166226912932</v>
      </c>
      <c r="BE19" s="51">
        <f t="shared" si="225"/>
        <v>0.39784946236559138</v>
      </c>
      <c r="BF19" s="51">
        <f t="shared" ref="BF19:BG19" si="226">BF18/BF17</f>
        <v>0.48863636363636365</v>
      </c>
      <c r="BG19" s="51">
        <f t="shared" si="226"/>
        <v>0.53623188405797106</v>
      </c>
      <c r="BH19" s="51">
        <f t="shared" ref="BH19:BI19" si="227">BH18/BH17</f>
        <v>0.55516431924882625</v>
      </c>
      <c r="BI19" s="51">
        <f t="shared" si="227"/>
        <v>0.53614457831325302</v>
      </c>
      <c r="BJ19" s="51">
        <f t="shared" ref="BJ19:BK19" si="228">BJ18/BJ17</f>
        <v>0.48640483383685801</v>
      </c>
      <c r="BK19" s="51">
        <f t="shared" si="228"/>
        <v>0.4642857142857143</v>
      </c>
      <c r="BL19" s="51">
        <f t="shared" ref="BL19:BM19" si="229">BL18/BL17</f>
        <v>0.49544072948328266</v>
      </c>
      <c r="BM19" s="51">
        <f t="shared" si="229"/>
        <v>0.63398692810457513</v>
      </c>
      <c r="BN19" s="51">
        <f t="shared" ref="BN19:BO19" si="230">BN18/BN17</f>
        <v>0.59846547314578002</v>
      </c>
      <c r="BO19" s="51">
        <f t="shared" si="230"/>
        <v>0.54798761609907121</v>
      </c>
      <c r="BP19" s="51">
        <f t="shared" ref="BP19:BQ19" si="231">BP18/BP17</f>
        <v>0.55860349127182041</v>
      </c>
      <c r="BQ19" s="51">
        <f t="shared" si="231"/>
        <v>0.53459119496855345</v>
      </c>
      <c r="BR19" s="51">
        <f t="shared" ref="BR19:BS19" si="232">BR18/BR17</f>
        <v>0.5591054313099042</v>
      </c>
      <c r="BS19" s="51">
        <f t="shared" si="232"/>
        <v>0.56735751295336789</v>
      </c>
      <c r="BT19" s="51">
        <f t="shared" ref="BT19:BU19" si="233">BT18/BT17</f>
        <v>0.55844155844155841</v>
      </c>
      <c r="BU19" s="51">
        <f t="shared" si="233"/>
        <v>0.55339805825242716</v>
      </c>
      <c r="BV19" s="51">
        <f t="shared" ref="BV19:BW19" si="234">BV18/BV17</f>
        <v>0.44099378881987578</v>
      </c>
      <c r="BW19" s="51">
        <f t="shared" si="234"/>
        <v>0.38095238095238093</v>
      </c>
      <c r="BX19" s="51">
        <f t="shared" ref="BX19:BY19" si="235">BX18/BX17</f>
        <v>4.6223224351747465E-2</v>
      </c>
      <c r="BY19" s="51">
        <f t="shared" si="235"/>
        <v>0.14035087719298245</v>
      </c>
      <c r="CC19" s="1" t="s">
        <v>81</v>
      </c>
      <c r="DJ19" s="108"/>
      <c r="DQ19" s="51" t="e">
        <f t="shared" ref="DQ19:EI19" si="236">+DQ18/DQ17</f>
        <v>#REF!</v>
      </c>
      <c r="DR19" s="51" t="e">
        <f t="shared" si="236"/>
        <v>#REF!</v>
      </c>
      <c r="DS19" s="51" t="e">
        <f t="shared" si="236"/>
        <v>#REF!</v>
      </c>
      <c r="DT19" s="51" t="e">
        <f t="shared" si="236"/>
        <v>#REF!</v>
      </c>
      <c r="DU19" s="51">
        <f t="shared" si="236"/>
        <v>0.40703517587939697</v>
      </c>
      <c r="DV19" s="51">
        <f t="shared" si="236"/>
        <v>0.42857142857142855</v>
      </c>
      <c r="DW19" s="51">
        <f t="shared" si="236"/>
        <v>0.42857142857142855</v>
      </c>
      <c r="DX19" s="51">
        <f t="shared" si="236"/>
        <v>0.42857142857142855</v>
      </c>
      <c r="DY19" s="51">
        <f t="shared" si="236"/>
        <v>0.44329896907216493</v>
      </c>
      <c r="DZ19" s="51">
        <f t="shared" si="236"/>
        <v>0.44329896907216493</v>
      </c>
      <c r="EA19" s="51">
        <f t="shared" si="236"/>
        <v>0.44329896907216493</v>
      </c>
      <c r="EB19" s="51">
        <f t="shared" si="236"/>
        <v>0.37755102040816324</v>
      </c>
      <c r="EC19" s="51">
        <f t="shared" si="236"/>
        <v>0.36363636363636365</v>
      </c>
      <c r="ED19" s="51">
        <f>+ED18/ED17</f>
        <v>0.37113402061855671</v>
      </c>
      <c r="EE19" s="51">
        <f t="shared" si="236"/>
        <v>0.35714285714285715</v>
      </c>
      <c r="EF19" s="51">
        <f t="shared" si="236"/>
        <v>0.34343434343434343</v>
      </c>
      <c r="EG19" s="51">
        <f t="shared" si="236"/>
        <v>0.25471698113207547</v>
      </c>
      <c r="EH19" s="51">
        <f t="shared" si="236"/>
        <v>0.24299065420560748</v>
      </c>
      <c r="EI19" s="51">
        <f t="shared" si="236"/>
        <v>0.24299065420560748</v>
      </c>
      <c r="EJ19" s="51">
        <f t="shared" ref="EJ19:ET19" si="237">+EJ18/EJ17</f>
        <v>0.30392156862745096</v>
      </c>
      <c r="EK19" s="51">
        <f t="shared" si="237"/>
        <v>0.30392156862745096</v>
      </c>
      <c r="EL19" s="51">
        <f t="shared" si="237"/>
        <v>0.35294117647058826</v>
      </c>
      <c r="EM19" s="51">
        <f t="shared" si="237"/>
        <v>0.35294117647058826</v>
      </c>
      <c r="EN19" s="51">
        <f t="shared" si="237"/>
        <v>0.35294117647058826</v>
      </c>
      <c r="EO19" s="51">
        <f t="shared" si="237"/>
        <v>0.35294117647058826</v>
      </c>
      <c r="EP19" s="51">
        <f t="shared" si="237"/>
        <v>0.31428571428571428</v>
      </c>
      <c r="EQ19" s="51">
        <f t="shared" si="237"/>
        <v>0.28971962616822428</v>
      </c>
      <c r="ER19" s="51">
        <f t="shared" si="237"/>
        <v>0.31428571428571428</v>
      </c>
      <c r="ES19" s="51">
        <f t="shared" si="237"/>
        <v>0.31428571428571428</v>
      </c>
      <c r="ET19" s="51">
        <f t="shared" si="237"/>
        <v>0.35294117647058826</v>
      </c>
      <c r="EU19" s="51">
        <f t="shared" ref="EU19:EZ19" si="238">+EU18/EU17</f>
        <v>0.38</v>
      </c>
      <c r="EV19" s="51">
        <f t="shared" si="238"/>
        <v>0.40816326530612246</v>
      </c>
      <c r="EW19" s="51">
        <f t="shared" si="238"/>
        <v>0.4375</v>
      </c>
      <c r="EX19" s="51">
        <f t="shared" si="238"/>
        <v>0.51648351648351654</v>
      </c>
      <c r="EY19" s="51">
        <f t="shared" si="238"/>
        <v>0.48351648351648352</v>
      </c>
      <c r="EZ19" s="51">
        <f t="shared" si="238"/>
        <v>0.5168539325842697</v>
      </c>
      <c r="FA19" s="51">
        <f t="shared" ref="FA19:FF19" si="239">+FA18/FA17</f>
        <v>0.4606741573033708</v>
      </c>
      <c r="FB19" s="51">
        <f t="shared" si="239"/>
        <v>0.4606741573033708</v>
      </c>
      <c r="FC19" s="51">
        <f t="shared" si="239"/>
        <v>0.4606741573033708</v>
      </c>
      <c r="FD19" s="51">
        <f t="shared" si="239"/>
        <v>0.47392290249433106</v>
      </c>
      <c r="FE19" s="51">
        <f t="shared" si="239"/>
        <v>0.35869565217391303</v>
      </c>
      <c r="FF19" s="51">
        <f t="shared" si="239"/>
        <v>0.35869565217391303</v>
      </c>
      <c r="FG19" s="51">
        <f>+FG18/FG17</f>
        <v>0.32978723404255317</v>
      </c>
      <c r="FH19" s="51">
        <f>+FH18/FH17</f>
        <v>0.35869565217391303</v>
      </c>
      <c r="FI19" s="51">
        <f>+FI18/FI17</f>
        <v>0.37362637362637363</v>
      </c>
      <c r="FJ19" s="51">
        <f t="shared" ref="FJ19:FO19" si="240">+FJ18/FJ17</f>
        <v>0.37362637362637363</v>
      </c>
      <c r="FK19" s="51">
        <f t="shared" si="240"/>
        <v>0.37362637362637363</v>
      </c>
      <c r="FL19" s="51">
        <f t="shared" si="240"/>
        <v>0.37362637362637363</v>
      </c>
      <c r="FM19" s="51">
        <f t="shared" si="240"/>
        <v>0.34408602150537637</v>
      </c>
      <c r="FN19" s="51">
        <f t="shared" si="240"/>
        <v>0.32978723404255317</v>
      </c>
      <c r="FO19" s="51">
        <f t="shared" si="240"/>
        <v>0.32978723404255317</v>
      </c>
      <c r="FP19" s="51">
        <f t="shared" ref="FP19:FU19" si="241">+FP18/FP17</f>
        <v>0.32978723404255317</v>
      </c>
      <c r="FQ19" s="51">
        <f t="shared" si="241"/>
        <v>0.34408602150537637</v>
      </c>
      <c r="FR19" s="51">
        <f t="shared" si="241"/>
        <v>0.35869565217391303</v>
      </c>
      <c r="FS19" s="51">
        <f t="shared" si="241"/>
        <v>0.3888888888888889</v>
      </c>
      <c r="FT19" s="51">
        <f t="shared" si="241"/>
        <v>0.3888888888888889</v>
      </c>
      <c r="FU19" s="51">
        <f t="shared" si="241"/>
        <v>0.3888888888888889</v>
      </c>
      <c r="FV19" s="51">
        <f t="shared" ref="FV19:FW19" si="242">+FV18/FV17</f>
        <v>0.3888888888888889</v>
      </c>
      <c r="FW19" s="51">
        <f t="shared" si="242"/>
        <v>0.3888888888888889</v>
      </c>
      <c r="FX19" s="51">
        <f t="shared" ref="FX19:FY19" si="243">+FX18/FX17</f>
        <v>0.3888888888888889</v>
      </c>
      <c r="FY19" s="51">
        <f t="shared" si="243"/>
        <v>0.3888888888888889</v>
      </c>
      <c r="FZ19" s="51">
        <f t="shared" ref="FZ19:GA19" si="244">+FZ18/FZ17</f>
        <v>0.3888888888888889</v>
      </c>
      <c r="GA19" s="51">
        <f t="shared" si="244"/>
        <v>0.3888888888888889</v>
      </c>
      <c r="GB19" s="51">
        <f t="shared" ref="GB19:GC19" si="245">+GB18/GB17</f>
        <v>0.3888888888888889</v>
      </c>
      <c r="GC19" s="51">
        <f t="shared" si="245"/>
        <v>0.3888888888888889</v>
      </c>
      <c r="GD19" s="51">
        <f t="shared" ref="GD19:GE19" si="246">+GD18/GD17</f>
        <v>0.32978723404255317</v>
      </c>
      <c r="GE19" s="51">
        <f t="shared" si="246"/>
        <v>0.32978723404255317</v>
      </c>
      <c r="GF19" s="51">
        <f t="shared" ref="GF19:GG19" si="247">+GF18/GF17</f>
        <v>0.32978723404255317</v>
      </c>
      <c r="GG19" s="51">
        <f t="shared" si="247"/>
        <v>0.31578947368421051</v>
      </c>
      <c r="GH19" s="51">
        <f t="shared" ref="GH19:GJ19" si="248">+GH18/GH17</f>
        <v>0.32978723404255317</v>
      </c>
      <c r="GI19" s="51">
        <f t="shared" si="248"/>
        <v>0.32978723404255317</v>
      </c>
      <c r="GJ19" s="51">
        <f t="shared" si="248"/>
        <v>0.32978723404255317</v>
      </c>
      <c r="GK19" s="51">
        <f t="shared" ref="GK19:GL19" si="249">+GK18/GK17</f>
        <v>0.32978723404255317</v>
      </c>
      <c r="GL19" s="51">
        <f t="shared" si="249"/>
        <v>0.32978723404255317</v>
      </c>
      <c r="GM19" s="51">
        <f t="shared" ref="GM19:GN19" si="250">+GM18/GM17</f>
        <v>0.32978723404255317</v>
      </c>
      <c r="GN19" s="51">
        <f t="shared" si="250"/>
        <v>0.32978723404255317</v>
      </c>
      <c r="GO19" s="51">
        <f t="shared" ref="GO19:GQ19" si="251">+GO18/GO17</f>
        <v>0.32978723404255317</v>
      </c>
      <c r="GP19" s="51">
        <f t="shared" si="251"/>
        <v>0.32978723404255317</v>
      </c>
      <c r="GQ19" s="51">
        <f t="shared" si="251"/>
        <v>0.32978723404255317</v>
      </c>
      <c r="GR19" s="51">
        <f t="shared" ref="GR19:GS19" si="252">+GR18/GR17</f>
        <v>0.38297872340425532</v>
      </c>
      <c r="GS19" s="51">
        <f t="shared" si="252"/>
        <v>0.38297872340425532</v>
      </c>
      <c r="GT19" s="51">
        <f t="shared" ref="GT19:GU19" si="253">+GT18/GT17</f>
        <v>0.38297872340425532</v>
      </c>
      <c r="GU19" s="51">
        <f t="shared" si="253"/>
        <v>0.38297872340425532</v>
      </c>
      <c r="GV19" s="51">
        <f t="shared" ref="GV19:GW19" si="254">+GV18/GV17</f>
        <v>0.36842105263157893</v>
      </c>
      <c r="GW19" s="51">
        <f t="shared" si="254"/>
        <v>0.36842105263157893</v>
      </c>
      <c r="GX19" s="51">
        <f t="shared" ref="GX19:GY19" si="255">+GX18/GX17</f>
        <v>0.36842105263157893</v>
      </c>
      <c r="GY19" s="51">
        <f t="shared" si="255"/>
        <v>0.36842105263157893</v>
      </c>
      <c r="GZ19" s="51">
        <f t="shared" ref="GZ19:HA19" si="256">+GZ18/GZ17</f>
        <v>0.36842105263157893</v>
      </c>
      <c r="HA19" s="51">
        <f t="shared" si="256"/>
        <v>0.36842105263157893</v>
      </c>
      <c r="HB19" s="51">
        <f t="shared" ref="HB19:HC19" si="257">+HB18/HB17</f>
        <v>0.36842105263157893</v>
      </c>
      <c r="HC19" s="51">
        <f t="shared" si="257"/>
        <v>0.36842105263157893</v>
      </c>
      <c r="HD19" s="51">
        <f t="shared" ref="HD19:HE19" si="258">+HD18/HD17</f>
        <v>0.38297872340425532</v>
      </c>
      <c r="HE19" s="51">
        <f t="shared" si="258"/>
        <v>0.38297872340425532</v>
      </c>
      <c r="HF19" s="51">
        <f t="shared" ref="HF19:HG19" si="259">+HF18/HF17</f>
        <v>0.38297872340425532</v>
      </c>
      <c r="HG19" s="51">
        <f t="shared" si="259"/>
        <v>0.38297872340425532</v>
      </c>
      <c r="HH19" s="51">
        <f t="shared" ref="HH19:HI19" si="260">+HH18/HH17</f>
        <v>0.39784946236559138</v>
      </c>
      <c r="HI19" s="51">
        <f t="shared" si="260"/>
        <v>0.44444444444444442</v>
      </c>
      <c r="HJ19" s="51">
        <f t="shared" ref="HJ19:HK19" si="261">+HJ18/HJ17</f>
        <v>0.45555555555555555</v>
      </c>
      <c r="HK19" s="51">
        <f t="shared" si="261"/>
        <v>0.47191011235955055</v>
      </c>
      <c r="HL19" s="51">
        <f t="shared" ref="HL19:HM19" si="262">+HL18/HL17</f>
        <v>0.50574712643678166</v>
      </c>
      <c r="HM19" s="51">
        <f t="shared" si="262"/>
        <v>0.52325581395348841</v>
      </c>
      <c r="HN19" s="51">
        <f t="shared" ref="HN19:HO19" si="263">+HN18/HN17</f>
        <v>0.54069767441860461</v>
      </c>
      <c r="HO19" s="51">
        <f t="shared" si="263"/>
        <v>0.54069767441860461</v>
      </c>
      <c r="HP19" s="51">
        <f t="shared" ref="HP19:HQ19" si="264">+HP18/HP17</f>
        <v>0.52298850574712641</v>
      </c>
      <c r="HQ19" s="51">
        <f t="shared" si="264"/>
        <v>0.54069767441860461</v>
      </c>
      <c r="HR19" s="51">
        <f t="shared" ref="HR19:HV19" si="265">+HR18/HR17</f>
        <v>0.54069767441860461</v>
      </c>
      <c r="HS19" s="51">
        <f t="shared" si="265"/>
        <v>0.54069767441860461</v>
      </c>
      <c r="HT19" s="51">
        <f t="shared" si="265"/>
        <v>0.54069767441860461</v>
      </c>
      <c r="HU19" s="51">
        <f t="shared" si="265"/>
        <v>0.57738095238095233</v>
      </c>
      <c r="HV19" s="51">
        <f t="shared" si="265"/>
        <v>0.57738095238095233</v>
      </c>
      <c r="HW19" s="51">
        <f t="shared" ref="HW19:HZ19" si="266">+HW18/HW17</f>
        <v>0.5178571428571429</v>
      </c>
      <c r="HX19" s="51">
        <f t="shared" si="266"/>
        <v>0.53614457831325302</v>
      </c>
      <c r="HY19" s="51">
        <f t="shared" si="266"/>
        <v>0.53614457831325302</v>
      </c>
      <c r="HZ19" s="51">
        <f t="shared" si="266"/>
        <v>0.55487804878048785</v>
      </c>
      <c r="IA19" s="51">
        <f t="shared" ref="IA19:IB19" si="267">+IA18/IA17</f>
        <v>0.5</v>
      </c>
      <c r="IB19" s="51">
        <f t="shared" si="267"/>
        <v>0.5</v>
      </c>
      <c r="IC19" s="51">
        <f t="shared" ref="IC19:ID19" si="268">+IC18/IC17</f>
        <v>0.5</v>
      </c>
      <c r="ID19" s="51">
        <f t="shared" si="268"/>
        <v>0.44705882352941179</v>
      </c>
      <c r="IE19" s="51">
        <f t="shared" ref="IE19:IG19" si="269">+IE18/IE17</f>
        <v>0.4642857142857143</v>
      </c>
      <c r="IF19" s="51">
        <f t="shared" si="269"/>
        <v>0.4642857142857143</v>
      </c>
      <c r="IG19" s="51">
        <f t="shared" si="269"/>
        <v>0.4642857142857143</v>
      </c>
      <c r="IH19" s="51">
        <f t="shared" ref="IH19:II19" si="270">+IH18/IH17</f>
        <v>0.4642857142857143</v>
      </c>
      <c r="II19" s="51">
        <f t="shared" si="270"/>
        <v>0.4642857142857143</v>
      </c>
      <c r="IJ19" s="51">
        <f t="shared" ref="IJ19:IL19" si="271">+IJ18/IJ17</f>
        <v>0.48192771084337349</v>
      </c>
      <c r="IK19" s="51">
        <f t="shared" si="271"/>
        <v>0.51851851851851849</v>
      </c>
      <c r="IL19" s="51">
        <f t="shared" si="271"/>
        <v>0.51851851851851849</v>
      </c>
      <c r="IM19" s="51">
        <f t="shared" ref="IM19:IP19" si="272">+IM18/IM17</f>
        <v>0.5625</v>
      </c>
      <c r="IN19" s="51">
        <f t="shared" si="272"/>
        <v>0.66666666666666663</v>
      </c>
      <c r="IO19" s="51">
        <f t="shared" si="272"/>
        <v>0.66666666666666663</v>
      </c>
      <c r="IP19" s="51">
        <f t="shared" si="272"/>
        <v>0.64473684210526316</v>
      </c>
      <c r="IQ19" s="51">
        <f t="shared" ref="IQ19:IU19" si="273">+IQ18/IQ17</f>
        <v>0.64473684210526316</v>
      </c>
      <c r="IR19" s="51">
        <f t="shared" si="273"/>
        <v>0.64473684210526316</v>
      </c>
      <c r="IS19" s="51">
        <f t="shared" si="273"/>
        <v>0.5625</v>
      </c>
      <c r="IT19" s="51">
        <f t="shared" si="273"/>
        <v>0.5625</v>
      </c>
      <c r="IU19" s="51">
        <f t="shared" si="273"/>
        <v>0.58227848101265822</v>
      </c>
      <c r="IV19" s="51">
        <f t="shared" ref="IV19:IY19" si="274">+IV18/IV17</f>
        <v>0.528854314779868</v>
      </c>
      <c r="IW19" s="51">
        <f t="shared" si="274"/>
        <v>0.5509222949550352</v>
      </c>
      <c r="IX19" s="51">
        <f t="shared" si="274"/>
        <v>0.48763349509330756</v>
      </c>
      <c r="IY19" s="51">
        <f t="shared" si="274"/>
        <v>0.48665006497581309</v>
      </c>
      <c r="IZ19" s="51">
        <f t="shared" ref="IZ19:JD19" si="275">+IZ18/IZ17</f>
        <v>0.4820596538061625</v>
      </c>
      <c r="JA19" s="51">
        <f t="shared" si="275"/>
        <v>0.49794285074165673</v>
      </c>
      <c r="JB19" s="51">
        <f t="shared" si="275"/>
        <v>0.53935474341936707</v>
      </c>
      <c r="JC19" s="51">
        <f t="shared" si="275"/>
        <v>0.54502299475056781</v>
      </c>
      <c r="JD19" s="51">
        <f t="shared" si="275"/>
        <v>0.54038904405337718</v>
      </c>
      <c r="JE19" s="51">
        <f t="shared" ref="JE19:JH19" si="276">+JE18/JE17</f>
        <v>0.50559176905503767</v>
      </c>
      <c r="JF19" s="51">
        <f t="shared" si="276"/>
        <v>0.50339414840492525</v>
      </c>
      <c r="JG19" s="51">
        <f t="shared" si="276"/>
        <v>0.54430379746835444</v>
      </c>
      <c r="JH19" s="51">
        <f t="shared" si="276"/>
        <v>0.52500000000000002</v>
      </c>
      <c r="JI19" s="51">
        <f t="shared" ref="JI19:JL19" si="277">+JI18/JI17</f>
        <v>0.54430379746835444</v>
      </c>
      <c r="JJ19" s="51">
        <f t="shared" si="277"/>
        <v>0.5641025641025641</v>
      </c>
      <c r="JK19" s="51">
        <f t="shared" si="277"/>
        <v>0.5641025641025641</v>
      </c>
      <c r="JL19" s="51">
        <f t="shared" si="277"/>
        <v>0.5641025641025641</v>
      </c>
      <c r="JM19" s="51">
        <f t="shared" ref="JM19:JQ19" si="278">+JM18/JM17</f>
        <v>0.55128205128205132</v>
      </c>
      <c r="JN19" s="51">
        <f t="shared" si="278"/>
        <v>0.55128205128205132</v>
      </c>
      <c r="JO19" s="51">
        <f t="shared" si="278"/>
        <v>0.5714285714285714</v>
      </c>
      <c r="JP19" s="51">
        <f t="shared" si="278"/>
        <v>0.59210526315789469</v>
      </c>
      <c r="JQ19" s="51">
        <f t="shared" si="278"/>
        <v>0.5714285714285714</v>
      </c>
      <c r="JR19" s="51">
        <f t="shared" ref="JR19:JU19" si="279">+JR18/JR17</f>
        <v>0.55844155844155841</v>
      </c>
      <c r="JS19" s="51">
        <f t="shared" si="279"/>
        <v>0.55844155844155841</v>
      </c>
      <c r="JT19" s="51">
        <f t="shared" si="279"/>
        <v>0.55844155844155841</v>
      </c>
      <c r="JU19" s="51">
        <f t="shared" si="279"/>
        <v>0.55844155844155841</v>
      </c>
      <c r="JV19" s="51">
        <f t="shared" ref="JV19:JY19" si="280">+JV18/JV17</f>
        <v>0.55844155844155841</v>
      </c>
      <c r="JW19" s="51">
        <f t="shared" si="280"/>
        <v>0.55844155844155841</v>
      </c>
      <c r="JX19" s="51">
        <f t="shared" si="280"/>
        <v>0.55844155844155841</v>
      </c>
      <c r="JY19" s="51">
        <f t="shared" si="280"/>
        <v>0.53846153846153844</v>
      </c>
      <c r="JZ19" s="51">
        <f t="shared" ref="JZ19:KD19" si="281">+JZ18/JZ17</f>
        <v>0.45911949685534592</v>
      </c>
      <c r="KA19" s="51">
        <f t="shared" si="281"/>
        <v>0.45911949685534592</v>
      </c>
      <c r="KB19" s="51">
        <f t="shared" si="281"/>
        <v>0.45911949685534592</v>
      </c>
      <c r="KC19" s="51">
        <f t="shared" si="281"/>
        <v>0.41463414634146339</v>
      </c>
      <c r="KD19" s="51">
        <f t="shared" si="281"/>
        <v>0.41463414634146339</v>
      </c>
      <c r="KE19" s="51">
        <f t="shared" ref="KE19:KH19" si="282">+KE18/KE17</f>
        <v>0.38095238095238093</v>
      </c>
      <c r="KF19" s="51">
        <f t="shared" si="282"/>
        <v>0.38095238095238093</v>
      </c>
      <c r="KG19" s="51">
        <f t="shared" si="282"/>
        <v>0.38095238095238093</v>
      </c>
      <c r="KH19" s="51">
        <f t="shared" si="282"/>
        <v>0.38095238095238093</v>
      </c>
      <c r="KI19" s="51">
        <f t="shared" ref="KI19:KL19" si="283">+KI18/KI17</f>
        <v>0.24064171122994651</v>
      </c>
      <c r="KJ19" s="51">
        <f t="shared" si="283"/>
        <v>7.407407407407407E-2</v>
      </c>
      <c r="KK19" s="51">
        <f t="shared" si="283"/>
        <v>-5.46875E-2</v>
      </c>
      <c r="KL19" s="51">
        <f t="shared" si="283"/>
        <v>0.12280701754385964</v>
      </c>
    </row>
    <row r="20" spans="6:298" ht="15.5">
      <c r="F20" s="63"/>
      <c r="H20" s="1" t="s">
        <v>87</v>
      </c>
      <c r="U20" s="41"/>
      <c r="X20" s="41">
        <v>1225</v>
      </c>
      <c r="Y20" s="41">
        <v>1225</v>
      </c>
      <c r="Z20" s="41">
        <v>1225</v>
      </c>
      <c r="AA20" s="41">
        <v>1225</v>
      </c>
      <c r="AB20" s="41">
        <v>1225</v>
      </c>
      <c r="AC20" s="41">
        <v>1225</v>
      </c>
      <c r="AD20" s="41">
        <v>1225</v>
      </c>
      <c r="AE20" s="41">
        <v>1225</v>
      </c>
      <c r="AF20" s="41">
        <v>1225</v>
      </c>
      <c r="AG20" s="41">
        <v>1225</v>
      </c>
      <c r="AH20" s="41">
        <v>1225</v>
      </c>
      <c r="AI20" s="41">
        <v>1225</v>
      </c>
      <c r="AJ20" s="41">
        <v>1225</v>
      </c>
      <c r="AK20" s="41">
        <v>1225</v>
      </c>
      <c r="AL20" s="41">
        <v>1225</v>
      </c>
      <c r="AM20" s="41">
        <v>1225</v>
      </c>
      <c r="AN20" s="41">
        <v>1225</v>
      </c>
      <c r="AO20" s="41">
        <v>1225</v>
      </c>
      <c r="AP20" s="41">
        <v>1225</v>
      </c>
      <c r="AQ20" s="41">
        <v>1185</v>
      </c>
      <c r="AR20" s="41">
        <v>1133</v>
      </c>
      <c r="AS20" s="41">
        <v>1133</v>
      </c>
      <c r="AT20" s="41">
        <v>1151</v>
      </c>
      <c r="AU20" s="41">
        <v>1175</v>
      </c>
      <c r="AV20" s="41">
        <v>1200</v>
      </c>
      <c r="AW20" s="41">
        <v>1143</v>
      </c>
      <c r="AX20" s="41">
        <v>1162</v>
      </c>
      <c r="AY20" s="41">
        <v>1175</v>
      </c>
      <c r="AZ20" s="41">
        <v>1200</v>
      </c>
      <c r="BA20" s="3">
        <v>1230</v>
      </c>
      <c r="BB20" s="3">
        <v>1260</v>
      </c>
      <c r="BC20" s="3">
        <v>1250</v>
      </c>
      <c r="BD20" s="3">
        <v>1174</v>
      </c>
      <c r="BE20" s="3">
        <v>1131</v>
      </c>
      <c r="BF20" s="3">
        <v>1154.4175324983562</v>
      </c>
      <c r="BG20" s="3">
        <v>1161.0768651093263</v>
      </c>
      <c r="BH20" s="3">
        <v>1179.9225619184629</v>
      </c>
      <c r="BI20" s="3">
        <v>1183.4455288794234</v>
      </c>
      <c r="BJ20" s="3">
        <v>1181</v>
      </c>
      <c r="BK20" s="3">
        <v>1185.2425317608468</v>
      </c>
      <c r="BL20" s="3">
        <v>1190.7839269244525</v>
      </c>
      <c r="BM20" s="3">
        <v>1188.8989547033088</v>
      </c>
      <c r="BN20" s="3">
        <v>1208.4563999076058</v>
      </c>
      <c r="BO20" s="3">
        <v>1167.8121893749728</v>
      </c>
      <c r="BP20" s="3">
        <v>1185.3194123375963</v>
      </c>
      <c r="BQ20" s="3">
        <v>1163.1486661843744</v>
      </c>
      <c r="BR20" s="3">
        <v>1186.2627781335511</v>
      </c>
      <c r="BS20" s="3">
        <v>1128</v>
      </c>
      <c r="BT20" s="3">
        <v>1070.511623054196</v>
      </c>
      <c r="BU20" s="3">
        <v>1092.8990526695691</v>
      </c>
      <c r="BV20" s="3">
        <v>1096.8836793746136</v>
      </c>
      <c r="BW20" s="3">
        <v>1056.1519929547876</v>
      </c>
      <c r="BX20" s="3">
        <v>1057.7957262938128</v>
      </c>
      <c r="BY20" s="3"/>
      <c r="BZ20" s="177"/>
      <c r="CC20" s="1" t="s">
        <v>84</v>
      </c>
      <c r="DQ20" s="41">
        <f>DQ14</f>
        <v>1100</v>
      </c>
      <c r="DR20" s="41">
        <f t="shared" ref="DR20:EI20" si="284">DR14</f>
        <v>1100</v>
      </c>
      <c r="DS20" s="41">
        <f t="shared" si="284"/>
        <v>1070</v>
      </c>
      <c r="DT20" s="41">
        <f t="shared" si="284"/>
        <v>1040</v>
      </c>
      <c r="DU20" s="41">
        <f t="shared" si="284"/>
        <v>995</v>
      </c>
      <c r="DV20" s="41">
        <f t="shared" si="284"/>
        <v>980</v>
      </c>
      <c r="DW20" s="41">
        <f t="shared" si="284"/>
        <v>980</v>
      </c>
      <c r="DX20" s="41">
        <f t="shared" si="284"/>
        <v>980</v>
      </c>
      <c r="DY20" s="41">
        <f t="shared" si="284"/>
        <v>970</v>
      </c>
      <c r="DZ20" s="41">
        <f t="shared" si="284"/>
        <v>970</v>
      </c>
      <c r="EA20" s="41">
        <f t="shared" si="284"/>
        <v>970</v>
      </c>
      <c r="EB20" s="41">
        <f t="shared" si="284"/>
        <v>980</v>
      </c>
      <c r="EC20" s="41">
        <f t="shared" si="284"/>
        <v>990</v>
      </c>
      <c r="ED20" s="41">
        <f t="shared" si="284"/>
        <v>970</v>
      </c>
      <c r="EE20" s="41">
        <f t="shared" si="284"/>
        <v>980</v>
      </c>
      <c r="EF20" s="41">
        <f t="shared" si="284"/>
        <v>990</v>
      </c>
      <c r="EG20" s="41">
        <f t="shared" si="284"/>
        <v>1060</v>
      </c>
      <c r="EH20" s="41">
        <f t="shared" si="284"/>
        <v>1070</v>
      </c>
      <c r="EI20" s="41">
        <f t="shared" si="284"/>
        <v>1070</v>
      </c>
      <c r="EJ20" s="41">
        <f>EJ14</f>
        <v>1020</v>
      </c>
      <c r="EK20" s="41">
        <f>EK14</f>
        <v>1020</v>
      </c>
      <c r="EL20" s="41">
        <f>EL14</f>
        <v>1020</v>
      </c>
      <c r="EM20" s="41">
        <f>EM14</f>
        <v>1020</v>
      </c>
      <c r="EN20" s="3">
        <f t="shared" ref="EN20:EW20" si="285">EN14</f>
        <v>1020</v>
      </c>
      <c r="EO20" s="3">
        <f t="shared" si="285"/>
        <v>1020</v>
      </c>
      <c r="EP20" s="3">
        <f t="shared" si="285"/>
        <v>1050</v>
      </c>
      <c r="EQ20" s="3">
        <f t="shared" si="285"/>
        <v>1070</v>
      </c>
      <c r="ER20" s="3">
        <f t="shared" si="285"/>
        <v>1050</v>
      </c>
      <c r="ES20" s="3">
        <f t="shared" si="285"/>
        <v>1050</v>
      </c>
      <c r="ET20" s="3">
        <f t="shared" si="285"/>
        <v>1020</v>
      </c>
      <c r="EU20" s="3">
        <f t="shared" si="285"/>
        <v>1000</v>
      </c>
      <c r="EV20" s="3">
        <f t="shared" si="285"/>
        <v>980</v>
      </c>
      <c r="EW20" s="3">
        <f t="shared" si="285"/>
        <v>960</v>
      </c>
      <c r="EX20" s="3">
        <f t="shared" ref="EX20:FE20" si="286">EX14</f>
        <v>910</v>
      </c>
      <c r="EY20" s="3">
        <f t="shared" si="286"/>
        <v>910</v>
      </c>
      <c r="EZ20" s="3">
        <f t="shared" si="286"/>
        <v>890</v>
      </c>
      <c r="FA20" s="3">
        <f t="shared" si="286"/>
        <v>890</v>
      </c>
      <c r="FB20" s="3">
        <f t="shared" si="286"/>
        <v>890</v>
      </c>
      <c r="FC20" s="3">
        <f t="shared" si="286"/>
        <v>890</v>
      </c>
      <c r="FD20" s="3">
        <f t="shared" si="286"/>
        <v>882</v>
      </c>
      <c r="FE20" s="3">
        <f t="shared" si="286"/>
        <v>920</v>
      </c>
      <c r="FF20" s="3">
        <f>FF14</f>
        <v>920</v>
      </c>
      <c r="FG20" s="3">
        <f>FG14</f>
        <v>940</v>
      </c>
      <c r="FH20" s="3">
        <f>FH14</f>
        <v>920</v>
      </c>
      <c r="FI20" s="3">
        <f>FI14</f>
        <v>910</v>
      </c>
      <c r="FJ20" s="3">
        <f t="shared" ref="FJ20:FO20" si="287">FJ14</f>
        <v>910</v>
      </c>
      <c r="FK20" s="3">
        <f t="shared" si="287"/>
        <v>910</v>
      </c>
      <c r="FL20" s="3">
        <f t="shared" si="287"/>
        <v>910</v>
      </c>
      <c r="FM20" s="3">
        <f t="shared" si="287"/>
        <v>930</v>
      </c>
      <c r="FN20" s="3">
        <f t="shared" si="287"/>
        <v>940</v>
      </c>
      <c r="FO20" s="3">
        <f t="shared" si="287"/>
        <v>940</v>
      </c>
      <c r="FP20" s="3">
        <f t="shared" ref="FP20:FU20" si="288">FP14</f>
        <v>940</v>
      </c>
      <c r="FQ20" s="3">
        <f t="shared" si="288"/>
        <v>930</v>
      </c>
      <c r="FR20" s="3">
        <f t="shared" si="288"/>
        <v>920</v>
      </c>
      <c r="FS20" s="3">
        <f t="shared" si="288"/>
        <v>900</v>
      </c>
      <c r="FT20" s="3">
        <f t="shared" si="288"/>
        <v>900</v>
      </c>
      <c r="FU20" s="3">
        <f t="shared" si="288"/>
        <v>900</v>
      </c>
      <c r="FV20" s="3">
        <f t="shared" ref="FV20:FW20" si="289">FV14</f>
        <v>900</v>
      </c>
      <c r="FW20" s="3">
        <f t="shared" si="289"/>
        <v>900</v>
      </c>
      <c r="FX20" s="3">
        <f t="shared" ref="FX20:FY20" si="290">FX14</f>
        <v>900</v>
      </c>
      <c r="FY20" s="3">
        <f t="shared" si="290"/>
        <v>900</v>
      </c>
      <c r="FZ20" s="3">
        <f t="shared" ref="FZ20:GA20" si="291">FZ14</f>
        <v>900</v>
      </c>
      <c r="GA20" s="3">
        <f t="shared" si="291"/>
        <v>900</v>
      </c>
      <c r="GB20" s="3">
        <f t="shared" ref="GB20:GC20" si="292">GB14</f>
        <v>900</v>
      </c>
      <c r="GC20" s="3">
        <f t="shared" si="292"/>
        <v>900</v>
      </c>
      <c r="GD20" s="3">
        <f t="shared" ref="GD20:GE20" si="293">GD14</f>
        <v>940</v>
      </c>
      <c r="GE20" s="3">
        <f t="shared" si="293"/>
        <v>940</v>
      </c>
      <c r="GF20" s="3">
        <f t="shared" ref="GF20:GG20" si="294">GF14</f>
        <v>940</v>
      </c>
      <c r="GG20" s="3">
        <f t="shared" si="294"/>
        <v>950</v>
      </c>
      <c r="GH20" s="3">
        <f t="shared" ref="GH20:GJ20" si="295">GH14</f>
        <v>940</v>
      </c>
      <c r="GI20" s="3">
        <f t="shared" si="295"/>
        <v>940</v>
      </c>
      <c r="GJ20" s="3">
        <f t="shared" si="295"/>
        <v>940</v>
      </c>
      <c r="GK20" s="3">
        <f t="shared" ref="GK20:GL20" si="296">GK14</f>
        <v>940</v>
      </c>
      <c r="GL20" s="3">
        <f t="shared" si="296"/>
        <v>940</v>
      </c>
      <c r="GM20" s="3">
        <f t="shared" ref="GM20:GN20" si="297">GM14</f>
        <v>940</v>
      </c>
      <c r="GN20" s="3">
        <f t="shared" si="297"/>
        <v>940</v>
      </c>
      <c r="GO20" s="3">
        <f t="shared" ref="GO20:GQ20" si="298">GO14</f>
        <v>940</v>
      </c>
      <c r="GP20" s="3">
        <f t="shared" si="298"/>
        <v>940</v>
      </c>
      <c r="GQ20" s="3">
        <f t="shared" si="298"/>
        <v>940</v>
      </c>
      <c r="GR20" s="3">
        <f t="shared" ref="GR20:GS20" si="299">GR14</f>
        <v>940</v>
      </c>
      <c r="GS20" s="3">
        <f t="shared" si="299"/>
        <v>940</v>
      </c>
      <c r="GT20" s="3">
        <f t="shared" ref="GT20:GU20" si="300">GT14</f>
        <v>940</v>
      </c>
      <c r="GU20" s="3">
        <f t="shared" si="300"/>
        <v>940</v>
      </c>
      <c r="GV20" s="3">
        <f t="shared" ref="GV20:GW20" si="301">GV14</f>
        <v>950</v>
      </c>
      <c r="GW20" s="3">
        <f t="shared" si="301"/>
        <v>950</v>
      </c>
      <c r="GX20" s="3">
        <f t="shared" ref="GX20:GY20" si="302">GX14</f>
        <v>950</v>
      </c>
      <c r="GY20" s="3">
        <f t="shared" si="302"/>
        <v>950</v>
      </c>
      <c r="GZ20" s="3">
        <f t="shared" ref="GZ20:HA20" si="303">GZ14</f>
        <v>950</v>
      </c>
      <c r="HA20" s="3">
        <f t="shared" si="303"/>
        <v>950</v>
      </c>
      <c r="HB20" s="3">
        <f t="shared" ref="HB20:HC20" si="304">HB14</f>
        <v>950</v>
      </c>
      <c r="HC20" s="3">
        <f t="shared" si="304"/>
        <v>950</v>
      </c>
      <c r="HD20" s="3">
        <f t="shared" ref="HD20:HE20" si="305">HD14</f>
        <v>940</v>
      </c>
      <c r="HE20" s="3">
        <f t="shared" si="305"/>
        <v>940</v>
      </c>
      <c r="HF20" s="3">
        <f t="shared" ref="HF20:HG20" si="306">HF14</f>
        <v>940</v>
      </c>
      <c r="HG20" s="3">
        <f t="shared" si="306"/>
        <v>940</v>
      </c>
      <c r="HH20" s="3">
        <f t="shared" ref="HH20:HI20" si="307">HH14</f>
        <v>930</v>
      </c>
      <c r="HI20" s="3">
        <f t="shared" si="307"/>
        <v>900</v>
      </c>
      <c r="HJ20" s="3">
        <f t="shared" ref="HJ20:HK20" si="308">HJ14</f>
        <v>900</v>
      </c>
      <c r="HK20" s="3">
        <f t="shared" si="308"/>
        <v>890</v>
      </c>
      <c r="HL20" s="3">
        <f t="shared" ref="HL20:HM20" si="309">HL14</f>
        <v>870</v>
      </c>
      <c r="HM20" s="3">
        <f t="shared" si="309"/>
        <v>860</v>
      </c>
      <c r="HN20" s="3">
        <f t="shared" ref="HN20:HO20" si="310">HN14</f>
        <v>860</v>
      </c>
      <c r="HO20" s="3">
        <f t="shared" si="310"/>
        <v>860</v>
      </c>
      <c r="HP20" s="3">
        <f t="shared" ref="HP20:HQ20" si="311">HP14</f>
        <v>870</v>
      </c>
      <c r="HQ20" s="3">
        <f t="shared" si="311"/>
        <v>860</v>
      </c>
      <c r="HR20" s="3">
        <f t="shared" ref="HR20:HV20" si="312">HR14</f>
        <v>860</v>
      </c>
      <c r="HS20" s="3">
        <f t="shared" si="312"/>
        <v>860</v>
      </c>
      <c r="HT20" s="3">
        <f t="shared" si="312"/>
        <v>860</v>
      </c>
      <c r="HU20" s="3">
        <f t="shared" si="312"/>
        <v>840</v>
      </c>
      <c r="HV20" s="3">
        <f t="shared" si="312"/>
        <v>840</v>
      </c>
      <c r="HW20" s="3">
        <f t="shared" ref="HW20:HZ20" si="313">HW14</f>
        <v>840</v>
      </c>
      <c r="HX20" s="3">
        <f t="shared" si="313"/>
        <v>830</v>
      </c>
      <c r="HY20" s="3">
        <f t="shared" si="313"/>
        <v>830</v>
      </c>
      <c r="HZ20" s="3">
        <f t="shared" si="313"/>
        <v>820</v>
      </c>
      <c r="IA20" s="3">
        <f t="shared" ref="IA20:IB20" si="314">IA14</f>
        <v>820</v>
      </c>
      <c r="IB20" s="3">
        <f t="shared" si="314"/>
        <v>820</v>
      </c>
      <c r="IC20" s="3">
        <f t="shared" ref="IC20:ID20" si="315">IC14</f>
        <v>820</v>
      </c>
      <c r="ID20" s="3">
        <f t="shared" si="315"/>
        <v>850</v>
      </c>
      <c r="IE20" s="3">
        <f t="shared" ref="IE20:IG20" si="316">IE14</f>
        <v>840</v>
      </c>
      <c r="IF20" s="3">
        <f t="shared" si="316"/>
        <v>840</v>
      </c>
      <c r="IG20" s="3">
        <f t="shared" si="316"/>
        <v>840</v>
      </c>
      <c r="IH20" s="3">
        <f t="shared" ref="IH20:II20" si="317">IH14</f>
        <v>840</v>
      </c>
      <c r="II20" s="3">
        <f t="shared" si="317"/>
        <v>840</v>
      </c>
      <c r="IJ20" s="3">
        <f t="shared" ref="IJ20:IL20" si="318">IJ14</f>
        <v>830</v>
      </c>
      <c r="IK20" s="3">
        <f t="shared" si="318"/>
        <v>810</v>
      </c>
      <c r="IL20" s="3">
        <f t="shared" si="318"/>
        <v>810</v>
      </c>
      <c r="IM20" s="3">
        <f t="shared" ref="IM20:IP20" si="319">IM14</f>
        <v>800</v>
      </c>
      <c r="IN20" s="3">
        <f t="shared" si="319"/>
        <v>750</v>
      </c>
      <c r="IO20" s="3">
        <f t="shared" si="319"/>
        <v>750</v>
      </c>
      <c r="IP20" s="3">
        <f t="shared" si="319"/>
        <v>760</v>
      </c>
      <c r="IQ20" s="3">
        <f t="shared" ref="IQ20:IU20" si="320">IQ14</f>
        <v>760</v>
      </c>
      <c r="IR20" s="3">
        <f t="shared" si="320"/>
        <v>760</v>
      </c>
      <c r="IS20" s="3">
        <f t="shared" si="320"/>
        <v>800</v>
      </c>
      <c r="IT20" s="3">
        <f t="shared" si="320"/>
        <v>800</v>
      </c>
      <c r="IU20" s="3">
        <f t="shared" si="320"/>
        <v>790</v>
      </c>
      <c r="IV20" s="3">
        <f t="shared" ref="IV20:IY20" si="321">IV14</f>
        <v>800</v>
      </c>
      <c r="IW20" s="3">
        <f t="shared" si="321"/>
        <v>790</v>
      </c>
      <c r="IX20" s="3">
        <f t="shared" si="321"/>
        <v>820</v>
      </c>
      <c r="IY20" s="3">
        <f t="shared" si="321"/>
        <v>820</v>
      </c>
      <c r="IZ20" s="3">
        <f t="shared" ref="IZ20:JD20" si="322">IZ14</f>
        <v>820</v>
      </c>
      <c r="JA20" s="3">
        <f t="shared" si="322"/>
        <v>820</v>
      </c>
      <c r="JB20" s="3">
        <f t="shared" si="322"/>
        <v>790</v>
      </c>
      <c r="JC20" s="3">
        <f t="shared" si="322"/>
        <v>790</v>
      </c>
      <c r="JD20" s="3">
        <f t="shared" si="322"/>
        <v>790</v>
      </c>
      <c r="JE20" s="3">
        <f t="shared" ref="JE20:JH20" si="323">JE14</f>
        <v>800</v>
      </c>
      <c r="JF20" s="3">
        <f t="shared" si="323"/>
        <v>790</v>
      </c>
      <c r="JG20" s="3">
        <f t="shared" si="323"/>
        <v>790</v>
      </c>
      <c r="JH20" s="3">
        <f t="shared" si="323"/>
        <v>800</v>
      </c>
      <c r="JI20" s="3">
        <f t="shared" ref="JI20:JL20" si="324">JI14</f>
        <v>790</v>
      </c>
      <c r="JJ20" s="3">
        <f t="shared" si="324"/>
        <v>780</v>
      </c>
      <c r="JK20" s="3">
        <f t="shared" si="324"/>
        <v>780</v>
      </c>
      <c r="JL20" s="3">
        <f t="shared" si="324"/>
        <v>780</v>
      </c>
      <c r="JM20" s="3">
        <f t="shared" ref="JM20:JQ20" si="325">JM14</f>
        <v>780</v>
      </c>
      <c r="JN20" s="3">
        <f t="shared" si="325"/>
        <v>780</v>
      </c>
      <c r="JO20" s="3">
        <f t="shared" si="325"/>
        <v>770</v>
      </c>
      <c r="JP20" s="3">
        <f t="shared" si="325"/>
        <v>760</v>
      </c>
      <c r="JQ20" s="3">
        <f t="shared" si="325"/>
        <v>770</v>
      </c>
      <c r="JR20" s="3">
        <f t="shared" ref="JR20:JU20" si="326">JR14</f>
        <v>770</v>
      </c>
      <c r="JS20" s="3">
        <f t="shared" si="326"/>
        <v>770</v>
      </c>
      <c r="JT20" s="3">
        <f t="shared" si="326"/>
        <v>770</v>
      </c>
      <c r="JU20" s="3">
        <f t="shared" si="326"/>
        <v>770</v>
      </c>
      <c r="JV20" s="3">
        <f t="shared" ref="JV20:JY20" si="327">JV14</f>
        <v>770</v>
      </c>
      <c r="JW20" s="3">
        <f t="shared" si="327"/>
        <v>770</v>
      </c>
      <c r="JX20" s="3">
        <f t="shared" si="327"/>
        <v>770</v>
      </c>
      <c r="JY20" s="3">
        <f t="shared" si="327"/>
        <v>780</v>
      </c>
      <c r="JZ20" s="3">
        <f t="shared" ref="JZ20:KD20" si="328">JZ14</f>
        <v>795</v>
      </c>
      <c r="KA20" s="3">
        <f t="shared" si="328"/>
        <v>795</v>
      </c>
      <c r="KB20" s="3">
        <f t="shared" si="328"/>
        <v>795</v>
      </c>
      <c r="KC20" s="3">
        <f t="shared" si="328"/>
        <v>820</v>
      </c>
      <c r="KD20" s="3">
        <f t="shared" si="328"/>
        <v>820</v>
      </c>
      <c r="KE20" s="3">
        <f t="shared" ref="KE20:KH20" si="329">KE14</f>
        <v>840</v>
      </c>
      <c r="KF20" s="3">
        <f t="shared" si="329"/>
        <v>840</v>
      </c>
      <c r="KG20" s="3">
        <f t="shared" si="329"/>
        <v>840</v>
      </c>
      <c r="KH20" s="3">
        <f t="shared" si="329"/>
        <v>840</v>
      </c>
      <c r="KI20" s="3">
        <f t="shared" ref="KI20:KL20" si="330">KI14</f>
        <v>935</v>
      </c>
      <c r="KJ20" s="3">
        <f t="shared" si="330"/>
        <v>1080</v>
      </c>
      <c r="KK20" s="3">
        <f t="shared" si="330"/>
        <v>1280</v>
      </c>
      <c r="KL20" s="3">
        <f t="shared" si="330"/>
        <v>1140</v>
      </c>
    </row>
    <row r="21" spans="6:298" ht="15.5">
      <c r="F21" s="64"/>
      <c r="H21" s="1" t="s">
        <v>107</v>
      </c>
      <c r="BW21" s="177"/>
      <c r="BX21" s="177"/>
      <c r="BY21" s="177"/>
      <c r="CC21" s="1" t="s">
        <v>87</v>
      </c>
      <c r="DS21" s="41">
        <v>1303</v>
      </c>
      <c r="DT21" s="41">
        <v>1303</v>
      </c>
      <c r="DU21" s="41">
        <v>1225</v>
      </c>
      <c r="DV21" s="41">
        <v>1225</v>
      </c>
      <c r="DW21" s="41">
        <v>1225</v>
      </c>
      <c r="DX21" s="41">
        <v>1225</v>
      </c>
      <c r="DY21" s="41">
        <v>1225</v>
      </c>
      <c r="DZ21" s="41">
        <v>1225</v>
      </c>
      <c r="EA21" s="41">
        <v>1225</v>
      </c>
      <c r="EB21" s="41">
        <v>1225</v>
      </c>
      <c r="EC21" s="41">
        <v>1225</v>
      </c>
      <c r="ED21" s="41">
        <v>1225</v>
      </c>
      <c r="EE21" s="41">
        <v>1225</v>
      </c>
      <c r="EF21" s="41">
        <v>1225</v>
      </c>
      <c r="EG21" s="41">
        <v>1225</v>
      </c>
      <c r="EH21" s="41">
        <v>1225</v>
      </c>
      <c r="EI21" s="41">
        <v>1225</v>
      </c>
      <c r="EJ21" s="41">
        <v>1225</v>
      </c>
      <c r="EK21" s="41">
        <v>1225</v>
      </c>
      <c r="EL21" s="41">
        <v>1225</v>
      </c>
      <c r="EM21" s="41">
        <v>1225</v>
      </c>
      <c r="EN21" s="41">
        <v>1225</v>
      </c>
      <c r="EO21" s="41">
        <v>1225</v>
      </c>
      <c r="EP21" s="41">
        <v>1225</v>
      </c>
      <c r="EQ21" s="41">
        <v>1225</v>
      </c>
      <c r="ER21" s="41">
        <v>1225</v>
      </c>
      <c r="ES21" s="41">
        <v>1225</v>
      </c>
      <c r="ET21" s="41">
        <v>1225</v>
      </c>
      <c r="EU21" s="41">
        <v>1225</v>
      </c>
      <c r="EV21" s="41">
        <v>1225</v>
      </c>
      <c r="EW21" s="41">
        <v>1225</v>
      </c>
      <c r="EX21" s="41">
        <v>1225</v>
      </c>
      <c r="EY21" s="41">
        <v>1225</v>
      </c>
      <c r="EZ21" s="41">
        <v>1185</v>
      </c>
      <c r="FA21" s="41">
        <v>1185</v>
      </c>
      <c r="FB21" s="41">
        <v>1185</v>
      </c>
      <c r="FC21" s="41">
        <v>1185</v>
      </c>
      <c r="FD21" s="41">
        <v>1133</v>
      </c>
      <c r="FE21" s="41">
        <v>1133</v>
      </c>
      <c r="FF21" s="41">
        <v>1133</v>
      </c>
      <c r="FG21" s="41">
        <v>1133</v>
      </c>
      <c r="FH21" s="41">
        <v>1133</v>
      </c>
      <c r="FI21" s="41">
        <v>1133</v>
      </c>
      <c r="FJ21" s="41">
        <v>1133</v>
      </c>
      <c r="FK21" s="41">
        <v>1151</v>
      </c>
      <c r="FL21" s="41">
        <v>1151</v>
      </c>
      <c r="FM21" s="41">
        <v>1151</v>
      </c>
      <c r="FN21" s="41">
        <v>1175</v>
      </c>
      <c r="FO21" s="41">
        <v>1175</v>
      </c>
      <c r="FP21" s="41">
        <v>1175</v>
      </c>
      <c r="FQ21" s="41">
        <v>1175</v>
      </c>
      <c r="FR21" s="41">
        <v>1175</v>
      </c>
      <c r="FS21" s="41">
        <v>1175</v>
      </c>
      <c r="FT21" s="41">
        <v>1200</v>
      </c>
      <c r="FU21" s="41">
        <v>1200</v>
      </c>
      <c r="FV21" s="41">
        <v>1200</v>
      </c>
      <c r="FW21" s="41">
        <v>1200</v>
      </c>
      <c r="FX21" s="41">
        <v>1143</v>
      </c>
      <c r="FY21" s="41">
        <v>1143</v>
      </c>
      <c r="FZ21" s="41">
        <v>1143</v>
      </c>
      <c r="GA21" s="41">
        <v>1143</v>
      </c>
      <c r="GB21" s="41">
        <v>1143</v>
      </c>
      <c r="GC21" s="41">
        <v>1162</v>
      </c>
      <c r="GD21" s="41">
        <v>1162</v>
      </c>
      <c r="GE21" s="41">
        <v>1162</v>
      </c>
      <c r="GF21" s="41">
        <v>1162</v>
      </c>
      <c r="GG21" s="41">
        <v>1175</v>
      </c>
      <c r="GH21" s="41">
        <v>1175</v>
      </c>
      <c r="GI21" s="41">
        <v>1175</v>
      </c>
      <c r="GJ21" s="41">
        <v>1200</v>
      </c>
      <c r="GK21" s="41">
        <v>1200</v>
      </c>
      <c r="GL21" s="41">
        <v>1200</v>
      </c>
      <c r="GM21" s="41">
        <v>1200</v>
      </c>
      <c r="GN21" s="41">
        <v>1230</v>
      </c>
      <c r="GO21" s="41">
        <v>1230</v>
      </c>
      <c r="GP21" s="41">
        <v>1230</v>
      </c>
      <c r="GQ21" s="41">
        <v>1230</v>
      </c>
      <c r="GR21" s="41">
        <v>1260</v>
      </c>
      <c r="GS21" s="41">
        <v>1260</v>
      </c>
      <c r="GT21" s="41">
        <v>1260</v>
      </c>
      <c r="GU21" s="41">
        <v>1260</v>
      </c>
      <c r="GV21" s="41">
        <v>1260</v>
      </c>
      <c r="GW21" s="41">
        <v>1250</v>
      </c>
      <c r="GX21" s="41">
        <v>1250</v>
      </c>
      <c r="GY21" s="41">
        <v>1250</v>
      </c>
      <c r="GZ21" s="41">
        <v>1250</v>
      </c>
      <c r="HA21" s="41">
        <v>1174</v>
      </c>
      <c r="HB21" s="41">
        <v>1174</v>
      </c>
      <c r="HC21" s="41">
        <v>1174</v>
      </c>
      <c r="HD21" s="41">
        <v>1174</v>
      </c>
      <c r="HE21" s="41">
        <v>1131</v>
      </c>
      <c r="HF21" s="41">
        <v>1131</v>
      </c>
      <c r="HG21" s="41">
        <v>1131</v>
      </c>
      <c r="HH21" s="41">
        <v>1131</v>
      </c>
      <c r="HI21" s="41">
        <v>1131</v>
      </c>
      <c r="HJ21" s="41">
        <v>1154.4175324983562</v>
      </c>
      <c r="HK21" s="41">
        <v>1154.4175324983562</v>
      </c>
      <c r="HL21" s="41">
        <v>1154.4175324983562</v>
      </c>
      <c r="HM21" s="41">
        <v>1154.4175324983562</v>
      </c>
      <c r="HN21" s="41">
        <v>1161.0768651093263</v>
      </c>
      <c r="HO21" s="41">
        <v>1161.0768651093263</v>
      </c>
      <c r="HP21" s="41">
        <v>1161.0768651093263</v>
      </c>
      <c r="HQ21" s="41">
        <v>1161.0768651093263</v>
      </c>
      <c r="HR21" s="41">
        <v>1179.9225619184629</v>
      </c>
      <c r="HS21" s="41">
        <v>1179.9225619184629</v>
      </c>
      <c r="HT21" s="41">
        <v>1179.9225619184629</v>
      </c>
      <c r="HU21" s="41">
        <v>1179.9225619184629</v>
      </c>
      <c r="HV21" s="41">
        <v>1179.9225619184629</v>
      </c>
      <c r="HW21" s="41">
        <v>1183.4455288794234</v>
      </c>
      <c r="HX21" s="41">
        <v>1183.4455288794234</v>
      </c>
      <c r="HY21" s="41">
        <v>1183.4455288794234</v>
      </c>
      <c r="HZ21" s="41">
        <v>1183.4455288794234</v>
      </c>
      <c r="IA21" s="41">
        <v>1181</v>
      </c>
      <c r="IB21" s="41">
        <v>1181</v>
      </c>
      <c r="IC21" s="41">
        <v>1181</v>
      </c>
      <c r="ID21" s="41">
        <v>1181</v>
      </c>
      <c r="IE21" s="41">
        <v>1185.2425317608468</v>
      </c>
      <c r="IF21" s="41">
        <v>1185.2425317608468</v>
      </c>
      <c r="IG21" s="41">
        <v>1185.2425317608468</v>
      </c>
      <c r="IH21" s="41">
        <v>1185.2425317608468</v>
      </c>
      <c r="II21" s="41">
        <v>1190.7839269244525</v>
      </c>
      <c r="IJ21" s="41">
        <v>1190.7839269244525</v>
      </c>
      <c r="IK21" s="41">
        <v>1190.7839269244525</v>
      </c>
      <c r="IL21" s="41">
        <v>1190.7839269244525</v>
      </c>
      <c r="IM21" s="41">
        <v>1188.8989547033088</v>
      </c>
      <c r="IN21" s="41">
        <v>1188.8989547033088</v>
      </c>
      <c r="IO21" s="41">
        <v>1188.8989547033088</v>
      </c>
      <c r="IP21" s="41">
        <v>1188.8989547033088</v>
      </c>
      <c r="IQ21" s="41">
        <v>1208.4563999076058</v>
      </c>
      <c r="IR21" s="41">
        <v>1208.4563999076058</v>
      </c>
      <c r="IS21" s="41">
        <v>1208.4563999076058</v>
      </c>
      <c r="IT21" s="41">
        <v>1208.4563999076058</v>
      </c>
      <c r="IU21" s="41">
        <v>1208.4563999076058</v>
      </c>
      <c r="IV21" s="41">
        <v>1167.8121893749728</v>
      </c>
      <c r="IW21" s="41">
        <v>1167.8121893749728</v>
      </c>
      <c r="IX21" s="41">
        <v>1167.8121893749728</v>
      </c>
      <c r="IY21" s="41">
        <v>1167.8121893749728</v>
      </c>
      <c r="IZ21" s="41">
        <v>1185.3194123375963</v>
      </c>
      <c r="JA21" s="41">
        <v>1185.3194123375963</v>
      </c>
      <c r="JB21" s="41">
        <v>1185.3194123375963</v>
      </c>
      <c r="JC21" s="41">
        <v>1185.3194123375963</v>
      </c>
      <c r="JD21" s="41">
        <v>1185.3194123375963</v>
      </c>
      <c r="JE21" s="41">
        <v>1163.1486661843744</v>
      </c>
      <c r="JF21" s="41">
        <v>1163.1486661843744</v>
      </c>
      <c r="JG21" s="41">
        <v>1163.1486661843744</v>
      </c>
      <c r="JH21" s="41">
        <v>1163.1486661843744</v>
      </c>
      <c r="JI21" s="41">
        <v>1186.2627781335511</v>
      </c>
      <c r="JJ21" s="41">
        <v>1186.2627781335511</v>
      </c>
      <c r="JK21" s="41">
        <v>1186.2627781335511</v>
      </c>
      <c r="JL21" s="41">
        <v>1186.2627781335511</v>
      </c>
      <c r="JM21" s="41">
        <v>1149.7077016074772</v>
      </c>
      <c r="JN21" s="41">
        <v>1149.7077016074772</v>
      </c>
      <c r="JO21" s="41">
        <v>1149.7077016074772</v>
      </c>
      <c r="JP21" s="41">
        <v>1149.7077016074772</v>
      </c>
      <c r="JQ21" s="41">
        <v>1149.7077016074772</v>
      </c>
      <c r="JR21" s="41">
        <v>1070.511623054196</v>
      </c>
      <c r="JS21" s="41">
        <v>1070.511623054196</v>
      </c>
      <c r="JT21" s="41">
        <v>1070.511623054196</v>
      </c>
      <c r="JU21" s="41">
        <v>1070.511623054196</v>
      </c>
      <c r="JV21" s="41">
        <v>1092.8990526695691</v>
      </c>
      <c r="JW21" s="41">
        <v>1092.8990526695691</v>
      </c>
      <c r="JX21" s="41">
        <v>1092.8990526695691</v>
      </c>
      <c r="JY21" s="41">
        <v>1092.8990526695691</v>
      </c>
      <c r="JZ21" s="41">
        <v>1096.8836793746136</v>
      </c>
      <c r="KA21" s="41">
        <v>1096.8836793746136</v>
      </c>
      <c r="KB21" s="41">
        <v>1096.8836793746136</v>
      </c>
      <c r="KC21" s="41">
        <v>1096.8836793746136</v>
      </c>
      <c r="KD21" s="41">
        <v>1096.8836793746136</v>
      </c>
      <c r="KE21" s="41">
        <v>1056.1519929547876</v>
      </c>
      <c r="KF21" s="41">
        <v>1056.1519929547876</v>
      </c>
      <c r="KG21" s="41">
        <v>1056.1519929547876</v>
      </c>
      <c r="KH21" s="41">
        <v>1056.1519929547876</v>
      </c>
      <c r="KI21" s="41">
        <v>1057.7957262938128</v>
      </c>
      <c r="KJ21" s="41">
        <v>1057.7957262938128</v>
      </c>
      <c r="KK21" s="41">
        <v>1057.7957262938128</v>
      </c>
      <c r="KL21" s="41">
        <v>1057.7957262938128</v>
      </c>
    </row>
    <row r="22" spans="6:298" ht="15.5" hidden="1">
      <c r="F22" s="64"/>
      <c r="CC22" s="1" t="s">
        <v>113</v>
      </c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>
        <f>ED21+35</f>
        <v>1260</v>
      </c>
      <c r="EE22" s="41">
        <f>EE21+35</f>
        <v>1260</v>
      </c>
      <c r="EF22" s="41">
        <f t="shared" ref="EF22:FS22" si="331">EF21+35</f>
        <v>1260</v>
      </c>
      <c r="EG22" s="41">
        <f t="shared" si="331"/>
        <v>1260</v>
      </c>
      <c r="EH22" s="41">
        <f t="shared" si="331"/>
        <v>1260</v>
      </c>
      <c r="EI22" s="41">
        <f t="shared" si="331"/>
        <v>1260</v>
      </c>
      <c r="EJ22" s="41">
        <f t="shared" si="331"/>
        <v>1260</v>
      </c>
      <c r="EK22" s="41">
        <f t="shared" si="331"/>
        <v>1260</v>
      </c>
      <c r="EL22" s="41">
        <f t="shared" si="331"/>
        <v>1260</v>
      </c>
      <c r="EM22" s="41">
        <f t="shared" si="331"/>
        <v>1260</v>
      </c>
      <c r="EN22" s="41">
        <f t="shared" si="331"/>
        <v>1260</v>
      </c>
      <c r="EO22" s="41">
        <f t="shared" si="331"/>
        <v>1260</v>
      </c>
      <c r="EP22" s="41">
        <f t="shared" si="331"/>
        <v>1260</v>
      </c>
      <c r="EQ22" s="41">
        <f t="shared" si="331"/>
        <v>1260</v>
      </c>
      <c r="ER22" s="41">
        <f t="shared" si="331"/>
        <v>1260</v>
      </c>
      <c r="ES22" s="41">
        <f t="shared" si="331"/>
        <v>1260</v>
      </c>
      <c r="ET22" s="41">
        <f t="shared" si="331"/>
        <v>1260</v>
      </c>
      <c r="EU22" s="41">
        <f t="shared" si="331"/>
        <v>1260</v>
      </c>
      <c r="EV22" s="41">
        <f t="shared" si="331"/>
        <v>1260</v>
      </c>
      <c r="EW22" s="41">
        <f t="shared" si="331"/>
        <v>1260</v>
      </c>
      <c r="EX22" s="41">
        <f t="shared" si="331"/>
        <v>1260</v>
      </c>
      <c r="EY22" s="41">
        <f t="shared" si="331"/>
        <v>1260</v>
      </c>
      <c r="EZ22" s="41">
        <f t="shared" si="331"/>
        <v>1220</v>
      </c>
      <c r="FA22" s="41">
        <f t="shared" si="331"/>
        <v>1220</v>
      </c>
      <c r="FB22" s="41">
        <f t="shared" si="331"/>
        <v>1220</v>
      </c>
      <c r="FC22" s="41">
        <f t="shared" si="331"/>
        <v>1220</v>
      </c>
      <c r="FD22" s="41">
        <f t="shared" si="331"/>
        <v>1168</v>
      </c>
      <c r="FE22" s="41">
        <f t="shared" si="331"/>
        <v>1168</v>
      </c>
      <c r="FF22" s="41">
        <f t="shared" si="331"/>
        <v>1168</v>
      </c>
      <c r="FG22" s="41">
        <f t="shared" si="331"/>
        <v>1168</v>
      </c>
      <c r="FH22" s="41">
        <f t="shared" si="331"/>
        <v>1168</v>
      </c>
      <c r="FI22" s="41">
        <f t="shared" si="331"/>
        <v>1168</v>
      </c>
      <c r="FJ22" s="41">
        <f t="shared" si="331"/>
        <v>1168</v>
      </c>
      <c r="FK22" s="41">
        <f t="shared" si="331"/>
        <v>1186</v>
      </c>
      <c r="FL22" s="41">
        <f t="shared" si="331"/>
        <v>1186</v>
      </c>
      <c r="FM22" s="41">
        <f t="shared" si="331"/>
        <v>1186</v>
      </c>
      <c r="FN22" s="41">
        <f t="shared" si="331"/>
        <v>1210</v>
      </c>
      <c r="FO22" s="41">
        <f t="shared" si="331"/>
        <v>1210</v>
      </c>
      <c r="FP22" s="41">
        <f t="shared" si="331"/>
        <v>1210</v>
      </c>
      <c r="FQ22" s="41">
        <f t="shared" si="331"/>
        <v>1210</v>
      </c>
      <c r="FR22" s="41">
        <f t="shared" si="331"/>
        <v>1210</v>
      </c>
      <c r="FS22" s="41">
        <f t="shared" si="331"/>
        <v>1210</v>
      </c>
      <c r="FT22" s="41">
        <f t="shared" ref="FT22:FU22" si="332">FT21+35</f>
        <v>1235</v>
      </c>
      <c r="FU22" s="41">
        <f t="shared" si="332"/>
        <v>1235</v>
      </c>
      <c r="FV22" s="41">
        <f t="shared" ref="FV22:FW22" si="333">FV21+35</f>
        <v>1235</v>
      </c>
      <c r="FW22" s="41">
        <f t="shared" si="333"/>
        <v>1235</v>
      </c>
      <c r="FX22" s="41">
        <f t="shared" ref="FX22" si="334">FX21+35</f>
        <v>1178</v>
      </c>
      <c r="FY22" s="41">
        <f>FY21+20</f>
        <v>1163</v>
      </c>
      <c r="FZ22" s="41">
        <f t="shared" ref="FZ22:GA22" si="335">FZ21+20</f>
        <v>1163</v>
      </c>
      <c r="GA22" s="41">
        <f t="shared" si="335"/>
        <v>1163</v>
      </c>
      <c r="GB22" s="41">
        <f t="shared" ref="GB22:GC22" si="336">GB21+20</f>
        <v>1163</v>
      </c>
      <c r="GC22" s="41">
        <f t="shared" si="336"/>
        <v>1182</v>
      </c>
      <c r="GD22" s="41">
        <f t="shared" ref="GD22:GE22" si="337">GD21+20</f>
        <v>1182</v>
      </c>
      <c r="GE22" s="41">
        <f t="shared" si="337"/>
        <v>1182</v>
      </c>
      <c r="GF22" s="41">
        <f t="shared" ref="GF22:GG22" si="338">GF21+20</f>
        <v>1182</v>
      </c>
      <c r="GG22" s="41">
        <f t="shared" si="338"/>
        <v>1195</v>
      </c>
      <c r="GH22" s="41">
        <f t="shared" ref="GH22:GJ22" si="339">GH21+20</f>
        <v>1195</v>
      </c>
      <c r="GI22" s="41">
        <f t="shared" si="339"/>
        <v>1195</v>
      </c>
      <c r="GJ22" s="41">
        <f t="shared" si="339"/>
        <v>1220</v>
      </c>
      <c r="GK22" s="41">
        <f t="shared" ref="GK22:GL22" si="340">GK21+20</f>
        <v>1220</v>
      </c>
      <c r="GL22" s="41">
        <f t="shared" si="340"/>
        <v>1220</v>
      </c>
      <c r="GM22" s="41">
        <f t="shared" ref="GM22:GN22" si="341">GM21+20</f>
        <v>1220</v>
      </c>
      <c r="GN22" s="41">
        <f t="shared" si="341"/>
        <v>1250</v>
      </c>
      <c r="GO22" s="41">
        <f t="shared" ref="GO22:GQ22" si="342">GO21+20</f>
        <v>1250</v>
      </c>
      <c r="GP22" s="41">
        <f t="shared" si="342"/>
        <v>1250</v>
      </c>
      <c r="GQ22" s="41">
        <f t="shared" si="342"/>
        <v>1250</v>
      </c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</row>
    <row r="23" spans="6:298" ht="15">
      <c r="F23" s="62"/>
      <c r="H23" s="1" t="s">
        <v>108</v>
      </c>
      <c r="AS23" s="1">
        <v>1220</v>
      </c>
      <c r="AT23" s="1">
        <v>1220</v>
      </c>
      <c r="AU23" s="1">
        <v>1220</v>
      </c>
      <c r="CC23" s="1" t="s">
        <v>109</v>
      </c>
      <c r="ED23" s="41">
        <f t="shared" ref="ED23:FF23" si="343">ED21+34</f>
        <v>1259</v>
      </c>
      <c r="EE23" s="41">
        <f t="shared" si="343"/>
        <v>1259</v>
      </c>
      <c r="EF23" s="41">
        <f t="shared" si="343"/>
        <v>1259</v>
      </c>
      <c r="EG23" s="41">
        <f t="shared" si="343"/>
        <v>1259</v>
      </c>
      <c r="EH23" s="41">
        <f t="shared" si="343"/>
        <v>1259</v>
      </c>
      <c r="EI23" s="41">
        <f t="shared" si="343"/>
        <v>1259</v>
      </c>
      <c r="EJ23" s="41">
        <f t="shared" si="343"/>
        <v>1259</v>
      </c>
      <c r="EK23" s="41">
        <f t="shared" si="343"/>
        <v>1259</v>
      </c>
      <c r="EL23" s="41">
        <f t="shared" si="343"/>
        <v>1259</v>
      </c>
      <c r="EM23" s="41">
        <f t="shared" si="343"/>
        <v>1259</v>
      </c>
      <c r="EN23" s="41">
        <f t="shared" si="343"/>
        <v>1259</v>
      </c>
      <c r="EO23" s="41">
        <f t="shared" si="343"/>
        <v>1259</v>
      </c>
      <c r="EP23" s="41">
        <f t="shared" si="343"/>
        <v>1259</v>
      </c>
      <c r="EQ23" s="41">
        <f t="shared" si="343"/>
        <v>1259</v>
      </c>
      <c r="ER23" s="41">
        <f t="shared" si="343"/>
        <v>1259</v>
      </c>
      <c r="ES23" s="41">
        <f t="shared" si="343"/>
        <v>1259</v>
      </c>
      <c r="ET23" s="41">
        <f t="shared" si="343"/>
        <v>1259</v>
      </c>
      <c r="EU23" s="41">
        <f t="shared" si="343"/>
        <v>1259</v>
      </c>
      <c r="EV23" s="41">
        <f t="shared" si="343"/>
        <v>1259</v>
      </c>
      <c r="EW23" s="41">
        <f t="shared" si="343"/>
        <v>1259</v>
      </c>
      <c r="EX23" s="41">
        <f t="shared" si="343"/>
        <v>1259</v>
      </c>
      <c r="EY23" s="41">
        <f t="shared" si="343"/>
        <v>1259</v>
      </c>
      <c r="EZ23" s="41">
        <f t="shared" si="343"/>
        <v>1219</v>
      </c>
      <c r="FA23" s="41">
        <f t="shared" si="343"/>
        <v>1219</v>
      </c>
      <c r="FB23" s="41">
        <f t="shared" si="343"/>
        <v>1219</v>
      </c>
      <c r="FC23" s="41">
        <f t="shared" si="343"/>
        <v>1219</v>
      </c>
      <c r="FD23" s="41">
        <f t="shared" si="343"/>
        <v>1167</v>
      </c>
      <c r="FE23" s="41">
        <f t="shared" si="343"/>
        <v>1167</v>
      </c>
      <c r="FF23" s="41">
        <f t="shared" si="343"/>
        <v>1167</v>
      </c>
      <c r="FG23" s="41">
        <f>FG21+34</f>
        <v>1167</v>
      </c>
      <c r="FH23" s="41">
        <f>FH21+34</f>
        <v>1167</v>
      </c>
      <c r="FI23" s="41">
        <f>FI21+34</f>
        <v>1167</v>
      </c>
      <c r="FJ23" s="41">
        <f>FJ21+34</f>
        <v>1167</v>
      </c>
      <c r="FK23" s="41">
        <v>1182</v>
      </c>
      <c r="FL23" s="41">
        <v>1182</v>
      </c>
      <c r="FM23" s="41">
        <v>1182</v>
      </c>
      <c r="FN23" s="41">
        <v>1182</v>
      </c>
      <c r="FO23" s="41">
        <v>1182</v>
      </c>
      <c r="FP23" s="41">
        <v>1234</v>
      </c>
      <c r="FQ23" s="41">
        <v>1234</v>
      </c>
      <c r="FR23" s="41">
        <v>1234</v>
      </c>
      <c r="FS23" s="41">
        <v>1234</v>
      </c>
      <c r="FT23" s="41">
        <v>1234</v>
      </c>
      <c r="FU23" s="41">
        <v>1234</v>
      </c>
      <c r="FV23" s="41">
        <v>1234</v>
      </c>
      <c r="FW23" s="41">
        <v>1234</v>
      </c>
      <c r="FX23" s="41">
        <v>1234</v>
      </c>
      <c r="FY23" s="41">
        <v>1234</v>
      </c>
      <c r="FZ23" s="41">
        <v>1234</v>
      </c>
      <c r="GA23" s="41">
        <v>1234</v>
      </c>
      <c r="GB23" s="41">
        <v>1234</v>
      </c>
      <c r="GC23" s="41">
        <v>1234</v>
      </c>
      <c r="GD23" s="41">
        <v>1234</v>
      </c>
      <c r="GE23" s="41">
        <v>1234</v>
      </c>
      <c r="GF23" s="41">
        <v>1234</v>
      </c>
      <c r="GG23" s="41">
        <v>1234</v>
      </c>
      <c r="GH23" s="41">
        <v>1234</v>
      </c>
      <c r="GI23" s="41">
        <v>1234</v>
      </c>
      <c r="GJ23" s="41">
        <v>1234</v>
      </c>
      <c r="GK23" s="41">
        <v>1234</v>
      </c>
      <c r="GL23" s="41">
        <v>1234</v>
      </c>
      <c r="GM23" s="41">
        <v>1234</v>
      </c>
      <c r="GN23" s="41">
        <v>1234</v>
      </c>
      <c r="GO23" s="41">
        <v>1234</v>
      </c>
      <c r="GP23" s="41">
        <v>1234</v>
      </c>
      <c r="GQ23" s="41">
        <v>1234</v>
      </c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</row>
    <row r="24" spans="6:298">
      <c r="H24" s="1" t="s">
        <v>99</v>
      </c>
      <c r="X24" s="143">
        <v>1360</v>
      </c>
      <c r="Y24" s="143">
        <v>1360</v>
      </c>
      <c r="Z24" s="143">
        <v>1360</v>
      </c>
      <c r="AA24" s="143">
        <v>1550</v>
      </c>
      <c r="AB24" s="143">
        <v>1550</v>
      </c>
      <c r="AC24" s="143">
        <v>1550</v>
      </c>
      <c r="AD24" s="143">
        <v>1550</v>
      </c>
      <c r="AE24" s="143">
        <v>1534</v>
      </c>
      <c r="AF24" s="143">
        <v>1534</v>
      </c>
      <c r="AG24" s="143">
        <v>1534</v>
      </c>
      <c r="AH24" s="143">
        <v>1534</v>
      </c>
      <c r="AI24" s="143">
        <v>1534</v>
      </c>
      <c r="AJ24" s="143">
        <v>1534</v>
      </c>
      <c r="AK24" s="143">
        <v>1534</v>
      </c>
      <c r="AL24" s="143">
        <v>1445</v>
      </c>
      <c r="AM24" s="143">
        <v>1445</v>
      </c>
      <c r="AN24" s="143">
        <v>1445</v>
      </c>
      <c r="AO24" s="143">
        <v>1500</v>
      </c>
      <c r="AP24" s="143">
        <v>1500</v>
      </c>
      <c r="AQ24" s="143">
        <v>1500</v>
      </c>
      <c r="AR24" s="144">
        <v>1450</v>
      </c>
      <c r="AS24" s="144">
        <v>1450</v>
      </c>
      <c r="AT24" s="144">
        <v>1450</v>
      </c>
      <c r="AU24" s="144">
        <v>1350</v>
      </c>
      <c r="AV24" s="144">
        <v>1350</v>
      </c>
      <c r="AW24" s="144">
        <v>1350</v>
      </c>
      <c r="AX24" s="144">
        <v>1320</v>
      </c>
      <c r="AY24" s="144">
        <v>1320</v>
      </c>
      <c r="AZ24" s="144">
        <v>1320</v>
      </c>
      <c r="BA24" s="144">
        <v>1320</v>
      </c>
      <c r="BB24" s="144">
        <v>1320</v>
      </c>
      <c r="BC24" s="144">
        <v>1320</v>
      </c>
      <c r="BD24" s="172">
        <v>1300</v>
      </c>
      <c r="BE24" s="172">
        <v>1300</v>
      </c>
      <c r="BF24" s="172">
        <v>1300</v>
      </c>
      <c r="BG24" s="172">
        <v>1300</v>
      </c>
      <c r="BH24" s="172">
        <v>1300</v>
      </c>
      <c r="BI24" s="172">
        <v>1300</v>
      </c>
      <c r="BJ24" s="172">
        <v>1300</v>
      </c>
      <c r="BK24" s="172">
        <v>1300</v>
      </c>
      <c r="BL24" s="172">
        <v>1250</v>
      </c>
      <c r="BM24" s="172">
        <v>1250</v>
      </c>
      <c r="BN24" s="172">
        <v>1250</v>
      </c>
      <c r="BO24" s="172">
        <v>1250</v>
      </c>
      <c r="BP24" s="172">
        <v>1280</v>
      </c>
      <c r="BQ24" s="172">
        <v>1280</v>
      </c>
      <c r="BR24" s="172">
        <v>1280</v>
      </c>
      <c r="BS24" s="172">
        <v>1280</v>
      </c>
      <c r="BT24" s="172">
        <v>1280</v>
      </c>
      <c r="BU24" s="172">
        <v>1280</v>
      </c>
      <c r="BV24" s="172">
        <v>1250</v>
      </c>
      <c r="BW24" s="172">
        <v>1250</v>
      </c>
      <c r="BX24" s="172">
        <v>1250</v>
      </c>
      <c r="BY24" s="183"/>
      <c r="CC24" s="1" t="s">
        <v>108</v>
      </c>
      <c r="FD24" s="3">
        <v>1200</v>
      </c>
      <c r="FE24" s="3"/>
      <c r="FF24" s="3"/>
      <c r="FG24" s="3">
        <v>1200</v>
      </c>
      <c r="FH24" s="3">
        <v>1200</v>
      </c>
      <c r="FI24" s="3">
        <v>1200</v>
      </c>
      <c r="FJ24" s="3">
        <v>1200</v>
      </c>
      <c r="FK24" s="3">
        <v>1200</v>
      </c>
      <c r="FL24" s="3">
        <v>1200</v>
      </c>
      <c r="FM24" s="3">
        <v>1200</v>
      </c>
      <c r="FN24" s="3">
        <v>1200</v>
      </c>
      <c r="FO24" s="3">
        <v>1200</v>
      </c>
      <c r="FP24" s="3">
        <v>1200</v>
      </c>
      <c r="FQ24" s="3">
        <v>1200</v>
      </c>
      <c r="FR24" s="3">
        <v>1200</v>
      </c>
      <c r="FS24" s="3">
        <v>1100</v>
      </c>
      <c r="FT24" s="3">
        <v>1100</v>
      </c>
      <c r="FU24" s="3">
        <v>1100</v>
      </c>
      <c r="FV24" s="3">
        <v>1100</v>
      </c>
      <c r="FW24" s="3">
        <v>1100</v>
      </c>
      <c r="FX24" s="3">
        <v>1100</v>
      </c>
      <c r="FY24" s="3">
        <v>1100</v>
      </c>
      <c r="FZ24" s="3">
        <v>1100</v>
      </c>
      <c r="GA24" s="3">
        <v>1100</v>
      </c>
      <c r="GB24" s="3">
        <v>1100</v>
      </c>
      <c r="GC24" s="3">
        <v>1100</v>
      </c>
      <c r="GD24" s="3">
        <v>1100</v>
      </c>
      <c r="GE24" s="3">
        <v>1100</v>
      </c>
      <c r="GF24" s="3">
        <v>1100</v>
      </c>
      <c r="GG24" s="3">
        <v>1100</v>
      </c>
      <c r="GH24" s="3">
        <v>1100</v>
      </c>
      <c r="GI24" s="3">
        <v>1100</v>
      </c>
      <c r="GJ24" s="3">
        <v>1100</v>
      </c>
      <c r="GK24" s="3">
        <v>1100</v>
      </c>
      <c r="GL24" s="3">
        <v>1100</v>
      </c>
      <c r="GM24" s="3">
        <v>1100</v>
      </c>
      <c r="GN24" s="3">
        <v>1100</v>
      </c>
      <c r="GO24" s="3">
        <v>1100</v>
      </c>
      <c r="GP24" s="3">
        <v>1100</v>
      </c>
      <c r="GQ24" s="3">
        <v>1100</v>
      </c>
      <c r="GR24" s="3">
        <v>1100</v>
      </c>
      <c r="GS24" s="3">
        <v>1100</v>
      </c>
      <c r="GT24" s="3">
        <v>1100</v>
      </c>
      <c r="GU24" s="3">
        <v>1100</v>
      </c>
      <c r="GV24" s="3">
        <v>1100</v>
      </c>
      <c r="GW24" s="3">
        <v>1100</v>
      </c>
      <c r="GX24" s="3">
        <v>1100</v>
      </c>
      <c r="GY24" s="3">
        <v>1100</v>
      </c>
      <c r="GZ24" s="3">
        <v>1100</v>
      </c>
      <c r="HA24" s="3">
        <v>1100</v>
      </c>
      <c r="HB24" s="3">
        <v>1100</v>
      </c>
      <c r="HC24" s="3">
        <v>1100</v>
      </c>
      <c r="HD24" s="3">
        <v>1100</v>
      </c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</row>
    <row r="25" spans="6:298">
      <c r="CC25" s="1" t="s">
        <v>133</v>
      </c>
      <c r="ED25" s="142">
        <v>1445</v>
      </c>
      <c r="EE25" s="142">
        <v>1445</v>
      </c>
      <c r="EF25" s="142">
        <v>1445</v>
      </c>
      <c r="EG25" s="142">
        <v>1445</v>
      </c>
      <c r="EH25" s="142">
        <v>1445</v>
      </c>
      <c r="EI25" s="142">
        <v>1445</v>
      </c>
      <c r="EJ25" s="142">
        <v>1445</v>
      </c>
      <c r="EK25" s="142">
        <v>1445</v>
      </c>
      <c r="EL25" s="142">
        <v>1445</v>
      </c>
      <c r="EM25" s="142">
        <v>1445</v>
      </c>
      <c r="EN25" s="142">
        <v>1445</v>
      </c>
      <c r="EO25" s="142">
        <v>1445</v>
      </c>
      <c r="EP25" s="142">
        <v>1500</v>
      </c>
      <c r="EQ25" s="142">
        <v>1500</v>
      </c>
      <c r="ER25" s="142">
        <v>1500</v>
      </c>
      <c r="ES25" s="142">
        <v>1500</v>
      </c>
      <c r="ET25" s="142">
        <v>1500</v>
      </c>
      <c r="EU25" s="142">
        <v>1500</v>
      </c>
      <c r="EV25" s="142">
        <v>1500</v>
      </c>
      <c r="EW25" s="142">
        <v>1500</v>
      </c>
      <c r="EX25" s="142">
        <v>1500</v>
      </c>
      <c r="EY25" s="142">
        <v>1500</v>
      </c>
      <c r="EZ25" s="142">
        <v>1500</v>
      </c>
      <c r="FA25" s="142">
        <v>1500</v>
      </c>
      <c r="FB25" s="142">
        <v>1500</v>
      </c>
      <c r="FC25" s="142">
        <v>1500</v>
      </c>
      <c r="FD25" s="142">
        <v>1450</v>
      </c>
      <c r="FE25" s="142">
        <v>1450</v>
      </c>
      <c r="FF25" s="142">
        <v>1450</v>
      </c>
      <c r="FG25" s="142">
        <v>1450</v>
      </c>
      <c r="FH25" s="142">
        <v>1450</v>
      </c>
      <c r="FI25" s="142">
        <v>1450</v>
      </c>
      <c r="FJ25" s="142">
        <v>1450</v>
      </c>
      <c r="FK25" s="142">
        <v>1450</v>
      </c>
      <c r="FL25" s="142">
        <v>1450</v>
      </c>
      <c r="FM25" s="142">
        <v>1450</v>
      </c>
      <c r="FN25" s="142">
        <v>1450</v>
      </c>
      <c r="FO25" s="142">
        <v>1450</v>
      </c>
      <c r="FP25" s="142">
        <v>1350</v>
      </c>
      <c r="FQ25" s="142">
        <v>1350</v>
      </c>
      <c r="FR25" s="142">
        <v>1350</v>
      </c>
      <c r="FS25" s="142">
        <v>1350</v>
      </c>
      <c r="FT25" s="142">
        <v>1350</v>
      </c>
      <c r="FU25" s="142">
        <v>1350</v>
      </c>
      <c r="FV25" s="142">
        <v>1350</v>
      </c>
      <c r="FW25" s="142">
        <v>1350</v>
      </c>
      <c r="FX25" s="142">
        <v>1350</v>
      </c>
      <c r="FY25" s="142">
        <v>1350</v>
      </c>
      <c r="FZ25" s="142">
        <v>1350</v>
      </c>
      <c r="GA25" s="142">
        <v>1350</v>
      </c>
      <c r="GB25" s="142">
        <v>1350</v>
      </c>
      <c r="GC25" s="142">
        <v>1320</v>
      </c>
      <c r="GD25" s="142">
        <v>1320</v>
      </c>
      <c r="GE25" s="142">
        <v>1320</v>
      </c>
      <c r="GF25" s="142">
        <v>1320</v>
      </c>
      <c r="GG25" s="142">
        <v>1320</v>
      </c>
      <c r="GH25" s="142">
        <v>1320</v>
      </c>
      <c r="GI25" s="142">
        <v>1320</v>
      </c>
      <c r="GJ25" s="142">
        <v>1320</v>
      </c>
      <c r="GK25" s="142">
        <v>1320</v>
      </c>
      <c r="GL25" s="142">
        <v>1320</v>
      </c>
      <c r="GM25" s="142">
        <v>1320</v>
      </c>
      <c r="GN25" s="142">
        <v>1320</v>
      </c>
      <c r="GO25" s="142">
        <v>1320</v>
      </c>
      <c r="GP25" s="142">
        <v>1320</v>
      </c>
      <c r="GQ25" s="142">
        <v>1320</v>
      </c>
      <c r="GR25" s="142">
        <v>1320</v>
      </c>
      <c r="GS25" s="142">
        <v>1320</v>
      </c>
      <c r="GT25" s="142">
        <v>1320</v>
      </c>
      <c r="GU25" s="142">
        <v>1320</v>
      </c>
      <c r="GV25" s="142">
        <v>1320</v>
      </c>
      <c r="GW25" s="142">
        <v>1320</v>
      </c>
      <c r="GX25" s="142">
        <v>1320</v>
      </c>
      <c r="GY25" s="142">
        <v>1320</v>
      </c>
      <c r="GZ25" s="142">
        <v>1320</v>
      </c>
      <c r="HA25" s="142">
        <v>1300</v>
      </c>
      <c r="HB25" s="142">
        <v>1300</v>
      </c>
      <c r="HC25" s="142">
        <v>1300</v>
      </c>
      <c r="HD25" s="142">
        <v>1300</v>
      </c>
      <c r="HE25" s="142">
        <v>1300</v>
      </c>
      <c r="HF25" s="142">
        <v>1300</v>
      </c>
      <c r="HG25" s="142">
        <v>1300</v>
      </c>
      <c r="HH25" s="142">
        <v>1300</v>
      </c>
      <c r="HI25" s="142">
        <v>1300</v>
      </c>
      <c r="HJ25" s="142">
        <v>1300</v>
      </c>
      <c r="HK25" s="142">
        <v>1300</v>
      </c>
      <c r="HL25" s="142">
        <v>1300</v>
      </c>
      <c r="HM25" s="142">
        <v>1300</v>
      </c>
      <c r="HN25" s="142">
        <v>1300</v>
      </c>
      <c r="HO25" s="142">
        <v>1300</v>
      </c>
      <c r="HP25" s="142">
        <v>1300</v>
      </c>
      <c r="HQ25" s="142">
        <v>1300</v>
      </c>
      <c r="HR25" s="142">
        <v>1300</v>
      </c>
      <c r="HS25" s="142">
        <v>1300</v>
      </c>
      <c r="HT25" s="142">
        <v>1300</v>
      </c>
      <c r="HU25" s="142">
        <v>1300</v>
      </c>
      <c r="HV25" s="142">
        <v>1300</v>
      </c>
      <c r="HW25" s="142">
        <v>1300</v>
      </c>
      <c r="HX25" s="142">
        <v>1300</v>
      </c>
      <c r="HY25" s="142">
        <v>1300</v>
      </c>
      <c r="HZ25" s="142">
        <v>1300</v>
      </c>
      <c r="IA25" s="142">
        <v>1300</v>
      </c>
      <c r="IB25" s="142">
        <v>1300</v>
      </c>
      <c r="IC25" s="142">
        <v>1300</v>
      </c>
      <c r="ID25" s="142">
        <v>1300</v>
      </c>
      <c r="IE25" s="142">
        <v>1300</v>
      </c>
      <c r="IF25" s="142">
        <v>1300</v>
      </c>
      <c r="IG25" s="142">
        <v>1300</v>
      </c>
      <c r="IH25" s="142">
        <v>1300</v>
      </c>
      <c r="II25" s="176">
        <v>1250</v>
      </c>
      <c r="IJ25" s="176">
        <v>1250</v>
      </c>
      <c r="IK25" s="176">
        <v>1250</v>
      </c>
      <c r="IL25" s="176">
        <v>1250</v>
      </c>
      <c r="IM25" s="176">
        <v>1250</v>
      </c>
      <c r="IN25" s="176">
        <v>1250</v>
      </c>
      <c r="IO25" s="176">
        <v>1250</v>
      </c>
      <c r="IP25" s="176">
        <v>1250</v>
      </c>
      <c r="IQ25" s="176">
        <v>1250</v>
      </c>
      <c r="IR25" s="176">
        <v>1250</v>
      </c>
      <c r="IS25" s="176">
        <v>1250</v>
      </c>
      <c r="IT25" s="176">
        <v>1250</v>
      </c>
      <c r="IU25" s="176">
        <v>1250</v>
      </c>
      <c r="IV25" s="176">
        <v>1250</v>
      </c>
      <c r="IW25" s="176">
        <v>1250</v>
      </c>
      <c r="IX25" s="176">
        <v>1250</v>
      </c>
      <c r="IY25" s="176">
        <v>1250</v>
      </c>
      <c r="IZ25" s="176">
        <v>1280</v>
      </c>
      <c r="JA25" s="176">
        <v>1280</v>
      </c>
      <c r="JB25" s="176">
        <v>1280</v>
      </c>
      <c r="JC25" s="176">
        <v>1280</v>
      </c>
      <c r="JD25" s="176">
        <v>1280</v>
      </c>
      <c r="JE25" s="176">
        <v>1280</v>
      </c>
      <c r="JF25" s="176">
        <v>1280</v>
      </c>
      <c r="JG25" s="176">
        <v>1280</v>
      </c>
      <c r="JH25" s="176">
        <v>1280</v>
      </c>
      <c r="JI25" s="176">
        <v>1280</v>
      </c>
      <c r="JJ25" s="176">
        <v>1280</v>
      </c>
      <c r="JK25" s="176">
        <v>1280</v>
      </c>
      <c r="JL25" s="176">
        <v>1280</v>
      </c>
      <c r="JM25" s="176">
        <v>1280</v>
      </c>
      <c r="JN25" s="176">
        <v>1280</v>
      </c>
      <c r="JO25" s="176">
        <v>1280</v>
      </c>
      <c r="JP25" s="176">
        <v>1280</v>
      </c>
      <c r="JQ25" s="176">
        <v>1280</v>
      </c>
      <c r="JR25" s="176">
        <v>1280</v>
      </c>
      <c r="JS25" s="176">
        <v>1280</v>
      </c>
      <c r="JT25" s="176">
        <v>1280</v>
      </c>
      <c r="JU25" s="176">
        <v>1280</v>
      </c>
      <c r="JV25" s="176">
        <v>1280</v>
      </c>
      <c r="JW25" s="176">
        <v>1280</v>
      </c>
      <c r="JX25" s="176">
        <v>1280</v>
      </c>
      <c r="JY25" s="176">
        <v>1280</v>
      </c>
      <c r="JZ25" s="176">
        <v>1250</v>
      </c>
      <c r="KA25" s="176">
        <v>1250</v>
      </c>
      <c r="KB25" s="176">
        <v>1250</v>
      </c>
      <c r="KC25" s="176">
        <v>1250</v>
      </c>
      <c r="KD25" s="176">
        <v>1250</v>
      </c>
      <c r="KE25" s="176">
        <v>1250</v>
      </c>
      <c r="KF25" s="176">
        <v>1250</v>
      </c>
      <c r="KG25" s="176">
        <v>1250</v>
      </c>
      <c r="KH25" s="176">
        <v>1250</v>
      </c>
      <c r="KI25" s="176">
        <v>1250</v>
      </c>
      <c r="KJ25" s="176">
        <v>1250</v>
      </c>
      <c r="KK25" s="176">
        <v>1250</v>
      </c>
      <c r="KL25" s="176">
        <v>1250</v>
      </c>
    </row>
    <row r="28" spans="6:298">
      <c r="BY28" s="142"/>
      <c r="FO28" s="41"/>
    </row>
    <row r="31" spans="6:298">
      <c r="GJ31" s="41"/>
    </row>
    <row r="32" spans="6:298">
      <c r="GJ32" s="51"/>
    </row>
    <row r="41" spans="6:21"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spans="6:21"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6:21"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spans="6:21"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spans="6:21"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spans="6:21">
      <c r="F46" s="31"/>
      <c r="G46" s="32"/>
      <c r="H46" s="31"/>
      <c r="I46" s="32"/>
      <c r="J46" s="32"/>
      <c r="K46" s="32"/>
      <c r="L46" s="32"/>
      <c r="M46" s="32"/>
      <c r="N46" s="32"/>
      <c r="O46" s="32"/>
      <c r="P46" s="32"/>
      <c r="Q46" s="31"/>
      <c r="R46" s="32"/>
      <c r="S46" s="32"/>
      <c r="T46" s="32"/>
      <c r="U46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ignoredErrors>
    <ignoredError sqref="V8:Y8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F74-0272-4396-8CD6-FCFA23428F0D}">
  <sheetPr>
    <tabColor rgb="FFFFC000"/>
    <pageSetUpPr fitToPage="1"/>
  </sheetPr>
  <dimension ref="I10:W85"/>
  <sheetViews>
    <sheetView showGridLines="0" topLeftCell="A10" zoomScale="85" zoomScaleNormal="85" workbookViewId="0">
      <selection activeCell="B36" sqref="B36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19" max="19" width="10.1796875" bestFit="1" customWidth="1"/>
    <col min="20" max="20" width="13.54296875" customWidth="1"/>
    <col min="22" max="22" width="9.54296875" bestFit="1" customWidth="1"/>
    <col min="23" max="23" width="13.1796875" bestFit="1" customWidth="1"/>
    <col min="26" max="26" width="8.81640625" customWidth="1"/>
  </cols>
  <sheetData>
    <row r="10" spans="19:23">
      <c r="S10" s="98"/>
      <c r="T10" s="98"/>
      <c r="U10" s="179"/>
      <c r="V10" s="98"/>
    </row>
    <row r="11" spans="19:23">
      <c r="S11" s="180"/>
      <c r="T11" s="180"/>
      <c r="U11" s="179"/>
      <c r="V11" s="98"/>
      <c r="W11" s="180"/>
    </row>
    <row r="15" spans="19:23">
      <c r="W15" s="98"/>
    </row>
    <row r="53" spans="15:22" ht="14.9" customHeight="1">
      <c r="O53" s="187"/>
    </row>
    <row r="54" spans="15:22" ht="14.9" customHeight="1">
      <c r="O54" s="187"/>
      <c r="P54" s="85"/>
    </row>
    <row r="55" spans="15:22" ht="14.9" customHeight="1">
      <c r="O55" s="187"/>
    </row>
    <row r="56" spans="15:22" ht="14.9" customHeight="1">
      <c r="O56" s="187"/>
    </row>
    <row r="57" spans="15:22" ht="14.9" customHeight="1">
      <c r="V57" s="187"/>
    </row>
    <row r="58" spans="15:22">
      <c r="V58" s="187"/>
    </row>
    <row r="59" spans="15:22" ht="14.9" customHeight="1">
      <c r="V59" s="187"/>
    </row>
    <row r="61" spans="15:22">
      <c r="V61" s="187"/>
    </row>
    <row r="62" spans="15:22" ht="14.9" customHeight="1">
      <c r="P62" s="76"/>
      <c r="V62" s="187"/>
    </row>
    <row r="63" spans="15:22" ht="14.9" customHeight="1">
      <c r="P63" s="76"/>
      <c r="V63" s="187"/>
    </row>
    <row r="64" spans="15:22" ht="14.9" customHeight="1">
      <c r="T64" s="87"/>
    </row>
    <row r="67" spans="9:9" ht="15">
      <c r="I67" s="62"/>
    </row>
    <row r="72" spans="9:9" ht="15">
      <c r="I72" s="62"/>
    </row>
    <row r="82" spans="16:16" ht="15">
      <c r="P82" s="62"/>
    </row>
    <row r="83" spans="16:16" ht="15">
      <c r="P83" s="62"/>
    </row>
    <row r="84" spans="16:16" ht="15">
      <c r="P84" s="62"/>
    </row>
    <row r="85" spans="16:16" ht="15.5">
      <c r="P85" s="64"/>
    </row>
  </sheetData>
  <mergeCells count="3">
    <mergeCell ref="O53:O56"/>
    <mergeCell ref="V57:V59"/>
    <mergeCell ref="V61:V63"/>
  </mergeCells>
  <printOptions horizontalCentered="1"/>
  <pageMargins left="0.2" right="0.2" top="0.75" bottom="0.75" header="0.3" footer="0.3"/>
  <pageSetup paperSize="9" scale="5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B30E-A266-4B3B-9CF9-57E76DD90B97}">
  <sheetPr>
    <tabColor theme="7"/>
  </sheetPr>
  <dimension ref="E48:T79"/>
  <sheetViews>
    <sheetView showGridLines="0" topLeftCell="A16" zoomScale="80" zoomScaleNormal="80" workbookViewId="0">
      <selection activeCell="D36" sqref="D36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91"/>
    </row>
    <row r="49" spans="15:20">
      <c r="Q49" s="191"/>
    </row>
    <row r="50" spans="15:20" ht="21" customHeight="1">
      <c r="Q50" s="191"/>
    </row>
    <row r="51" spans="15:20" ht="14.9" customHeight="1">
      <c r="O51" s="187"/>
      <c r="Q51" s="191"/>
    </row>
    <row r="52" spans="15:20" ht="14.9" customHeight="1">
      <c r="O52" s="187"/>
      <c r="Q52" s="191"/>
    </row>
    <row r="53" spans="15:20" ht="14.9" customHeight="1">
      <c r="O53" s="187"/>
      <c r="Q53" s="175"/>
    </row>
    <row r="54" spans="15:20" ht="14.9" customHeight="1">
      <c r="O54" s="187"/>
      <c r="Q54" s="88"/>
    </row>
    <row r="55" spans="15:20" ht="14.9" customHeight="1">
      <c r="Q55" s="192"/>
      <c r="T55" s="187"/>
    </row>
    <row r="56" spans="15:20" ht="14.9" customHeight="1">
      <c r="Q56" s="192"/>
      <c r="T56" s="187"/>
    </row>
    <row r="57" spans="15:20" ht="14.9" customHeight="1">
      <c r="T57" s="187"/>
    </row>
    <row r="59" spans="15:20" ht="14.9" customHeight="1">
      <c r="T59" s="187"/>
    </row>
    <row r="60" spans="15:20" ht="24" customHeight="1">
      <c r="T60" s="187"/>
    </row>
    <row r="61" spans="15:20" ht="14.9" customHeight="1">
      <c r="T61" s="187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>
      <c r="Q66" s="76"/>
    </row>
    <row r="67" spans="5:17" ht="14.9" customHeight="1"/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90"/>
      <c r="N79" s="190"/>
    </row>
  </sheetData>
  <mergeCells count="6">
    <mergeCell ref="M79:N79"/>
    <mergeCell ref="O51:O54"/>
    <mergeCell ref="T55:T57"/>
    <mergeCell ref="Q48:Q52"/>
    <mergeCell ref="T59:T61"/>
    <mergeCell ref="Q55:Q56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A03C-74EB-4E2F-AEA5-6692C88F91C8}">
  <dimension ref="A1:FS32"/>
  <sheetViews>
    <sheetView showGridLines="0" topLeftCell="D3" zoomScale="90" zoomScaleNormal="90" workbookViewId="0">
      <pane xSplit="3" ySplit="3" topLeftCell="AK6" activePane="bottomRight" state="frozen"/>
      <selection activeCell="CA28" sqref="CA28"/>
      <selection pane="topRight" activeCell="CA28" sqref="CA28"/>
      <selection pane="bottomLeft" activeCell="CA28" sqref="CA28"/>
      <selection pane="bottomRight" activeCell="FR17" sqref="FR17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2.81640625" style="1" hidden="1" customWidth="1"/>
    <col min="7" max="7" width="10.54296875" style="1" hidden="1" customWidth="1"/>
    <col min="8" max="8" width="28.1796875" style="1" bestFit="1" customWidth="1"/>
    <col min="9" max="9" width="10.81640625" style="3" hidden="1" customWidth="1"/>
    <col min="10" max="13" width="10.1796875" style="3" hidden="1" customWidth="1"/>
    <col min="14" max="24" width="9.54296875" style="3" hidden="1" customWidth="1"/>
    <col min="25" max="25" width="9.54296875" style="3" customWidth="1"/>
    <col min="26" max="40" width="7.81640625" style="3" customWidth="1"/>
    <col min="41" max="42" width="9.1796875" style="1"/>
    <col min="43" max="43" width="0" style="1" hidden="1" customWidth="1"/>
    <col min="44" max="44" width="18.81640625" style="1" customWidth="1"/>
    <col min="45" max="61" width="0" style="1" hidden="1" customWidth="1"/>
    <col min="62" max="162" width="7.81640625" style="1" hidden="1" customWidth="1"/>
    <col min="163" max="167" width="7.81640625" style="1" customWidth="1"/>
    <col min="168" max="16384" width="9.1796875" style="1"/>
  </cols>
  <sheetData>
    <row r="1" spans="1:175" hidden="1"/>
    <row r="2" spans="1:175" hidden="1"/>
    <row r="3" spans="1:175" ht="19.399999999999999" customHeight="1">
      <c r="D3" s="15" t="s">
        <v>58</v>
      </c>
      <c r="F3" s="15" t="s">
        <v>58</v>
      </c>
      <c r="H3" s="15"/>
      <c r="AS3" s="170">
        <v>2023</v>
      </c>
      <c r="BJ3" s="170">
        <v>2024</v>
      </c>
    </row>
    <row r="4" spans="1:175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154">
        <v>24000</v>
      </c>
      <c r="J4" s="154">
        <v>24000</v>
      </c>
      <c r="K4" s="154">
        <v>24000</v>
      </c>
      <c r="L4" s="154">
        <v>24000</v>
      </c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>
        <v>24000</v>
      </c>
      <c r="AY4" s="74">
        <v>24000</v>
      </c>
      <c r="AZ4" s="74">
        <v>24000</v>
      </c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/>
      <c r="BO4" s="74"/>
      <c r="BP4" s="74"/>
      <c r="BQ4" s="74"/>
      <c r="BR4" s="74"/>
      <c r="BS4" s="74"/>
      <c r="BT4" s="74"/>
      <c r="DH4" s="178">
        <v>2025</v>
      </c>
      <c r="FG4" s="178">
        <v>2026</v>
      </c>
    </row>
    <row r="5" spans="1:175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90">
        <v>9</v>
      </c>
      <c r="J5" s="90">
        <v>10</v>
      </c>
      <c r="K5" s="101">
        <v>11</v>
      </c>
      <c r="L5" s="101">
        <v>12</v>
      </c>
      <c r="M5" s="101" t="s">
        <v>122</v>
      </c>
      <c r="N5" s="101">
        <v>2</v>
      </c>
      <c r="O5" s="101">
        <v>3</v>
      </c>
      <c r="P5" s="101">
        <v>4</v>
      </c>
      <c r="Q5" s="101">
        <v>5</v>
      </c>
      <c r="R5" s="101">
        <v>6</v>
      </c>
      <c r="S5" s="101">
        <v>7</v>
      </c>
      <c r="T5" s="101">
        <v>8</v>
      </c>
      <c r="U5" s="101">
        <v>9</v>
      </c>
      <c r="V5" s="101">
        <v>10</v>
      </c>
      <c r="W5" s="101">
        <v>11</v>
      </c>
      <c r="X5" s="101">
        <v>12</v>
      </c>
      <c r="Y5" s="101" t="s">
        <v>174</v>
      </c>
      <c r="Z5" s="101">
        <v>2</v>
      </c>
      <c r="AA5" s="101">
        <v>3</v>
      </c>
      <c r="AB5" s="101">
        <v>4</v>
      </c>
      <c r="AC5" s="101">
        <v>5</v>
      </c>
      <c r="AD5" s="101">
        <v>6</v>
      </c>
      <c r="AE5" s="101">
        <v>7</v>
      </c>
      <c r="AF5" s="101">
        <v>8</v>
      </c>
      <c r="AG5" s="101">
        <v>9</v>
      </c>
      <c r="AH5" s="101">
        <v>10</v>
      </c>
      <c r="AI5" s="101">
        <v>11</v>
      </c>
      <c r="AJ5" s="101">
        <v>12</v>
      </c>
      <c r="AK5" s="101" t="s">
        <v>198</v>
      </c>
      <c r="AL5" s="101">
        <v>2</v>
      </c>
      <c r="AM5" s="101">
        <v>3</v>
      </c>
      <c r="AN5" s="101">
        <v>4</v>
      </c>
      <c r="AP5" s="34" t="s">
        <v>5</v>
      </c>
      <c r="AQ5" s="33" t="s">
        <v>6</v>
      </c>
      <c r="AR5" s="33" t="s">
        <v>2</v>
      </c>
      <c r="AS5" s="101">
        <v>36</v>
      </c>
      <c r="AT5" s="101">
        <v>37</v>
      </c>
      <c r="AU5" s="101">
        <v>38</v>
      </c>
      <c r="AV5" s="101">
        <v>39</v>
      </c>
      <c r="AW5" s="101">
        <v>40</v>
      </c>
      <c r="AX5" s="101">
        <v>41</v>
      </c>
      <c r="AY5" s="101">
        <v>42</v>
      </c>
      <c r="AZ5" s="101">
        <v>43</v>
      </c>
      <c r="BA5" s="101">
        <v>44</v>
      </c>
      <c r="BB5" s="101">
        <v>45</v>
      </c>
      <c r="BC5" s="101">
        <v>46</v>
      </c>
      <c r="BD5" s="101">
        <v>47</v>
      </c>
      <c r="BE5" s="101">
        <v>48</v>
      </c>
      <c r="BF5" s="101">
        <v>49</v>
      </c>
      <c r="BG5" s="101">
        <v>50</v>
      </c>
      <c r="BH5" s="101">
        <v>51</v>
      </c>
      <c r="BI5" s="101">
        <v>52</v>
      </c>
      <c r="BJ5" s="101" t="s">
        <v>117</v>
      </c>
      <c r="BK5" s="90" t="s">
        <v>123</v>
      </c>
      <c r="BL5" s="90" t="s">
        <v>124</v>
      </c>
      <c r="BM5" s="90" t="s">
        <v>125</v>
      </c>
      <c r="BN5" s="90" t="s">
        <v>126</v>
      </c>
      <c r="BO5" s="90" t="s">
        <v>142</v>
      </c>
      <c r="BP5" s="90" t="s">
        <v>143</v>
      </c>
      <c r="BQ5" s="90" t="s">
        <v>144</v>
      </c>
      <c r="BR5" s="90" t="s">
        <v>145</v>
      </c>
      <c r="BS5" s="90" t="s">
        <v>146</v>
      </c>
      <c r="BT5" s="90">
        <v>13</v>
      </c>
      <c r="BU5" s="90">
        <v>14</v>
      </c>
      <c r="BV5" s="90">
        <v>15</v>
      </c>
      <c r="BW5" s="90">
        <v>16</v>
      </c>
      <c r="BX5" s="90">
        <v>17</v>
      </c>
      <c r="BY5" s="90">
        <v>18</v>
      </c>
      <c r="BZ5" s="90">
        <v>19</v>
      </c>
      <c r="CA5" s="90">
        <v>20</v>
      </c>
      <c r="CB5" s="90">
        <v>21</v>
      </c>
      <c r="CC5" s="90">
        <v>22</v>
      </c>
      <c r="CD5" s="90">
        <v>23</v>
      </c>
      <c r="CE5" s="90">
        <v>24</v>
      </c>
      <c r="CF5" s="90">
        <v>25</v>
      </c>
      <c r="CG5" s="90">
        <v>26</v>
      </c>
      <c r="CH5" s="90">
        <v>27</v>
      </c>
      <c r="CI5" s="90">
        <v>28</v>
      </c>
      <c r="CJ5" s="90">
        <v>29</v>
      </c>
      <c r="CK5" s="90">
        <v>30</v>
      </c>
      <c r="CL5" s="90">
        <v>31</v>
      </c>
      <c r="CM5" s="90">
        <v>32</v>
      </c>
      <c r="CN5" s="90">
        <v>33</v>
      </c>
      <c r="CO5" s="90">
        <v>34</v>
      </c>
      <c r="CP5" s="90">
        <v>35</v>
      </c>
      <c r="CQ5" s="90">
        <v>36</v>
      </c>
      <c r="CR5" s="90">
        <v>37</v>
      </c>
      <c r="CS5" s="90">
        <v>38</v>
      </c>
      <c r="CT5" s="90">
        <v>39</v>
      </c>
      <c r="CU5" s="90">
        <v>40</v>
      </c>
      <c r="CV5" s="90">
        <v>41</v>
      </c>
      <c r="CW5" s="90">
        <v>42</v>
      </c>
      <c r="CX5" s="90">
        <v>43</v>
      </c>
      <c r="CY5" s="90">
        <v>44</v>
      </c>
      <c r="CZ5" s="90">
        <v>45</v>
      </c>
      <c r="DA5" s="90">
        <v>46</v>
      </c>
      <c r="DB5" s="90">
        <v>47</v>
      </c>
      <c r="DC5" s="90">
        <v>48</v>
      </c>
      <c r="DD5" s="90">
        <v>49</v>
      </c>
      <c r="DE5" s="90">
        <v>50</v>
      </c>
      <c r="DF5" s="90">
        <v>51</v>
      </c>
      <c r="DG5" s="90">
        <v>52</v>
      </c>
      <c r="DH5" s="90" t="s">
        <v>121</v>
      </c>
      <c r="DI5" s="90" t="s">
        <v>123</v>
      </c>
      <c r="DJ5" s="90" t="s">
        <v>124</v>
      </c>
      <c r="DK5" s="90" t="s">
        <v>125</v>
      </c>
      <c r="DL5" s="90" t="s">
        <v>175</v>
      </c>
      <c r="DM5" s="90" t="s">
        <v>177</v>
      </c>
      <c r="DN5" s="90" t="s">
        <v>142</v>
      </c>
      <c r="DO5" s="90" t="s">
        <v>143</v>
      </c>
      <c r="DP5" s="90" t="s">
        <v>144</v>
      </c>
      <c r="DQ5" s="90" t="s">
        <v>145</v>
      </c>
      <c r="DR5" s="90" t="s">
        <v>146</v>
      </c>
      <c r="DS5" s="90" t="s">
        <v>147</v>
      </c>
      <c r="DT5" s="90" t="s">
        <v>148</v>
      </c>
      <c r="DU5" s="90" t="s">
        <v>149</v>
      </c>
      <c r="DV5" s="90" t="s">
        <v>150</v>
      </c>
      <c r="DW5" s="90" t="s">
        <v>151</v>
      </c>
      <c r="DX5" s="90" t="s">
        <v>152</v>
      </c>
      <c r="DY5" s="90" t="s">
        <v>153</v>
      </c>
      <c r="DZ5" s="90" t="s">
        <v>154</v>
      </c>
      <c r="EA5" s="90" t="s">
        <v>155</v>
      </c>
      <c r="EB5" s="90" t="s">
        <v>162</v>
      </c>
      <c r="EC5" s="90" t="s">
        <v>163</v>
      </c>
      <c r="ED5" s="90" t="s">
        <v>164</v>
      </c>
      <c r="EE5" s="90" t="s">
        <v>165</v>
      </c>
      <c r="EF5" s="90" t="s">
        <v>166</v>
      </c>
      <c r="EG5" s="90" t="s">
        <v>167</v>
      </c>
      <c r="EH5" s="90" t="s">
        <v>168</v>
      </c>
      <c r="EI5" s="90" t="s">
        <v>169</v>
      </c>
      <c r="EJ5" s="90" t="s">
        <v>170</v>
      </c>
      <c r="EK5" s="90" t="s">
        <v>171</v>
      </c>
      <c r="EL5" s="90" t="s">
        <v>172</v>
      </c>
      <c r="EM5" s="90" t="s">
        <v>173</v>
      </c>
      <c r="EN5" s="90" t="s">
        <v>179</v>
      </c>
      <c r="EO5" s="90" t="s">
        <v>180</v>
      </c>
      <c r="EP5" s="90" t="s">
        <v>181</v>
      </c>
      <c r="EQ5" s="90" t="s">
        <v>182</v>
      </c>
      <c r="ER5" s="90" t="s">
        <v>183</v>
      </c>
      <c r="ES5" s="90" t="s">
        <v>184</v>
      </c>
      <c r="ET5" s="90" t="s">
        <v>185</v>
      </c>
      <c r="EU5" s="90" t="s">
        <v>186</v>
      </c>
      <c r="EV5" s="90" t="s">
        <v>187</v>
      </c>
      <c r="EW5" s="90" t="s">
        <v>188</v>
      </c>
      <c r="EX5" s="90" t="s">
        <v>189</v>
      </c>
      <c r="EY5" s="90" t="s">
        <v>190</v>
      </c>
      <c r="EZ5" s="90" t="s">
        <v>191</v>
      </c>
      <c r="FA5" s="90" t="s">
        <v>192</v>
      </c>
      <c r="FB5" s="90" t="s">
        <v>193</v>
      </c>
      <c r="FC5" s="90" t="s">
        <v>194</v>
      </c>
      <c r="FD5" s="90" t="s">
        <v>195</v>
      </c>
      <c r="FE5" s="90" t="s">
        <v>196</v>
      </c>
      <c r="FF5" s="90" t="s">
        <v>197</v>
      </c>
      <c r="FG5" s="90" t="s">
        <v>121</v>
      </c>
      <c r="FH5" s="90" t="s">
        <v>123</v>
      </c>
      <c r="FI5" s="90" t="s">
        <v>124</v>
      </c>
      <c r="FJ5" s="90" t="s">
        <v>125</v>
      </c>
      <c r="FK5" s="90" t="s">
        <v>126</v>
      </c>
      <c r="FL5" s="90" t="s">
        <v>175</v>
      </c>
      <c r="FM5" s="90" t="s">
        <v>177</v>
      </c>
      <c r="FN5" s="90" t="s">
        <v>142</v>
      </c>
      <c r="FO5" s="90" t="s">
        <v>143</v>
      </c>
      <c r="FP5" s="90" t="s">
        <v>144</v>
      </c>
      <c r="FQ5" s="90" t="s">
        <v>145</v>
      </c>
      <c r="FR5" s="90" t="s">
        <v>146</v>
      </c>
      <c r="FS5" s="90" t="s">
        <v>147</v>
      </c>
    </row>
    <row r="6" spans="1:175" ht="14">
      <c r="A6" s="9"/>
      <c r="B6" s="11"/>
      <c r="C6" s="11"/>
      <c r="D6" s="9"/>
      <c r="E6" s="11"/>
      <c r="F6" s="11"/>
      <c r="G6" s="9"/>
      <c r="H6" s="11" t="s">
        <v>136</v>
      </c>
      <c r="I6" s="155"/>
      <c r="J6" s="155">
        <f>'Ma trận PET'!AU6</f>
        <v>1250</v>
      </c>
      <c r="K6" s="155">
        <f>'Ma trận PET'!AV6</f>
        <v>1250</v>
      </c>
      <c r="L6" s="155">
        <f>'Ma trận PET'!AW6</f>
        <v>1250</v>
      </c>
      <c r="M6" s="155">
        <f>'Ma trận PET'!AX6</f>
        <v>1250</v>
      </c>
      <c r="N6" s="155">
        <f>'Ma trận PET'!AY6</f>
        <v>1250</v>
      </c>
      <c r="O6" s="155">
        <f>'Ma trận PET'!AZ6</f>
        <v>1250</v>
      </c>
      <c r="P6" s="155">
        <f>'Ma trận PET'!BA6</f>
        <v>1250</v>
      </c>
      <c r="Q6" s="155">
        <f>'Ma trận PET'!BB6</f>
        <v>1300</v>
      </c>
      <c r="R6" s="155">
        <f>'Ma trận PET'!BC6</f>
        <v>1300</v>
      </c>
      <c r="S6" s="155">
        <f>'Ma trận PET'!BD6</f>
        <v>1300</v>
      </c>
      <c r="T6" s="155">
        <f>'Ma trận PET'!BE6</f>
        <v>1300</v>
      </c>
      <c r="U6" s="155">
        <f>'Ma trận PET'!BF6</f>
        <v>1310</v>
      </c>
      <c r="V6" s="155">
        <f>U6+15</f>
        <v>1325</v>
      </c>
      <c r="W6" s="155">
        <f>V6</f>
        <v>1325</v>
      </c>
      <c r="X6" s="155">
        <f>W6-50</f>
        <v>1275</v>
      </c>
      <c r="Y6" s="155">
        <f>X6-45</f>
        <v>1230</v>
      </c>
      <c r="Z6" s="155">
        <f>Y6</f>
        <v>1230</v>
      </c>
      <c r="AA6" s="155">
        <f>Z6</f>
        <v>1230</v>
      </c>
      <c r="AB6" s="155">
        <f>AA6+20</f>
        <v>1250</v>
      </c>
      <c r="AC6" s="155">
        <f>AB6</f>
        <v>1250</v>
      </c>
      <c r="AD6" s="155">
        <f>AC6</f>
        <v>1250</v>
      </c>
      <c r="AE6" s="155">
        <f>AD6</f>
        <v>1250</v>
      </c>
      <c r="AF6" s="155">
        <f>AE6-20-10</f>
        <v>1220</v>
      </c>
      <c r="AG6" s="155">
        <f>AF6</f>
        <v>1220</v>
      </c>
      <c r="AH6" s="155">
        <v>1210</v>
      </c>
      <c r="AI6" s="155">
        <v>1200</v>
      </c>
      <c r="AJ6" s="155">
        <v>1200</v>
      </c>
      <c r="AK6" s="155">
        <v>1160</v>
      </c>
      <c r="AL6" s="155">
        <v>1160</v>
      </c>
      <c r="AM6" s="155">
        <v>1160</v>
      </c>
      <c r="AN6" s="155"/>
      <c r="AP6" s="9"/>
      <c r="AQ6" s="11"/>
      <c r="AR6" s="1" t="s">
        <v>136</v>
      </c>
      <c r="AS6" s="50">
        <f>'Ma trận PET'!FL6</f>
        <v>1250</v>
      </c>
      <c r="AT6" s="50">
        <f>'Ma trận PET'!FM6</f>
        <v>1250</v>
      </c>
      <c r="AU6" s="50">
        <f>'Ma trận PET'!FN6</f>
        <v>1250</v>
      </c>
      <c r="AV6" s="50">
        <f>'Ma trận PET'!FO6</f>
        <v>1250</v>
      </c>
      <c r="AW6" s="50">
        <f>'Ma trận PET'!FP6</f>
        <v>1250</v>
      </c>
      <c r="AX6" s="50">
        <f>'Ma trận PET'!FQ6</f>
        <v>1250</v>
      </c>
      <c r="AY6" s="50">
        <f>'Ma trận PET'!FR6</f>
        <v>1250</v>
      </c>
      <c r="AZ6" s="50">
        <f>'Ma trận PET'!FS6</f>
        <v>1250</v>
      </c>
      <c r="BA6" s="50">
        <f>'Ma trận PET'!FT6</f>
        <v>1250</v>
      </c>
      <c r="BB6" s="50">
        <f>'Ma trận PET'!FU6</f>
        <v>1250</v>
      </c>
      <c r="BC6" s="50">
        <f>'Ma trận PET'!FV6</f>
        <v>1250</v>
      </c>
      <c r="BD6" s="50">
        <f>'Ma trận PET'!FW6</f>
        <v>1250</v>
      </c>
      <c r="BE6" s="50">
        <f>'Ma trận PET'!FX6</f>
        <v>1250</v>
      </c>
      <c r="BF6" s="50">
        <f>'Ma trận PET'!FY6</f>
        <v>1250</v>
      </c>
      <c r="BG6" s="50">
        <f>'Ma trận PET'!FZ6</f>
        <v>1250</v>
      </c>
      <c r="BH6" s="50">
        <f>'Ma trận PET'!GA6</f>
        <v>1250</v>
      </c>
      <c r="BI6" s="50">
        <f>'Ma trận PET'!GB6</f>
        <v>1250</v>
      </c>
      <c r="BJ6" s="50">
        <f>'Ma trận PET'!GC6</f>
        <v>1250</v>
      </c>
      <c r="BK6" s="50">
        <f>'Ma trận PET'!GD6</f>
        <v>1250</v>
      </c>
      <c r="BL6" s="50">
        <f>'Ma trận PET'!GE6</f>
        <v>1250</v>
      </c>
      <c r="BM6" s="50">
        <f>'Ma trận PET'!GF6</f>
        <v>1250</v>
      </c>
      <c r="BN6" s="50">
        <f>'Ma trận PET'!GG6</f>
        <v>1250</v>
      </c>
      <c r="BO6" s="50">
        <v>1250</v>
      </c>
      <c r="BP6" s="50">
        <v>1250</v>
      </c>
      <c r="BQ6" s="50">
        <v>1250</v>
      </c>
      <c r="BR6" s="50">
        <v>1250</v>
      </c>
      <c r="BS6" s="50">
        <v>1250</v>
      </c>
      <c r="BT6" s="50">
        <v>1250</v>
      </c>
      <c r="BU6" s="50">
        <v>1250</v>
      </c>
      <c r="BV6" s="50">
        <v>1250</v>
      </c>
      <c r="BW6" s="50">
        <v>1250</v>
      </c>
      <c r="BX6" s="50">
        <v>1250</v>
      </c>
      <c r="BY6" s="50">
        <v>1300</v>
      </c>
      <c r="BZ6" s="50">
        <v>1300</v>
      </c>
      <c r="CA6" s="50">
        <v>1300</v>
      </c>
      <c r="CB6" s="50">
        <v>1300</v>
      </c>
      <c r="CC6" s="50">
        <v>1300</v>
      </c>
      <c r="CD6" s="50">
        <v>1300</v>
      </c>
      <c r="CE6" s="50">
        <v>1300</v>
      </c>
      <c r="CF6" s="50">
        <v>1300</v>
      </c>
      <c r="CG6" s="50">
        <v>1300</v>
      </c>
      <c r="CH6" s="50">
        <v>1300</v>
      </c>
      <c r="CI6" s="50">
        <v>1300</v>
      </c>
      <c r="CJ6" s="50">
        <v>1300</v>
      </c>
      <c r="CK6" s="50">
        <v>1300</v>
      </c>
      <c r="CL6" s="50">
        <v>1300</v>
      </c>
      <c r="CM6" s="50">
        <v>1300</v>
      </c>
      <c r="CN6" s="50">
        <v>1300</v>
      </c>
      <c r="CO6" s="50">
        <v>1300</v>
      </c>
      <c r="CP6" s="50">
        <v>1300</v>
      </c>
      <c r="CQ6" s="50">
        <v>1310</v>
      </c>
      <c r="CR6" s="50">
        <v>1310</v>
      </c>
      <c r="CS6" s="50">
        <v>1310</v>
      </c>
      <c r="CT6" s="50">
        <v>1310</v>
      </c>
      <c r="CU6" s="50">
        <v>1325</v>
      </c>
      <c r="CV6" s="50">
        <v>1325</v>
      </c>
      <c r="CW6" s="50">
        <v>1325</v>
      </c>
      <c r="CX6" s="50">
        <v>1325</v>
      </c>
      <c r="CY6" s="50">
        <v>1325</v>
      </c>
      <c r="CZ6" s="50">
        <v>1325</v>
      </c>
      <c r="DA6" s="50">
        <v>1325</v>
      </c>
      <c r="DB6" s="50">
        <v>1325</v>
      </c>
      <c r="DC6" s="50">
        <v>1325</v>
      </c>
      <c r="DD6" s="50">
        <f>1325-50</f>
        <v>1275</v>
      </c>
      <c r="DE6" s="50">
        <f t="shared" ref="DE6:DG6" si="0">1325-50</f>
        <v>1275</v>
      </c>
      <c r="DF6" s="50">
        <f t="shared" si="0"/>
        <v>1275</v>
      </c>
      <c r="DG6" s="50">
        <f t="shared" si="0"/>
        <v>1275</v>
      </c>
      <c r="DH6" s="50">
        <f>1325-50-45</f>
        <v>1230</v>
      </c>
      <c r="DI6" s="50">
        <f t="shared" ref="DI6:DS6" si="1">1325-50-45</f>
        <v>1230</v>
      </c>
      <c r="DJ6" s="50">
        <f t="shared" si="1"/>
        <v>1230</v>
      </c>
      <c r="DK6" s="50">
        <f t="shared" si="1"/>
        <v>1230</v>
      </c>
      <c r="DL6" s="50">
        <f t="shared" si="1"/>
        <v>1230</v>
      </c>
      <c r="DM6" s="50">
        <f t="shared" si="1"/>
        <v>1230</v>
      </c>
      <c r="DN6" s="50">
        <f t="shared" si="1"/>
        <v>1230</v>
      </c>
      <c r="DO6" s="50">
        <f t="shared" si="1"/>
        <v>1230</v>
      </c>
      <c r="DP6" s="50">
        <f t="shared" si="1"/>
        <v>1230</v>
      </c>
      <c r="DQ6" s="50">
        <f t="shared" si="1"/>
        <v>1230</v>
      </c>
      <c r="DR6" s="50">
        <f t="shared" si="1"/>
        <v>1230</v>
      </c>
      <c r="DS6" s="50">
        <f t="shared" si="1"/>
        <v>1230</v>
      </c>
      <c r="DT6" s="50">
        <f>1325-50-45+20</f>
        <v>1250</v>
      </c>
      <c r="DU6" s="50">
        <f t="shared" ref="DU6:EK6" si="2">1325-50-45+20</f>
        <v>1250</v>
      </c>
      <c r="DV6" s="50">
        <f t="shared" si="2"/>
        <v>1250</v>
      </c>
      <c r="DW6" s="50">
        <f t="shared" si="2"/>
        <v>1250</v>
      </c>
      <c r="DX6" s="50">
        <f t="shared" si="2"/>
        <v>1250</v>
      </c>
      <c r="DY6" s="50">
        <f t="shared" si="2"/>
        <v>1250</v>
      </c>
      <c r="DZ6" s="50">
        <f t="shared" si="2"/>
        <v>1250</v>
      </c>
      <c r="EA6" s="50">
        <f t="shared" si="2"/>
        <v>1250</v>
      </c>
      <c r="EB6" s="50">
        <f t="shared" si="2"/>
        <v>1250</v>
      </c>
      <c r="EC6" s="50">
        <f t="shared" si="2"/>
        <v>1250</v>
      </c>
      <c r="ED6" s="50">
        <f t="shared" si="2"/>
        <v>1250</v>
      </c>
      <c r="EE6" s="50">
        <f t="shared" si="2"/>
        <v>1250</v>
      </c>
      <c r="EF6" s="50">
        <f t="shared" si="2"/>
        <v>1250</v>
      </c>
      <c r="EG6" s="50">
        <f t="shared" si="2"/>
        <v>1250</v>
      </c>
      <c r="EH6" s="50">
        <f t="shared" si="2"/>
        <v>1250</v>
      </c>
      <c r="EI6" s="50">
        <f t="shared" si="2"/>
        <v>1250</v>
      </c>
      <c r="EJ6" s="50">
        <f t="shared" si="2"/>
        <v>1250</v>
      </c>
      <c r="EK6" s="50">
        <f t="shared" si="2"/>
        <v>1250</v>
      </c>
      <c r="EL6" s="50">
        <f>1325-50-45+20-20-10</f>
        <v>1220</v>
      </c>
      <c r="EM6" s="50">
        <f t="shared" ref="EM6:ES6" si="3">1325-50-45+20-20-10</f>
        <v>1220</v>
      </c>
      <c r="EN6" s="50">
        <f t="shared" si="3"/>
        <v>1220</v>
      </c>
      <c r="EO6" s="50">
        <f t="shared" si="3"/>
        <v>1220</v>
      </c>
      <c r="EP6" s="50">
        <f t="shared" si="3"/>
        <v>1220</v>
      </c>
      <c r="EQ6" s="50">
        <f t="shared" si="3"/>
        <v>1220</v>
      </c>
      <c r="ER6" s="50">
        <f t="shared" si="3"/>
        <v>1220</v>
      </c>
      <c r="ES6" s="50">
        <f t="shared" si="3"/>
        <v>1220</v>
      </c>
      <c r="ET6" s="50">
        <f>1325-50-45+20-20-10-10</f>
        <v>1210</v>
      </c>
      <c r="EU6" s="50">
        <f t="shared" ref="EU6:EX6" si="4">1325-50-45+20-20-10-10</f>
        <v>1210</v>
      </c>
      <c r="EV6" s="50">
        <f t="shared" si="4"/>
        <v>1210</v>
      </c>
      <c r="EW6" s="50">
        <f t="shared" si="4"/>
        <v>1210</v>
      </c>
      <c r="EX6" s="50">
        <f t="shared" si="4"/>
        <v>1210</v>
      </c>
      <c r="EY6" s="50">
        <f>1325-50-45+20-20-10-10-10</f>
        <v>1200</v>
      </c>
      <c r="EZ6" s="50">
        <f t="shared" ref="EZ6:FF6" si="5">1325-50-45+20-20-10-10-10</f>
        <v>1200</v>
      </c>
      <c r="FA6" s="50">
        <f t="shared" si="5"/>
        <v>1200</v>
      </c>
      <c r="FB6" s="50">
        <f t="shared" si="5"/>
        <v>1200</v>
      </c>
      <c r="FC6" s="50">
        <f t="shared" si="5"/>
        <v>1200</v>
      </c>
      <c r="FD6" s="50">
        <f t="shared" si="5"/>
        <v>1200</v>
      </c>
      <c r="FE6" s="50">
        <f t="shared" si="5"/>
        <v>1200</v>
      </c>
      <c r="FF6" s="50">
        <f t="shared" si="5"/>
        <v>1200</v>
      </c>
      <c r="FG6" s="50">
        <f>1325-50-45+20-20-10-10-10-40</f>
        <v>1160</v>
      </c>
      <c r="FH6" s="50">
        <f t="shared" ref="FH6:FQ6" si="6">1325-50-45+20-20-10-10-10-40</f>
        <v>1160</v>
      </c>
      <c r="FI6" s="50">
        <f t="shared" si="6"/>
        <v>1160</v>
      </c>
      <c r="FJ6" s="50">
        <f t="shared" si="6"/>
        <v>1160</v>
      </c>
      <c r="FK6" s="50">
        <f t="shared" si="6"/>
        <v>1160</v>
      </c>
      <c r="FL6" s="50">
        <f t="shared" si="6"/>
        <v>1160</v>
      </c>
      <c r="FM6" s="50">
        <f t="shared" si="6"/>
        <v>1160</v>
      </c>
      <c r="FN6" s="50">
        <f t="shared" si="6"/>
        <v>1160</v>
      </c>
      <c r="FO6" s="50">
        <f t="shared" si="6"/>
        <v>1160</v>
      </c>
      <c r="FP6" s="50">
        <f t="shared" si="6"/>
        <v>1160</v>
      </c>
      <c r="FQ6" s="50">
        <f t="shared" si="6"/>
        <v>1160</v>
      </c>
      <c r="FR6" s="50">
        <f>1325-50-45+20-20-10-10-10-40+50</f>
        <v>1210</v>
      </c>
      <c r="FS6" s="50">
        <v>1280</v>
      </c>
    </row>
    <row r="7" spans="1:175" ht="14">
      <c r="A7" s="9">
        <v>5</v>
      </c>
      <c r="B7" s="11" t="s">
        <v>25</v>
      </c>
      <c r="C7" s="11" t="s">
        <v>26</v>
      </c>
      <c r="D7" s="9"/>
      <c r="E7" s="11" t="s">
        <v>28</v>
      </c>
      <c r="F7" s="11" t="s">
        <v>127</v>
      </c>
      <c r="G7" s="9" t="s">
        <v>24</v>
      </c>
      <c r="H7" s="11" t="s">
        <v>132</v>
      </c>
      <c r="I7" s="155">
        <v>1050</v>
      </c>
      <c r="J7" s="155">
        <v>1050</v>
      </c>
      <c r="K7" s="155">
        <v>1050</v>
      </c>
      <c r="L7" s="155">
        <v>1050</v>
      </c>
      <c r="M7" s="155">
        <v>1050</v>
      </c>
      <c r="N7" s="155">
        <v>1050</v>
      </c>
      <c r="O7" s="155">
        <v>1050</v>
      </c>
      <c r="P7" s="155">
        <v>1050</v>
      </c>
      <c r="Q7" s="155">
        <v>1100</v>
      </c>
      <c r="R7" s="155">
        <v>1100</v>
      </c>
      <c r="S7" s="155">
        <v>1100</v>
      </c>
      <c r="T7" s="155">
        <v>1100</v>
      </c>
      <c r="U7" s="155">
        <v>1100</v>
      </c>
      <c r="V7" s="155">
        <v>1100</v>
      </c>
      <c r="W7" s="155">
        <v>1100</v>
      </c>
      <c r="X7" s="155">
        <v>1100</v>
      </c>
      <c r="Y7" s="155">
        <v>1100</v>
      </c>
      <c r="Z7" s="155">
        <v>1100</v>
      </c>
      <c r="AA7" s="155">
        <v>1100</v>
      </c>
      <c r="AB7" s="155">
        <v>1120</v>
      </c>
      <c r="AC7" s="155">
        <v>1120</v>
      </c>
      <c r="AD7" s="155">
        <v>1120</v>
      </c>
      <c r="AE7" s="155">
        <f t="shared" ref="AE7:AJ7" si="7">+AE6-130</f>
        <v>1120</v>
      </c>
      <c r="AF7" s="155">
        <f t="shared" si="7"/>
        <v>1090</v>
      </c>
      <c r="AG7" s="155">
        <f t="shared" si="7"/>
        <v>1090</v>
      </c>
      <c r="AH7" s="155">
        <f t="shared" si="7"/>
        <v>1080</v>
      </c>
      <c r="AI7" s="155">
        <f t="shared" si="7"/>
        <v>1070</v>
      </c>
      <c r="AJ7" s="155">
        <f t="shared" si="7"/>
        <v>1070</v>
      </c>
      <c r="AK7" s="155">
        <f t="shared" ref="AK7:AL7" si="8">+AK6-130</f>
        <v>1030</v>
      </c>
      <c r="AL7" s="155">
        <f t="shared" si="8"/>
        <v>1030</v>
      </c>
      <c r="AM7" s="155">
        <f t="shared" ref="AM7:AN7" si="9">+AM6-130</f>
        <v>1030</v>
      </c>
      <c r="AN7" s="155">
        <f t="shared" si="9"/>
        <v>-130</v>
      </c>
      <c r="AP7" s="9"/>
      <c r="AQ7" s="11" t="s">
        <v>28</v>
      </c>
      <c r="AR7" s="112" t="s">
        <v>132</v>
      </c>
      <c r="AS7" s="50">
        <v>1050</v>
      </c>
      <c r="AT7" s="50">
        <v>1050</v>
      </c>
      <c r="AU7" s="50">
        <v>1050</v>
      </c>
      <c r="AV7" s="50">
        <v>1050</v>
      </c>
      <c r="AW7" s="50">
        <v>1050</v>
      </c>
      <c r="AX7" s="50">
        <v>1050</v>
      </c>
      <c r="AY7" s="50">
        <v>1050</v>
      </c>
      <c r="AZ7" s="50">
        <v>1050</v>
      </c>
      <c r="BA7" s="50">
        <v>1050</v>
      </c>
      <c r="BB7" s="50">
        <v>1050</v>
      </c>
      <c r="BC7" s="50">
        <v>1050</v>
      </c>
      <c r="BD7" s="50">
        <v>1050</v>
      </c>
      <c r="BE7" s="50">
        <v>1050</v>
      </c>
      <c r="BF7" s="50">
        <v>1050</v>
      </c>
      <c r="BG7" s="50">
        <v>1050</v>
      </c>
      <c r="BH7" s="50">
        <v>1050</v>
      </c>
      <c r="BI7" s="50">
        <v>1050</v>
      </c>
      <c r="BJ7" s="50">
        <v>1050</v>
      </c>
      <c r="BK7" s="50">
        <v>1050</v>
      </c>
      <c r="BL7" s="50">
        <v>1050</v>
      </c>
      <c r="BM7" s="50">
        <v>1050</v>
      </c>
      <c r="BN7" s="50">
        <v>1050</v>
      </c>
      <c r="BO7" s="50">
        <v>1050</v>
      </c>
      <c r="BP7" s="50">
        <v>1050</v>
      </c>
      <c r="BQ7" s="50">
        <v>1050</v>
      </c>
      <c r="BR7" s="50">
        <v>1050</v>
      </c>
      <c r="BS7" s="50">
        <v>1050</v>
      </c>
      <c r="BT7" s="50">
        <v>1050</v>
      </c>
      <c r="BU7" s="50">
        <v>1050</v>
      </c>
      <c r="BV7" s="50">
        <v>1050</v>
      </c>
      <c r="BW7" s="50">
        <v>1050</v>
      </c>
      <c r="BX7" s="50">
        <v>1050</v>
      </c>
      <c r="BY7" s="50">
        <v>1100</v>
      </c>
      <c r="BZ7" s="50">
        <v>1100</v>
      </c>
      <c r="CA7" s="50">
        <v>1100</v>
      </c>
      <c r="CB7" s="50">
        <v>1100</v>
      </c>
      <c r="CC7" s="50">
        <v>1100</v>
      </c>
      <c r="CD7" s="50">
        <v>1100</v>
      </c>
      <c r="CE7" s="50">
        <v>1100</v>
      </c>
      <c r="CF7" s="50">
        <v>1100</v>
      </c>
      <c r="CG7" s="50">
        <v>1100</v>
      </c>
      <c r="CH7" s="50">
        <v>1100</v>
      </c>
      <c r="CI7" s="50">
        <v>1100</v>
      </c>
      <c r="CJ7" s="50">
        <v>1100</v>
      </c>
      <c r="CK7" s="50">
        <v>1100</v>
      </c>
      <c r="CL7" s="50">
        <v>1100</v>
      </c>
      <c r="CM7" s="50">
        <v>1100</v>
      </c>
      <c r="CN7" s="50">
        <v>1100</v>
      </c>
      <c r="CO7" s="50">
        <v>1100</v>
      </c>
      <c r="CP7" s="50">
        <v>1100</v>
      </c>
      <c r="CQ7" s="50">
        <v>1100</v>
      </c>
      <c r="CR7" s="50">
        <v>1100</v>
      </c>
      <c r="CS7" s="50">
        <v>1100</v>
      </c>
      <c r="CT7" s="50">
        <v>1100</v>
      </c>
      <c r="CU7" s="50">
        <v>1100</v>
      </c>
      <c r="CV7" s="50">
        <v>1100</v>
      </c>
      <c r="CW7" s="50">
        <v>1100</v>
      </c>
      <c r="CX7" s="50">
        <v>1100</v>
      </c>
      <c r="CY7" s="50">
        <v>1100</v>
      </c>
      <c r="CZ7" s="50">
        <v>1100</v>
      </c>
      <c r="DA7" s="50">
        <v>1100</v>
      </c>
      <c r="DB7" s="50">
        <v>1100</v>
      </c>
      <c r="DC7" s="50">
        <v>1100</v>
      </c>
      <c r="DD7" s="50">
        <v>1100</v>
      </c>
      <c r="DE7" s="50">
        <v>1100</v>
      </c>
      <c r="DF7" s="50">
        <v>1100</v>
      </c>
      <c r="DG7" s="50">
        <v>1100</v>
      </c>
      <c r="DH7" s="50">
        <v>1100</v>
      </c>
      <c r="DI7" s="50">
        <v>1100</v>
      </c>
      <c r="DJ7" s="50">
        <v>1100</v>
      </c>
      <c r="DK7" s="50">
        <v>1100</v>
      </c>
      <c r="DL7" s="50">
        <v>1100</v>
      </c>
      <c r="DM7" s="50">
        <v>1100</v>
      </c>
      <c r="DN7" s="50">
        <v>1100</v>
      </c>
      <c r="DO7" s="50">
        <v>1100</v>
      </c>
      <c r="DP7" s="50">
        <v>1100</v>
      </c>
      <c r="DQ7" s="50">
        <v>1100</v>
      </c>
      <c r="DR7" s="50">
        <v>1100</v>
      </c>
      <c r="DS7" s="50">
        <v>1100</v>
      </c>
      <c r="DT7" s="50">
        <v>1120</v>
      </c>
      <c r="DU7" s="50">
        <v>1120</v>
      </c>
      <c r="DV7" s="50">
        <v>1120</v>
      </c>
      <c r="DW7" s="50">
        <v>1120</v>
      </c>
      <c r="DX7" s="50">
        <v>1120</v>
      </c>
      <c r="DY7" s="50">
        <v>1120</v>
      </c>
      <c r="DZ7" s="50">
        <v>1120</v>
      </c>
      <c r="EA7" s="50">
        <v>1120</v>
      </c>
      <c r="EB7" s="50">
        <v>1120</v>
      </c>
      <c r="EC7" s="50">
        <v>1120</v>
      </c>
      <c r="ED7" s="50">
        <v>1120</v>
      </c>
      <c r="EE7" s="50">
        <v>1120</v>
      </c>
      <c r="EF7" s="50">
        <v>1120</v>
      </c>
      <c r="EG7" s="50">
        <v>1120</v>
      </c>
      <c r="EH7" s="50">
        <v>1120</v>
      </c>
      <c r="EI7" s="50">
        <v>1120</v>
      </c>
      <c r="EJ7" s="50">
        <v>1120</v>
      </c>
      <c r="EK7" s="50">
        <v>1120</v>
      </c>
      <c r="EL7" s="50">
        <f>+EL6-130</f>
        <v>1090</v>
      </c>
      <c r="EM7" s="50">
        <f t="shared" ref="EM7:ES7" si="10">+EM6-130</f>
        <v>1090</v>
      </c>
      <c r="EN7" s="50">
        <f t="shared" si="10"/>
        <v>1090</v>
      </c>
      <c r="EO7" s="50">
        <f t="shared" si="10"/>
        <v>1090</v>
      </c>
      <c r="EP7" s="50">
        <f t="shared" si="10"/>
        <v>1090</v>
      </c>
      <c r="EQ7" s="50">
        <f t="shared" si="10"/>
        <v>1090</v>
      </c>
      <c r="ER7" s="50">
        <f t="shared" si="10"/>
        <v>1090</v>
      </c>
      <c r="ES7" s="50">
        <f t="shared" si="10"/>
        <v>1090</v>
      </c>
      <c r="ET7" s="50">
        <f t="shared" ref="ET7:EX7" si="11">+ET6-130</f>
        <v>1080</v>
      </c>
      <c r="EU7" s="50">
        <f t="shared" si="11"/>
        <v>1080</v>
      </c>
      <c r="EV7" s="50">
        <f t="shared" si="11"/>
        <v>1080</v>
      </c>
      <c r="EW7" s="50">
        <f t="shared" si="11"/>
        <v>1080</v>
      </c>
      <c r="EX7" s="50">
        <f t="shared" si="11"/>
        <v>1080</v>
      </c>
      <c r="EY7" s="50">
        <f t="shared" ref="EY7:FB7" si="12">+EY6-130</f>
        <v>1070</v>
      </c>
      <c r="EZ7" s="50">
        <f t="shared" si="12"/>
        <v>1070</v>
      </c>
      <c r="FA7" s="50">
        <f t="shared" si="12"/>
        <v>1070</v>
      </c>
      <c r="FB7" s="50">
        <f t="shared" si="12"/>
        <v>1070</v>
      </c>
      <c r="FC7" s="50">
        <f t="shared" ref="FC7:FF7" si="13">+FC6-130</f>
        <v>1070</v>
      </c>
      <c r="FD7" s="50">
        <f t="shared" si="13"/>
        <v>1070</v>
      </c>
      <c r="FE7" s="50">
        <f t="shared" si="13"/>
        <v>1070</v>
      </c>
      <c r="FF7" s="50">
        <f t="shared" si="13"/>
        <v>1070</v>
      </c>
      <c r="FG7" s="50">
        <f t="shared" ref="FG7:FK7" si="14">+FG6-130</f>
        <v>1030</v>
      </c>
      <c r="FH7" s="50">
        <f t="shared" si="14"/>
        <v>1030</v>
      </c>
      <c r="FI7" s="50">
        <f t="shared" si="14"/>
        <v>1030</v>
      </c>
      <c r="FJ7" s="50">
        <f t="shared" si="14"/>
        <v>1030</v>
      </c>
      <c r="FK7" s="50">
        <f t="shared" si="14"/>
        <v>1030</v>
      </c>
      <c r="FL7" s="50">
        <f t="shared" ref="FL7:FO7" si="15">+FL6-130</f>
        <v>1030</v>
      </c>
      <c r="FM7" s="50">
        <f t="shared" si="15"/>
        <v>1030</v>
      </c>
      <c r="FN7" s="50">
        <f t="shared" si="15"/>
        <v>1030</v>
      </c>
      <c r="FO7" s="50">
        <f t="shared" si="15"/>
        <v>1030</v>
      </c>
      <c r="FP7" s="50">
        <f t="shared" ref="FP7:FR7" si="16">+FP6-130</f>
        <v>1030</v>
      </c>
      <c r="FQ7" s="50">
        <f t="shared" si="16"/>
        <v>1030</v>
      </c>
      <c r="FR7" s="50">
        <f t="shared" si="16"/>
        <v>1080</v>
      </c>
      <c r="FS7" s="50">
        <f>+FS6-130</f>
        <v>1150</v>
      </c>
    </row>
    <row r="8" spans="1:175" s="13" customFormat="1" ht="14" hidden="1">
      <c r="A8" s="54">
        <v>9</v>
      </c>
      <c r="B8" s="55"/>
      <c r="C8" s="55"/>
      <c r="D8" s="106" t="s">
        <v>37</v>
      </c>
      <c r="E8" s="55" t="s">
        <v>38</v>
      </c>
      <c r="F8" s="55" t="s">
        <v>39</v>
      </c>
      <c r="G8" s="54" t="s">
        <v>24</v>
      </c>
      <c r="H8" s="111" t="s">
        <v>37</v>
      </c>
      <c r="I8" s="156">
        <f>SUM(AS8:AV8)/COUNT(AS8:AV8)</f>
        <v>802.75</v>
      </c>
      <c r="J8" s="156">
        <f>SUM(AW8:AZ8)/COUNT(AW8:AZ8)</f>
        <v>801</v>
      </c>
      <c r="K8" s="156">
        <f>SUM(BA8:BD8)/COUNT(BA8:BD8)</f>
        <v>821.5</v>
      </c>
      <c r="L8" s="156">
        <f>SUM(BE8:BH8)/COUNT(BE8:BH8)</f>
        <v>821.5</v>
      </c>
      <c r="M8" s="156">
        <f>SUM(BJ8:BM8)/COUNT(BJ8:BM8)</f>
        <v>804.25</v>
      </c>
      <c r="N8" s="156">
        <f>SUM(BN8:BP8)/COUNT(BN8:BP8)</f>
        <v>787</v>
      </c>
      <c r="O8" s="156">
        <f>SUM(BQ8:BT8)/COUNT(BQ8:BT8)</f>
        <v>815.875</v>
      </c>
      <c r="P8" s="156">
        <f>SUM(BU8:BX8)/COUNT(BU8:BX8)</f>
        <v>831.875</v>
      </c>
      <c r="Q8" s="156">
        <f>SUM(BY8:CC8)/COUNT(BY8:CC8)</f>
        <v>894.5</v>
      </c>
      <c r="R8" s="156">
        <f>SUM(CD8:CG8)/COUNT(CD8:CG8)</f>
        <v>978.5</v>
      </c>
      <c r="S8" s="156">
        <f>SUM(CH8:CK8)/COUNT(CH8:CK8)</f>
        <v>978.5</v>
      </c>
      <c r="T8" s="156">
        <f>SUM(CL8:CP8)/COUNT(CL8:CP8)</f>
        <v>980.5</v>
      </c>
      <c r="U8" s="156">
        <f>SUM(CQ8:CT8)/COUNT(CQ8:CT8)</f>
        <v>996</v>
      </c>
      <c r="V8" s="156">
        <f>SUM(CU8:CX8)/COUNT(CU8:CX8)</f>
        <v>1018.5</v>
      </c>
      <c r="W8" s="156">
        <f>SUM(CY8:DC8)/COUNT(CY8:DC8)</f>
        <v>999.7</v>
      </c>
      <c r="X8" s="156">
        <f>SUM(DD8:DG8)/COUNT(DD8:DG8)</f>
        <v>956.5</v>
      </c>
      <c r="Y8" s="156">
        <f>SUM(DH8:DK8)/COUNT(DH8:DK8)</f>
        <v>911.5</v>
      </c>
      <c r="Z8" s="156">
        <f>SUM(DL8:DO8)/COUNT(DL8:DO8)</f>
        <v>911.5</v>
      </c>
      <c r="AA8" s="156">
        <f>SUM(DP8:DS8)/COUNT(DP8:DS8)</f>
        <v>919.25</v>
      </c>
      <c r="AB8" s="156">
        <f>SUM(DT8:DW8)/COUNT(DT8:DW8)</f>
        <v>933.125</v>
      </c>
      <c r="AC8" s="156">
        <f>SUM(DX8:EB8)/COUNT(DX8:EB8)</f>
        <v>944.7</v>
      </c>
      <c r="AD8" s="156">
        <f>SUM(EC8:EF8)/COUNT(EC8:EF8)</f>
        <v>954.5</v>
      </c>
      <c r="AE8" s="156">
        <f>SUM(EG8:EK8)/COUNT(EG8:EK8)</f>
        <v>918</v>
      </c>
      <c r="AF8" s="156">
        <f>SUM(EL8:EO8)/COUNT(EL8:EO8)</f>
        <v>868.375</v>
      </c>
      <c r="AG8" s="156">
        <f>SUM(EP8:ES8)/COUNT(EP8:ES8)</f>
        <v>803.5</v>
      </c>
      <c r="AH8" s="156">
        <f>SUM(ET8:EX8)/COUNT(ET8:EX8)</f>
        <v>794.125</v>
      </c>
      <c r="AI8" s="156" t="e">
        <f t="shared" ref="AI8:AN8" si="17">SUM(EY8:FB8)/COUNT(EY8:FB8)</f>
        <v>#DIV/0!</v>
      </c>
      <c r="AJ8" s="156" t="e">
        <f t="shared" si="17"/>
        <v>#DIV/0!</v>
      </c>
      <c r="AK8" s="156" t="e">
        <f t="shared" si="17"/>
        <v>#DIV/0!</v>
      </c>
      <c r="AL8" s="156" t="e">
        <f t="shared" si="17"/>
        <v>#DIV/0!</v>
      </c>
      <c r="AM8" s="156" t="e">
        <f t="shared" si="17"/>
        <v>#DIV/0!</v>
      </c>
      <c r="AN8" s="156" t="e">
        <f t="shared" si="17"/>
        <v>#DIV/0!</v>
      </c>
      <c r="AP8" s="54" t="s">
        <v>37</v>
      </c>
      <c r="AQ8" s="55" t="s">
        <v>38</v>
      </c>
      <c r="AR8" s="126" t="s">
        <v>37</v>
      </c>
      <c r="AS8" s="102">
        <v>802.5</v>
      </c>
      <c r="AT8" s="102">
        <v>802.5</v>
      </c>
      <c r="AU8" s="102">
        <v>802.5</v>
      </c>
      <c r="AV8" s="102">
        <v>803.5</v>
      </c>
      <c r="AW8" s="102">
        <v>801</v>
      </c>
      <c r="AX8" s="102">
        <v>801</v>
      </c>
      <c r="AY8" s="102">
        <v>801</v>
      </c>
      <c r="AZ8" s="102">
        <v>801</v>
      </c>
      <c r="BA8" s="102">
        <v>821.5</v>
      </c>
      <c r="BB8" s="102">
        <v>821.5</v>
      </c>
      <c r="BC8" s="102">
        <v>821.5</v>
      </c>
      <c r="BD8" s="102">
        <v>821.5</v>
      </c>
      <c r="BE8" s="102">
        <v>821.5</v>
      </c>
      <c r="BF8" s="102">
        <v>821.5</v>
      </c>
      <c r="BG8" s="102">
        <v>821.5</v>
      </c>
      <c r="BH8" s="102">
        <v>821.5</v>
      </c>
      <c r="BI8" s="102">
        <v>821.5</v>
      </c>
      <c r="BJ8" s="102">
        <v>821.5</v>
      </c>
      <c r="BK8" s="102">
        <v>821.5</v>
      </c>
      <c r="BL8" s="102">
        <v>787</v>
      </c>
      <c r="BM8" s="102">
        <v>787</v>
      </c>
      <c r="BN8" s="102">
        <v>787</v>
      </c>
      <c r="BO8" s="102">
        <v>787</v>
      </c>
      <c r="BP8" s="102">
        <v>787</v>
      </c>
      <c r="BQ8" s="102">
        <v>788.5</v>
      </c>
      <c r="BR8" s="102">
        <v>825</v>
      </c>
      <c r="BS8" s="102">
        <v>825</v>
      </c>
      <c r="BT8" s="102">
        <v>825</v>
      </c>
      <c r="BU8" s="102">
        <v>825</v>
      </c>
      <c r="BV8" s="102">
        <v>825</v>
      </c>
      <c r="BW8" s="102">
        <v>825</v>
      </c>
      <c r="BX8" s="102">
        <v>852.5</v>
      </c>
      <c r="BY8" s="102">
        <v>873.5</v>
      </c>
      <c r="BZ8" s="102">
        <v>873.5</v>
      </c>
      <c r="CA8" s="102">
        <v>873.5</v>
      </c>
      <c r="CB8" s="102">
        <v>873.5</v>
      </c>
      <c r="CC8" s="102">
        <v>978.5</v>
      </c>
      <c r="CD8" s="102">
        <v>978.5</v>
      </c>
      <c r="CE8" s="102">
        <v>978.5</v>
      </c>
      <c r="CF8" s="102">
        <v>978.5</v>
      </c>
      <c r="CG8" s="102">
        <v>978.5</v>
      </c>
      <c r="CH8" s="102">
        <v>978.5</v>
      </c>
      <c r="CI8" s="102">
        <v>978.5</v>
      </c>
      <c r="CJ8" s="102">
        <v>978.5</v>
      </c>
      <c r="CK8" s="102">
        <v>978.5</v>
      </c>
      <c r="CL8" s="102">
        <v>978.5</v>
      </c>
      <c r="CM8" s="102">
        <v>978.5</v>
      </c>
      <c r="CN8" s="102">
        <v>978.5</v>
      </c>
      <c r="CO8" s="102">
        <v>978.5</v>
      </c>
      <c r="CP8" s="102">
        <v>988.5</v>
      </c>
      <c r="CQ8" s="102">
        <v>988.5</v>
      </c>
      <c r="CR8" s="102">
        <v>988.5</v>
      </c>
      <c r="CS8" s="102">
        <v>988.5</v>
      </c>
      <c r="CT8" s="102">
        <v>1018.5</v>
      </c>
      <c r="CU8" s="102">
        <v>1018.5</v>
      </c>
      <c r="CV8" s="102">
        <v>1018.5</v>
      </c>
      <c r="CW8" s="102">
        <v>1018.5</v>
      </c>
      <c r="CX8" s="102">
        <v>1018.5</v>
      </c>
      <c r="CY8" s="102">
        <v>1018.5</v>
      </c>
      <c r="CZ8" s="102">
        <v>1018.5</v>
      </c>
      <c r="DA8" s="102">
        <v>1018.5</v>
      </c>
      <c r="DB8" s="102">
        <v>971.5</v>
      </c>
      <c r="DC8" s="102">
        <v>971.5</v>
      </c>
      <c r="DD8" s="102">
        <v>971.5</v>
      </c>
      <c r="DE8" s="102">
        <v>971.5</v>
      </c>
      <c r="DF8" s="102">
        <v>971.5</v>
      </c>
      <c r="DG8" s="102">
        <v>911.5</v>
      </c>
      <c r="DH8" s="102">
        <v>911.5</v>
      </c>
      <c r="DI8" s="102">
        <v>911.5</v>
      </c>
      <c r="DJ8" s="102">
        <v>911.5</v>
      </c>
      <c r="DK8" s="102">
        <v>911.5</v>
      </c>
      <c r="DL8" s="102">
        <v>911.5</v>
      </c>
      <c r="DM8" s="102">
        <v>911.5</v>
      </c>
      <c r="DN8" s="102">
        <v>911.5</v>
      </c>
      <c r="DO8" s="102">
        <v>911.5</v>
      </c>
      <c r="DP8" s="102">
        <v>911.5</v>
      </c>
      <c r="DQ8" s="102">
        <v>911.5</v>
      </c>
      <c r="DR8" s="102">
        <v>911.5</v>
      </c>
      <c r="DS8" s="102">
        <v>942.5</v>
      </c>
      <c r="DT8" s="102">
        <v>942.5</v>
      </c>
      <c r="DU8" s="102">
        <v>930</v>
      </c>
      <c r="DV8" s="102">
        <v>930</v>
      </c>
      <c r="DW8" s="102">
        <v>930</v>
      </c>
      <c r="DX8" s="102">
        <v>930</v>
      </c>
      <c r="DY8" s="102">
        <v>930</v>
      </c>
      <c r="DZ8" s="102">
        <v>954.5</v>
      </c>
      <c r="EA8" s="102">
        <v>954.5</v>
      </c>
      <c r="EB8" s="102">
        <v>954.5</v>
      </c>
      <c r="EC8" s="102">
        <v>954.5</v>
      </c>
      <c r="ED8" s="102">
        <v>954.5</v>
      </c>
      <c r="EE8" s="102">
        <v>954.5</v>
      </c>
      <c r="EF8" s="102">
        <v>954.5</v>
      </c>
      <c r="EG8" s="102">
        <v>954.5</v>
      </c>
      <c r="EH8" s="102">
        <v>954.5</v>
      </c>
      <c r="EI8" s="102">
        <v>910</v>
      </c>
      <c r="EJ8" s="102">
        <v>885.5</v>
      </c>
      <c r="EK8" s="102">
        <v>885.5</v>
      </c>
      <c r="EL8" s="102">
        <v>875.5</v>
      </c>
      <c r="EM8" s="102">
        <v>875.5</v>
      </c>
      <c r="EN8" s="102">
        <v>875.5</v>
      </c>
      <c r="EO8" s="102">
        <v>847</v>
      </c>
      <c r="EP8" s="102">
        <v>807</v>
      </c>
      <c r="EQ8" s="102">
        <v>807</v>
      </c>
      <c r="ER8" s="102">
        <v>800</v>
      </c>
      <c r="ES8" s="102">
        <v>800</v>
      </c>
      <c r="ET8" s="102">
        <v>800</v>
      </c>
      <c r="EU8" s="102">
        <v>800</v>
      </c>
      <c r="EV8" s="102">
        <v>800</v>
      </c>
      <c r="EW8" s="102">
        <v>776.5</v>
      </c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</row>
    <row r="9" spans="1:175" ht="14">
      <c r="D9" s="54" t="s">
        <v>41</v>
      </c>
      <c r="E9" s="25"/>
      <c r="F9" s="59" t="s">
        <v>130</v>
      </c>
      <c r="G9" s="54" t="s">
        <v>24</v>
      </c>
      <c r="H9" s="110" t="s">
        <v>130</v>
      </c>
      <c r="I9" s="156">
        <f>SUM(AS9:AV9)/COUNT(AS9:AV9)</f>
        <v>935</v>
      </c>
      <c r="J9" s="156">
        <f>SUM(AW9:AZ9)/COUNT(AW9:AZ9)</f>
        <v>922.5</v>
      </c>
      <c r="K9" s="156">
        <f>SUM(BA9:BC9)/COUNT(BA9:BC9)</f>
        <v>900</v>
      </c>
      <c r="L9" s="156">
        <f>SUM(BE9:BH9)/COUNT(BE9:BH9)</f>
        <v>900</v>
      </c>
      <c r="M9" s="156">
        <f>SUM(BJ9:BM9)/COUNT(BJ9:BM9)</f>
        <v>930</v>
      </c>
      <c r="N9" s="156">
        <f>SUM(BN9:BP9)/COUNT(BN9:BP9)</f>
        <v>943.33333333333337</v>
      </c>
      <c r="O9" s="156">
        <f>SUM(BQ9:BT9)/COUNT(BQ9:BT9)</f>
        <v>940</v>
      </c>
      <c r="P9" s="156">
        <f>SUM(BU9:BX9)/COUNT(BU9:BX9)</f>
        <v>940</v>
      </c>
      <c r="Q9" s="156">
        <f>SUM(BY9:CC9)/COUNT(BY9:CC9)</f>
        <v>942</v>
      </c>
      <c r="R9" s="156">
        <f>SUM(CD9:CG9)/COUNT(CD9:CG9)</f>
        <v>950</v>
      </c>
      <c r="S9" s="156">
        <f>SUM(CH9:CK9)/COUNT(CH9:CK9)</f>
        <v>947.5</v>
      </c>
      <c r="T9" s="156">
        <f>SUM(CL9:CP9)/COUNT(CL9:CP9)</f>
        <v>930</v>
      </c>
      <c r="U9" s="156">
        <f>SUM(CQ9:CT9)/COUNT(CQ9:CT9)</f>
        <v>880</v>
      </c>
      <c r="V9" s="156">
        <f>SUM(CU9:CX9)/COUNT(CU9:CX9)</f>
        <v>860</v>
      </c>
      <c r="W9" s="156">
        <f>SUM(CY9:DC9)/COUNT(CY9:DC9)</f>
        <v>852</v>
      </c>
      <c r="X9" s="156">
        <f>SUM(DD9:DG9)/COUNT(DD9:DG9)</f>
        <v>830</v>
      </c>
      <c r="Y9" s="156">
        <f>SUM(DH9:DK9)/COUNT(DH9:DK9)</f>
        <v>827.5</v>
      </c>
      <c r="Z9" s="156">
        <f>SUM(DL9:DO9)/COUNT(DL9:DO9)</f>
        <v>840</v>
      </c>
      <c r="AA9" s="156">
        <f>SUM(DP9:DS9)/COUNT(DP9:DS9)</f>
        <v>822.5</v>
      </c>
      <c r="AB9" s="156">
        <f>SUM(DT9:DW9)/COUNT(DT9:DW9)</f>
        <v>765</v>
      </c>
      <c r="AC9" s="156">
        <f>SUM(DX9:EB9)/COUNT(DX9:EB9)</f>
        <v>782</v>
      </c>
      <c r="AD9" s="156">
        <f>SUM(EC9:EF9)/COUNT(EC9:EF9)</f>
        <v>807.5</v>
      </c>
      <c r="AE9" s="156">
        <f>SUM(EG9:EK9)/COUNT(EG9:EK9)</f>
        <v>802</v>
      </c>
      <c r="AF9" s="156">
        <f>SUM(EL9:EO9)/COUNT(EL9:EO9)</f>
        <v>795</v>
      </c>
      <c r="AG9" s="156">
        <f>SUM(EP9:ES9)/COUNT(EP9:ES9)</f>
        <v>782.5</v>
      </c>
      <c r="AH9" s="156">
        <f>SUM(ET9:EX9)/COUNT(ET9:EX9)</f>
        <v>772</v>
      </c>
      <c r="AI9" s="156">
        <f>SUM(EY9:FB9)/COUNT(EY9:FB9)</f>
        <v>770</v>
      </c>
      <c r="AJ9" s="156">
        <f>SUM(FC9:FF9)/COUNT(FC9:FF9)</f>
        <v>772.5</v>
      </c>
      <c r="AK9" s="156">
        <f>SUM(FG9:FK9)/COUNT(FG9:FK9)</f>
        <v>805</v>
      </c>
      <c r="AL9" s="156">
        <f>SUM(FL9:FO9)/COUNT(FL9:FO9)</f>
        <v>840</v>
      </c>
      <c r="AM9" s="156">
        <f>SUM(FP9:FS9)/COUNT(FP9:FS9)</f>
        <v>1108.75</v>
      </c>
      <c r="AN9" s="156">
        <v>1140</v>
      </c>
      <c r="AO9" s="51"/>
      <c r="AP9" s="54" t="s">
        <v>41</v>
      </c>
      <c r="AQ9" s="25"/>
      <c r="AR9" s="127" t="s">
        <v>130</v>
      </c>
      <c r="AS9" s="118">
        <v>930</v>
      </c>
      <c r="AT9" s="118">
        <v>930</v>
      </c>
      <c r="AU9" s="118">
        <v>940</v>
      </c>
      <c r="AV9" s="118">
        <v>940</v>
      </c>
      <c r="AW9" s="118">
        <v>940</v>
      </c>
      <c r="AX9" s="118">
        <v>930</v>
      </c>
      <c r="AY9" s="118">
        <v>920</v>
      </c>
      <c r="AZ9" s="118">
        <v>900</v>
      </c>
      <c r="BA9" s="118">
        <v>900</v>
      </c>
      <c r="BB9" s="118">
        <v>900</v>
      </c>
      <c r="BC9" s="118">
        <v>900</v>
      </c>
      <c r="BD9" s="118">
        <v>900</v>
      </c>
      <c r="BE9" s="118">
        <v>900</v>
      </c>
      <c r="BF9" s="118">
        <v>900</v>
      </c>
      <c r="BG9" s="118">
        <v>900</v>
      </c>
      <c r="BH9" s="118">
        <v>900</v>
      </c>
      <c r="BI9" s="118">
        <v>900</v>
      </c>
      <c r="BJ9" s="118">
        <v>900</v>
      </c>
      <c r="BK9" s="118">
        <v>940</v>
      </c>
      <c r="BL9" s="118">
        <v>940</v>
      </c>
      <c r="BM9" s="118">
        <v>940</v>
      </c>
      <c r="BN9" s="118">
        <v>950</v>
      </c>
      <c r="BO9" s="118">
        <v>940</v>
      </c>
      <c r="BP9" s="118">
        <v>940</v>
      </c>
      <c r="BQ9" s="118">
        <v>940</v>
      </c>
      <c r="BR9" s="118">
        <v>940</v>
      </c>
      <c r="BS9" s="118">
        <v>940</v>
      </c>
      <c r="BT9" s="118">
        <v>940</v>
      </c>
      <c r="BU9" s="118">
        <v>940</v>
      </c>
      <c r="BV9" s="118">
        <v>940</v>
      </c>
      <c r="BW9" s="118">
        <v>940</v>
      </c>
      <c r="BX9" s="118">
        <v>940</v>
      </c>
      <c r="BY9" s="118">
        <v>940</v>
      </c>
      <c r="BZ9" s="118">
        <v>940</v>
      </c>
      <c r="CA9" s="118">
        <v>940</v>
      </c>
      <c r="CB9" s="118">
        <v>940</v>
      </c>
      <c r="CC9" s="118">
        <v>950</v>
      </c>
      <c r="CD9" s="118">
        <v>950</v>
      </c>
      <c r="CE9" s="118">
        <v>950</v>
      </c>
      <c r="CF9" s="118">
        <v>950</v>
      </c>
      <c r="CG9" s="118">
        <v>950</v>
      </c>
      <c r="CH9" s="118">
        <v>950</v>
      </c>
      <c r="CI9" s="118">
        <v>950</v>
      </c>
      <c r="CJ9" s="118">
        <v>950</v>
      </c>
      <c r="CK9" s="118">
        <v>940</v>
      </c>
      <c r="CL9" s="118">
        <v>940</v>
      </c>
      <c r="CM9" s="118">
        <v>940</v>
      </c>
      <c r="CN9" s="118">
        <v>940</v>
      </c>
      <c r="CO9" s="118">
        <v>930</v>
      </c>
      <c r="CP9" s="118">
        <v>900</v>
      </c>
      <c r="CQ9" s="118">
        <v>900</v>
      </c>
      <c r="CR9" s="118">
        <v>890</v>
      </c>
      <c r="CS9" s="118">
        <v>870</v>
      </c>
      <c r="CT9" s="118">
        <v>860</v>
      </c>
      <c r="CU9" s="118">
        <v>860</v>
      </c>
      <c r="CV9" s="118">
        <v>860</v>
      </c>
      <c r="CW9" s="118">
        <v>860</v>
      </c>
      <c r="CX9" s="118">
        <v>860</v>
      </c>
      <c r="CY9" s="118">
        <v>860</v>
      </c>
      <c r="CZ9" s="118">
        <v>860</v>
      </c>
      <c r="DA9" s="118">
        <v>860</v>
      </c>
      <c r="DB9" s="118">
        <v>840</v>
      </c>
      <c r="DC9" s="118">
        <v>840</v>
      </c>
      <c r="DD9" s="118">
        <v>840</v>
      </c>
      <c r="DE9" s="118">
        <v>830</v>
      </c>
      <c r="DF9" s="118">
        <v>830</v>
      </c>
      <c r="DG9" s="118">
        <v>820</v>
      </c>
      <c r="DH9" s="118">
        <v>820</v>
      </c>
      <c r="DI9" s="118">
        <v>820</v>
      </c>
      <c r="DJ9" s="118">
        <v>820</v>
      </c>
      <c r="DK9" s="118">
        <v>850</v>
      </c>
      <c r="DL9" s="118">
        <v>840</v>
      </c>
      <c r="DM9" s="118">
        <v>840</v>
      </c>
      <c r="DN9" s="118">
        <v>840</v>
      </c>
      <c r="DO9" s="118">
        <v>840</v>
      </c>
      <c r="DP9" s="118">
        <v>840</v>
      </c>
      <c r="DQ9" s="118">
        <v>830</v>
      </c>
      <c r="DR9" s="118">
        <v>810</v>
      </c>
      <c r="DS9" s="118">
        <v>810</v>
      </c>
      <c r="DT9" s="118">
        <v>800</v>
      </c>
      <c r="DU9" s="118">
        <v>750</v>
      </c>
      <c r="DV9" s="118">
        <v>750</v>
      </c>
      <c r="DW9" s="118">
        <v>760</v>
      </c>
      <c r="DX9" s="118">
        <v>760</v>
      </c>
      <c r="DY9" s="118">
        <v>760</v>
      </c>
      <c r="DZ9" s="118">
        <v>800</v>
      </c>
      <c r="EA9" s="118">
        <v>800</v>
      </c>
      <c r="EB9" s="118">
        <v>790</v>
      </c>
      <c r="EC9" s="118">
        <v>800</v>
      </c>
      <c r="ED9" s="118">
        <v>790</v>
      </c>
      <c r="EE9" s="118">
        <v>820</v>
      </c>
      <c r="EF9" s="118">
        <v>820</v>
      </c>
      <c r="EG9" s="118">
        <v>820</v>
      </c>
      <c r="EH9" s="118">
        <v>820</v>
      </c>
      <c r="EI9" s="118">
        <v>790</v>
      </c>
      <c r="EJ9" s="118">
        <v>790</v>
      </c>
      <c r="EK9" s="118">
        <v>790</v>
      </c>
      <c r="EL9" s="118">
        <v>800</v>
      </c>
      <c r="EM9" s="118">
        <v>790</v>
      </c>
      <c r="EN9" s="118">
        <v>790</v>
      </c>
      <c r="EO9" s="118">
        <v>800</v>
      </c>
      <c r="EP9" s="118">
        <v>790</v>
      </c>
      <c r="EQ9" s="118">
        <v>780</v>
      </c>
      <c r="ER9" s="118">
        <v>780</v>
      </c>
      <c r="ES9" s="118">
        <v>780</v>
      </c>
      <c r="ET9" s="118">
        <v>780</v>
      </c>
      <c r="EU9" s="118">
        <v>780</v>
      </c>
      <c r="EV9" s="118">
        <v>770</v>
      </c>
      <c r="EW9" s="118">
        <v>760</v>
      </c>
      <c r="EX9" s="118">
        <v>770</v>
      </c>
      <c r="EY9" s="118">
        <v>770</v>
      </c>
      <c r="EZ9" s="118">
        <v>770</v>
      </c>
      <c r="FA9" s="118">
        <v>770</v>
      </c>
      <c r="FB9" s="118">
        <v>770</v>
      </c>
      <c r="FC9" s="118">
        <v>770</v>
      </c>
      <c r="FD9" s="118">
        <v>770</v>
      </c>
      <c r="FE9" s="118">
        <v>770</v>
      </c>
      <c r="FF9" s="118">
        <v>780</v>
      </c>
      <c r="FG9" s="118">
        <v>795</v>
      </c>
      <c r="FH9" s="118">
        <v>795</v>
      </c>
      <c r="FI9" s="118">
        <v>795</v>
      </c>
      <c r="FJ9" s="118">
        <v>820</v>
      </c>
      <c r="FK9" s="118">
        <v>820</v>
      </c>
      <c r="FL9" s="118">
        <v>840</v>
      </c>
      <c r="FM9" s="118">
        <v>840</v>
      </c>
      <c r="FN9" s="118">
        <v>840</v>
      </c>
      <c r="FO9" s="118">
        <v>840</v>
      </c>
      <c r="FP9" s="118">
        <f>(900+970)/2</f>
        <v>935</v>
      </c>
      <c r="FQ9" s="118">
        <v>1080</v>
      </c>
      <c r="FR9" s="118">
        <v>1280</v>
      </c>
      <c r="FS9" s="118">
        <v>1140</v>
      </c>
    </row>
    <row r="10" spans="1:175" ht="14">
      <c r="H10" s="117" t="s">
        <v>82</v>
      </c>
      <c r="I10" s="3">
        <f t="shared" ref="I10:N10" si="18">I9</f>
        <v>935</v>
      </c>
      <c r="J10" s="3">
        <f t="shared" si="18"/>
        <v>922.5</v>
      </c>
      <c r="K10" s="3">
        <f t="shared" si="18"/>
        <v>900</v>
      </c>
      <c r="L10" s="3">
        <f t="shared" si="18"/>
        <v>900</v>
      </c>
      <c r="M10" s="3">
        <f t="shared" si="18"/>
        <v>930</v>
      </c>
      <c r="N10" s="3">
        <f t="shared" si="18"/>
        <v>943.33333333333337</v>
      </c>
      <c r="O10" s="3">
        <f t="shared" ref="O10:P10" si="19">O9</f>
        <v>940</v>
      </c>
      <c r="P10" s="3">
        <f t="shared" si="19"/>
        <v>940</v>
      </c>
      <c r="Q10" s="3">
        <f t="shared" ref="Q10:V10" si="20">Q9</f>
        <v>942</v>
      </c>
      <c r="R10" s="3">
        <f t="shared" si="20"/>
        <v>950</v>
      </c>
      <c r="S10" s="3">
        <f t="shared" si="20"/>
        <v>947.5</v>
      </c>
      <c r="T10" s="3">
        <f t="shared" si="20"/>
        <v>930</v>
      </c>
      <c r="U10" s="3">
        <f t="shared" si="20"/>
        <v>880</v>
      </c>
      <c r="V10" s="3">
        <f t="shared" si="20"/>
        <v>860</v>
      </c>
      <c r="W10" s="3">
        <f t="shared" ref="W10:X10" si="21">W9</f>
        <v>852</v>
      </c>
      <c r="X10" s="3">
        <f t="shared" si="21"/>
        <v>830</v>
      </c>
      <c r="Y10" s="3">
        <f t="shared" ref="Y10:Z10" si="22">Y9</f>
        <v>827.5</v>
      </c>
      <c r="Z10" s="3">
        <f t="shared" si="22"/>
        <v>840</v>
      </c>
      <c r="AA10" s="3">
        <f t="shared" ref="AA10:AB10" si="23">AA9</f>
        <v>822.5</v>
      </c>
      <c r="AB10" s="3">
        <f t="shared" si="23"/>
        <v>765</v>
      </c>
      <c r="AC10" s="3">
        <f t="shared" ref="AC10:AD10" si="24">AC9</f>
        <v>782</v>
      </c>
      <c r="AD10" s="3">
        <f t="shared" si="24"/>
        <v>807.5</v>
      </c>
      <c r="AE10" s="3">
        <f t="shared" ref="AE10:AF10" si="25">AE9</f>
        <v>802</v>
      </c>
      <c r="AF10" s="3">
        <f t="shared" si="25"/>
        <v>795</v>
      </c>
      <c r="AG10" s="3">
        <f t="shared" ref="AG10:AH10" si="26">AG9</f>
        <v>782.5</v>
      </c>
      <c r="AH10" s="3">
        <f t="shared" si="26"/>
        <v>772</v>
      </c>
      <c r="AI10" s="3">
        <f t="shared" ref="AI10:AJ10" si="27">AI9</f>
        <v>770</v>
      </c>
      <c r="AJ10" s="3">
        <f t="shared" si="27"/>
        <v>772.5</v>
      </c>
      <c r="AK10" s="3">
        <f t="shared" ref="AK10:AL10" si="28">AK9</f>
        <v>805</v>
      </c>
      <c r="AL10" s="3">
        <f t="shared" si="28"/>
        <v>840</v>
      </c>
      <c r="AM10" s="3">
        <f t="shared" ref="AM10:AN10" si="29">AM9</f>
        <v>1108.75</v>
      </c>
      <c r="AN10" s="3">
        <f t="shared" si="29"/>
        <v>1140</v>
      </c>
      <c r="AR10" s="117" t="s">
        <v>82</v>
      </c>
      <c r="AS10" s="41">
        <f>AS9</f>
        <v>930</v>
      </c>
      <c r="AT10" s="41">
        <f t="shared" ref="AT10:BN10" si="30">AT9</f>
        <v>930</v>
      </c>
      <c r="AU10" s="41">
        <f t="shared" si="30"/>
        <v>940</v>
      </c>
      <c r="AV10" s="41">
        <f t="shared" si="30"/>
        <v>940</v>
      </c>
      <c r="AW10" s="41">
        <f t="shared" si="30"/>
        <v>940</v>
      </c>
      <c r="AX10" s="41">
        <f t="shared" si="30"/>
        <v>930</v>
      </c>
      <c r="AY10" s="41">
        <f t="shared" si="30"/>
        <v>920</v>
      </c>
      <c r="AZ10" s="41">
        <f t="shared" si="30"/>
        <v>900</v>
      </c>
      <c r="BA10" s="41">
        <f t="shared" si="30"/>
        <v>900</v>
      </c>
      <c r="BB10" s="41">
        <f t="shared" si="30"/>
        <v>900</v>
      </c>
      <c r="BC10" s="41">
        <f t="shared" si="30"/>
        <v>900</v>
      </c>
      <c r="BD10" s="41">
        <f t="shared" si="30"/>
        <v>900</v>
      </c>
      <c r="BE10" s="41">
        <f t="shared" si="30"/>
        <v>900</v>
      </c>
      <c r="BF10" s="41">
        <f t="shared" si="30"/>
        <v>900</v>
      </c>
      <c r="BG10" s="41">
        <f t="shared" si="30"/>
        <v>900</v>
      </c>
      <c r="BH10" s="41">
        <f t="shared" si="30"/>
        <v>900</v>
      </c>
      <c r="BI10" s="41">
        <f t="shared" si="30"/>
        <v>900</v>
      </c>
      <c r="BJ10" s="41">
        <f t="shared" si="30"/>
        <v>900</v>
      </c>
      <c r="BK10" s="41">
        <f t="shared" si="30"/>
        <v>940</v>
      </c>
      <c r="BL10" s="41">
        <f t="shared" si="30"/>
        <v>940</v>
      </c>
      <c r="BM10" s="41">
        <f t="shared" si="30"/>
        <v>940</v>
      </c>
      <c r="BN10" s="41">
        <f t="shared" si="30"/>
        <v>950</v>
      </c>
      <c r="BO10" s="41">
        <f t="shared" ref="BO10:BQ10" si="31">BO9</f>
        <v>940</v>
      </c>
      <c r="BP10" s="41">
        <f t="shared" si="31"/>
        <v>940</v>
      </c>
      <c r="BQ10" s="41">
        <f t="shared" si="31"/>
        <v>940</v>
      </c>
      <c r="BR10" s="41">
        <f t="shared" ref="BR10:BS10" si="32">BR9</f>
        <v>940</v>
      </c>
      <c r="BS10" s="41">
        <f t="shared" si="32"/>
        <v>940</v>
      </c>
      <c r="BT10" s="41">
        <f t="shared" ref="BT10:BU10" si="33">BT9</f>
        <v>940</v>
      </c>
      <c r="BU10" s="41">
        <f t="shared" si="33"/>
        <v>940</v>
      </c>
      <c r="BV10" s="41">
        <f t="shared" ref="BV10:BX10" si="34">BV9</f>
        <v>940</v>
      </c>
      <c r="BW10" s="41">
        <f t="shared" si="34"/>
        <v>940</v>
      </c>
      <c r="BX10" s="41">
        <f t="shared" si="34"/>
        <v>940</v>
      </c>
      <c r="BY10" s="41">
        <f t="shared" ref="BY10:BZ10" si="35">BY9</f>
        <v>940</v>
      </c>
      <c r="BZ10" s="41">
        <f t="shared" si="35"/>
        <v>940</v>
      </c>
      <c r="CA10" s="41">
        <f t="shared" ref="CA10:CB10" si="36">CA9</f>
        <v>940</v>
      </c>
      <c r="CB10" s="41">
        <f t="shared" si="36"/>
        <v>940</v>
      </c>
      <c r="CC10" s="41">
        <f t="shared" ref="CC10:CD10" si="37">CC9</f>
        <v>950</v>
      </c>
      <c r="CD10" s="41">
        <f t="shared" si="37"/>
        <v>950</v>
      </c>
      <c r="CE10" s="41">
        <f t="shared" ref="CE10:CF10" si="38">CE9</f>
        <v>950</v>
      </c>
      <c r="CF10" s="41">
        <f t="shared" si="38"/>
        <v>950</v>
      </c>
      <c r="CG10" s="41">
        <f t="shared" ref="CG10:CH10" si="39">CG9</f>
        <v>950</v>
      </c>
      <c r="CH10" s="41">
        <f t="shared" si="39"/>
        <v>950</v>
      </c>
      <c r="CI10" s="41">
        <f t="shared" ref="CI10:CJ10" si="40">CI9</f>
        <v>950</v>
      </c>
      <c r="CJ10" s="41">
        <f t="shared" si="40"/>
        <v>950</v>
      </c>
      <c r="CK10" s="41">
        <f t="shared" ref="CK10:CL10" si="41">CK9</f>
        <v>940</v>
      </c>
      <c r="CL10" s="41">
        <f t="shared" si="41"/>
        <v>940</v>
      </c>
      <c r="CM10" s="41">
        <f t="shared" ref="CM10:CN10" si="42">CM9</f>
        <v>940</v>
      </c>
      <c r="CN10" s="41">
        <f t="shared" si="42"/>
        <v>940</v>
      </c>
      <c r="CO10" s="41">
        <f t="shared" ref="CO10:CQ10" si="43">CO9</f>
        <v>930</v>
      </c>
      <c r="CP10" s="41">
        <f t="shared" si="43"/>
        <v>900</v>
      </c>
      <c r="CQ10" s="41">
        <f t="shared" si="43"/>
        <v>900</v>
      </c>
      <c r="CR10" s="41">
        <f t="shared" ref="CR10:CS10" si="44">CR9</f>
        <v>890</v>
      </c>
      <c r="CS10" s="41">
        <f t="shared" si="44"/>
        <v>870</v>
      </c>
      <c r="CT10" s="41">
        <f t="shared" ref="CT10:CV10" si="45">CT9</f>
        <v>860</v>
      </c>
      <c r="CU10" s="41">
        <f t="shared" si="45"/>
        <v>860</v>
      </c>
      <c r="CV10" s="41">
        <f t="shared" si="45"/>
        <v>860</v>
      </c>
      <c r="CW10" s="41">
        <f t="shared" ref="CW10:CX10" si="46">CW9</f>
        <v>860</v>
      </c>
      <c r="CX10" s="41">
        <f t="shared" si="46"/>
        <v>860</v>
      </c>
      <c r="CY10" s="41">
        <f t="shared" ref="CY10:DC10" si="47">CY9</f>
        <v>860</v>
      </c>
      <c r="CZ10" s="41">
        <f t="shared" si="47"/>
        <v>860</v>
      </c>
      <c r="DA10" s="41">
        <f t="shared" si="47"/>
        <v>860</v>
      </c>
      <c r="DB10" s="41">
        <f t="shared" si="47"/>
        <v>840</v>
      </c>
      <c r="DC10" s="41">
        <f t="shared" si="47"/>
        <v>840</v>
      </c>
      <c r="DD10" s="41">
        <f t="shared" ref="DD10:DG10" si="48">DD9</f>
        <v>840</v>
      </c>
      <c r="DE10" s="41">
        <f t="shared" si="48"/>
        <v>830</v>
      </c>
      <c r="DF10" s="41">
        <f t="shared" si="48"/>
        <v>830</v>
      </c>
      <c r="DG10" s="41">
        <f t="shared" si="48"/>
        <v>820</v>
      </c>
      <c r="DH10" s="41">
        <f t="shared" ref="DH10:DI10" si="49">DH9</f>
        <v>820</v>
      </c>
      <c r="DI10" s="41">
        <f t="shared" si="49"/>
        <v>820</v>
      </c>
      <c r="DJ10" s="41">
        <f t="shared" ref="DJ10:DK10" si="50">DJ9</f>
        <v>820</v>
      </c>
      <c r="DK10" s="41">
        <f t="shared" si="50"/>
        <v>850</v>
      </c>
      <c r="DL10" s="41">
        <f t="shared" ref="DL10:DN10" si="51">DL9</f>
        <v>840</v>
      </c>
      <c r="DM10" s="41">
        <f t="shared" si="51"/>
        <v>840</v>
      </c>
      <c r="DN10" s="41">
        <f t="shared" si="51"/>
        <v>840</v>
      </c>
      <c r="DO10" s="41">
        <f t="shared" ref="DO10:DP10" si="52">DO9</f>
        <v>840</v>
      </c>
      <c r="DP10" s="41">
        <f t="shared" si="52"/>
        <v>840</v>
      </c>
      <c r="DQ10" s="41">
        <f t="shared" ref="DQ10:DS10" si="53">DQ9</f>
        <v>830</v>
      </c>
      <c r="DR10" s="41">
        <f t="shared" si="53"/>
        <v>810</v>
      </c>
      <c r="DS10" s="41">
        <f t="shared" si="53"/>
        <v>810</v>
      </c>
      <c r="DT10" s="41">
        <f t="shared" ref="DT10:DW10" si="54">DT9</f>
        <v>800</v>
      </c>
      <c r="DU10" s="41">
        <f t="shared" si="54"/>
        <v>750</v>
      </c>
      <c r="DV10" s="41">
        <f t="shared" si="54"/>
        <v>750</v>
      </c>
      <c r="DW10" s="41">
        <f t="shared" si="54"/>
        <v>760</v>
      </c>
      <c r="DX10" s="41">
        <f t="shared" ref="DX10:EB10" si="55">DX9</f>
        <v>760</v>
      </c>
      <c r="DY10" s="41">
        <f t="shared" si="55"/>
        <v>760</v>
      </c>
      <c r="DZ10" s="41">
        <f t="shared" si="55"/>
        <v>800</v>
      </c>
      <c r="EA10" s="41">
        <f t="shared" si="55"/>
        <v>800</v>
      </c>
      <c r="EB10" s="41">
        <f t="shared" si="55"/>
        <v>790</v>
      </c>
      <c r="EC10" s="41">
        <f t="shared" ref="EC10:EF10" si="56">EC9</f>
        <v>800</v>
      </c>
      <c r="ED10" s="41">
        <f t="shared" si="56"/>
        <v>790</v>
      </c>
      <c r="EE10" s="41">
        <f t="shared" si="56"/>
        <v>820</v>
      </c>
      <c r="EF10" s="41">
        <f t="shared" si="56"/>
        <v>820</v>
      </c>
      <c r="EG10" s="41">
        <f t="shared" ref="EG10:EK10" si="57">EG9</f>
        <v>820</v>
      </c>
      <c r="EH10" s="41">
        <f t="shared" si="57"/>
        <v>820</v>
      </c>
      <c r="EI10" s="41">
        <f t="shared" si="57"/>
        <v>790</v>
      </c>
      <c r="EJ10" s="41">
        <f t="shared" si="57"/>
        <v>790</v>
      </c>
      <c r="EK10" s="41">
        <f t="shared" si="57"/>
        <v>790</v>
      </c>
      <c r="EL10" s="41">
        <f t="shared" ref="EL10:EO10" si="58">EL9</f>
        <v>800</v>
      </c>
      <c r="EM10" s="41">
        <f t="shared" si="58"/>
        <v>790</v>
      </c>
      <c r="EN10" s="41">
        <f t="shared" si="58"/>
        <v>790</v>
      </c>
      <c r="EO10" s="41">
        <f t="shared" si="58"/>
        <v>800</v>
      </c>
      <c r="EP10" s="41">
        <f t="shared" ref="EP10:ES10" si="59">EP9</f>
        <v>790</v>
      </c>
      <c r="EQ10" s="41">
        <f t="shared" si="59"/>
        <v>780</v>
      </c>
      <c r="ER10" s="41">
        <f t="shared" si="59"/>
        <v>780</v>
      </c>
      <c r="ES10" s="41">
        <f t="shared" si="59"/>
        <v>780</v>
      </c>
      <c r="ET10" s="41">
        <f t="shared" ref="ET10:EX10" si="60">ET9</f>
        <v>780</v>
      </c>
      <c r="EU10" s="41">
        <f t="shared" si="60"/>
        <v>780</v>
      </c>
      <c r="EV10" s="41">
        <f t="shared" si="60"/>
        <v>770</v>
      </c>
      <c r="EW10" s="41">
        <f t="shared" si="60"/>
        <v>760</v>
      </c>
      <c r="EX10" s="41">
        <f t="shared" si="60"/>
        <v>770</v>
      </c>
      <c r="EY10" s="41">
        <f t="shared" ref="EY10:FB10" si="61">EY9</f>
        <v>770</v>
      </c>
      <c r="EZ10" s="41">
        <f t="shared" si="61"/>
        <v>770</v>
      </c>
      <c r="FA10" s="41">
        <f t="shared" si="61"/>
        <v>770</v>
      </c>
      <c r="FB10" s="41">
        <f t="shared" si="61"/>
        <v>770</v>
      </c>
      <c r="FC10" s="41">
        <f t="shared" ref="FC10:FF10" si="62">FC9</f>
        <v>770</v>
      </c>
      <c r="FD10" s="41">
        <f t="shared" si="62"/>
        <v>770</v>
      </c>
      <c r="FE10" s="41">
        <f t="shared" si="62"/>
        <v>770</v>
      </c>
      <c r="FF10" s="41">
        <f t="shared" si="62"/>
        <v>780</v>
      </c>
      <c r="FG10" s="41">
        <f t="shared" ref="FG10:FK10" si="63">FG9</f>
        <v>795</v>
      </c>
      <c r="FH10" s="41">
        <f t="shared" si="63"/>
        <v>795</v>
      </c>
      <c r="FI10" s="41">
        <f t="shared" si="63"/>
        <v>795</v>
      </c>
      <c r="FJ10" s="41">
        <f t="shared" si="63"/>
        <v>820</v>
      </c>
      <c r="FK10" s="41">
        <f t="shared" si="63"/>
        <v>820</v>
      </c>
      <c r="FL10" s="41">
        <f t="shared" ref="FL10:FO10" si="64">FL9</f>
        <v>840</v>
      </c>
      <c r="FM10" s="41">
        <f t="shared" si="64"/>
        <v>840</v>
      </c>
      <c r="FN10" s="41">
        <f t="shared" si="64"/>
        <v>840</v>
      </c>
      <c r="FO10" s="41">
        <f t="shared" si="64"/>
        <v>840</v>
      </c>
      <c r="FP10" s="41">
        <f t="shared" ref="FP10:FS10" si="65">FP9</f>
        <v>935</v>
      </c>
      <c r="FQ10" s="41">
        <f t="shared" si="65"/>
        <v>1080</v>
      </c>
      <c r="FR10" s="41">
        <f t="shared" si="65"/>
        <v>1280</v>
      </c>
      <c r="FS10" s="41">
        <f t="shared" si="65"/>
        <v>1140</v>
      </c>
    </row>
    <row r="11" spans="1:175" ht="15">
      <c r="F11" s="62"/>
      <c r="H11" s="117" t="s">
        <v>83</v>
      </c>
      <c r="I11" s="3" t="e">
        <f>#REF!-I10</f>
        <v>#REF!</v>
      </c>
      <c r="J11" s="41">
        <f>J7-J9</f>
        <v>127.5</v>
      </c>
      <c r="K11" s="41">
        <f t="shared" ref="K11:O11" si="66">K7-K9</f>
        <v>150</v>
      </c>
      <c r="L11" s="41">
        <f t="shared" si="66"/>
        <v>150</v>
      </c>
      <c r="M11" s="41">
        <f t="shared" si="66"/>
        <v>120</v>
      </c>
      <c r="N11" s="41">
        <f t="shared" si="66"/>
        <v>106.66666666666663</v>
      </c>
      <c r="O11" s="41">
        <f t="shared" si="66"/>
        <v>110</v>
      </c>
      <c r="P11" s="41">
        <f t="shared" ref="P11" si="67">P7-P9</f>
        <v>110</v>
      </c>
      <c r="Q11" s="41">
        <f t="shared" ref="Q11:V11" si="68">Q7-Q9</f>
        <v>158</v>
      </c>
      <c r="R11" s="41">
        <f t="shared" si="68"/>
        <v>150</v>
      </c>
      <c r="S11" s="41">
        <f t="shared" si="68"/>
        <v>152.5</v>
      </c>
      <c r="T11" s="41">
        <f t="shared" si="68"/>
        <v>170</v>
      </c>
      <c r="U11" s="41">
        <f t="shared" si="68"/>
        <v>220</v>
      </c>
      <c r="V11" s="41">
        <f t="shared" si="68"/>
        <v>240</v>
      </c>
      <c r="W11" s="41">
        <f t="shared" ref="W11:X11" si="69">W7-W9</f>
        <v>248</v>
      </c>
      <c r="X11" s="41">
        <f t="shared" si="69"/>
        <v>270</v>
      </c>
      <c r="Y11" s="41">
        <f t="shared" ref="Y11:Z11" si="70">Y7-Y9</f>
        <v>272.5</v>
      </c>
      <c r="Z11" s="41">
        <f t="shared" si="70"/>
        <v>260</v>
      </c>
      <c r="AA11" s="41">
        <f t="shared" ref="AA11:AB11" si="71">AA7-AA9</f>
        <v>277.5</v>
      </c>
      <c r="AB11" s="41">
        <f t="shared" si="71"/>
        <v>355</v>
      </c>
      <c r="AC11" s="41">
        <f t="shared" ref="AC11:AD11" si="72">AC7-AC9</f>
        <v>338</v>
      </c>
      <c r="AD11" s="41">
        <f t="shared" si="72"/>
        <v>312.5</v>
      </c>
      <c r="AE11" s="41">
        <f t="shared" ref="AE11:AF11" si="73">AE7-AE9</f>
        <v>318</v>
      </c>
      <c r="AF11" s="41">
        <f t="shared" si="73"/>
        <v>295</v>
      </c>
      <c r="AG11" s="41">
        <f t="shared" ref="AG11:AH11" si="74">AG7-AG9</f>
        <v>307.5</v>
      </c>
      <c r="AH11" s="41">
        <f t="shared" si="74"/>
        <v>308</v>
      </c>
      <c r="AI11" s="41">
        <f t="shared" ref="AI11:AJ11" si="75">AI7-AI9</f>
        <v>300</v>
      </c>
      <c r="AJ11" s="41">
        <f t="shared" si="75"/>
        <v>297.5</v>
      </c>
      <c r="AK11" s="41">
        <f t="shared" ref="AK11:AL11" si="76">AK7-AK9</f>
        <v>225</v>
      </c>
      <c r="AL11" s="41">
        <f t="shared" si="76"/>
        <v>190</v>
      </c>
      <c r="AM11" s="41">
        <f t="shared" ref="AM11:AN11" si="77">AM7-AM9</f>
        <v>-78.75</v>
      </c>
      <c r="AN11" s="41">
        <f t="shared" si="77"/>
        <v>-1270</v>
      </c>
      <c r="AR11" s="117" t="s">
        <v>83</v>
      </c>
      <c r="AS11" s="41">
        <f>AS7-AS9</f>
        <v>120</v>
      </c>
      <c r="AT11" s="41">
        <f t="shared" ref="AT11:BM11" si="78">AT7-AT9</f>
        <v>120</v>
      </c>
      <c r="AU11" s="41">
        <f t="shared" si="78"/>
        <v>110</v>
      </c>
      <c r="AV11" s="41">
        <f t="shared" si="78"/>
        <v>110</v>
      </c>
      <c r="AW11" s="41">
        <f t="shared" si="78"/>
        <v>110</v>
      </c>
      <c r="AX11" s="41">
        <f t="shared" si="78"/>
        <v>120</v>
      </c>
      <c r="AY11" s="41">
        <f t="shared" si="78"/>
        <v>130</v>
      </c>
      <c r="AZ11" s="41">
        <f t="shared" si="78"/>
        <v>150</v>
      </c>
      <c r="BA11" s="41">
        <f t="shared" si="78"/>
        <v>150</v>
      </c>
      <c r="BB11" s="41">
        <f t="shared" si="78"/>
        <v>150</v>
      </c>
      <c r="BC11" s="41">
        <f t="shared" si="78"/>
        <v>150</v>
      </c>
      <c r="BD11" s="41">
        <f t="shared" si="78"/>
        <v>150</v>
      </c>
      <c r="BE11" s="41">
        <f t="shared" si="78"/>
        <v>150</v>
      </c>
      <c r="BF11" s="41">
        <f t="shared" si="78"/>
        <v>150</v>
      </c>
      <c r="BG11" s="41">
        <f t="shared" si="78"/>
        <v>150</v>
      </c>
      <c r="BH11" s="41">
        <f t="shared" si="78"/>
        <v>150</v>
      </c>
      <c r="BI11" s="41">
        <f t="shared" si="78"/>
        <v>150</v>
      </c>
      <c r="BJ11" s="41">
        <f t="shared" si="78"/>
        <v>150</v>
      </c>
      <c r="BK11" s="41">
        <f t="shared" si="78"/>
        <v>110</v>
      </c>
      <c r="BL11" s="41">
        <f t="shared" si="78"/>
        <v>110</v>
      </c>
      <c r="BM11" s="41">
        <f t="shared" si="78"/>
        <v>110</v>
      </c>
      <c r="BN11" s="41">
        <f t="shared" ref="BN11:BO11" si="79">BN7-BN9</f>
        <v>100</v>
      </c>
      <c r="BO11" s="41">
        <f t="shared" si="79"/>
        <v>110</v>
      </c>
      <c r="BP11" s="41">
        <f t="shared" ref="BP11:BQ11" si="80">BP7-BP9</f>
        <v>110</v>
      </c>
      <c r="BQ11" s="41">
        <f t="shared" si="80"/>
        <v>110</v>
      </c>
      <c r="BR11" s="41">
        <f t="shared" ref="BR11:BS11" si="81">BR7-BR9</f>
        <v>110</v>
      </c>
      <c r="BS11" s="41">
        <f t="shared" si="81"/>
        <v>110</v>
      </c>
      <c r="BT11" s="41">
        <f t="shared" ref="BT11:BU11" si="82">BT7-BT9</f>
        <v>110</v>
      </c>
      <c r="BU11" s="41">
        <f t="shared" si="82"/>
        <v>110</v>
      </c>
      <c r="BV11" s="41">
        <f t="shared" ref="BV11:BX11" si="83">BV7-BV9</f>
        <v>110</v>
      </c>
      <c r="BW11" s="41">
        <f t="shared" si="83"/>
        <v>110</v>
      </c>
      <c r="BX11" s="41">
        <f t="shared" si="83"/>
        <v>110</v>
      </c>
      <c r="BY11" s="41">
        <f t="shared" ref="BY11:BZ11" si="84">BY7-BY9</f>
        <v>160</v>
      </c>
      <c r="BZ11" s="41">
        <f t="shared" si="84"/>
        <v>160</v>
      </c>
      <c r="CA11" s="41">
        <f t="shared" ref="CA11:CB11" si="85">CA7-CA9</f>
        <v>160</v>
      </c>
      <c r="CB11" s="41">
        <f t="shared" si="85"/>
        <v>160</v>
      </c>
      <c r="CC11" s="41">
        <f t="shared" ref="CC11:CD11" si="86">CC7-CC9</f>
        <v>150</v>
      </c>
      <c r="CD11" s="41">
        <f t="shared" si="86"/>
        <v>150</v>
      </c>
      <c r="CE11" s="41">
        <f t="shared" ref="CE11:CF11" si="87">CE7-CE9</f>
        <v>150</v>
      </c>
      <c r="CF11" s="41">
        <f t="shared" si="87"/>
        <v>150</v>
      </c>
      <c r="CG11" s="41">
        <f t="shared" ref="CG11:CH11" si="88">CG7-CG9</f>
        <v>150</v>
      </c>
      <c r="CH11" s="41">
        <f t="shared" si="88"/>
        <v>150</v>
      </c>
      <c r="CI11" s="41">
        <f t="shared" ref="CI11:CJ11" si="89">CI7-CI9</f>
        <v>150</v>
      </c>
      <c r="CJ11" s="41">
        <f t="shared" si="89"/>
        <v>150</v>
      </c>
      <c r="CK11" s="41">
        <f t="shared" ref="CK11:CL11" si="90">CK7-CK9</f>
        <v>160</v>
      </c>
      <c r="CL11" s="41">
        <f t="shared" si="90"/>
        <v>160</v>
      </c>
      <c r="CM11" s="41">
        <f t="shared" ref="CM11:CN11" si="91">CM7-CM9</f>
        <v>160</v>
      </c>
      <c r="CN11" s="41">
        <f t="shared" si="91"/>
        <v>160</v>
      </c>
      <c r="CO11" s="41">
        <f t="shared" ref="CO11:CQ11" si="92">CO7-CO9</f>
        <v>170</v>
      </c>
      <c r="CP11" s="41">
        <f t="shared" si="92"/>
        <v>200</v>
      </c>
      <c r="CQ11" s="41">
        <f t="shared" si="92"/>
        <v>200</v>
      </c>
      <c r="CR11" s="41">
        <f t="shared" ref="CR11:CS11" si="93">CR7-CR9</f>
        <v>210</v>
      </c>
      <c r="CS11" s="41">
        <f t="shared" si="93"/>
        <v>230</v>
      </c>
      <c r="CT11" s="41">
        <f t="shared" ref="CT11:CV11" si="94">CT7-CT9</f>
        <v>240</v>
      </c>
      <c r="CU11" s="41">
        <f t="shared" si="94"/>
        <v>240</v>
      </c>
      <c r="CV11" s="41">
        <f t="shared" si="94"/>
        <v>240</v>
      </c>
      <c r="CW11" s="41">
        <f t="shared" ref="CW11:CX11" si="95">CW7-CW9</f>
        <v>240</v>
      </c>
      <c r="CX11" s="41">
        <f t="shared" si="95"/>
        <v>240</v>
      </c>
      <c r="CY11" s="41">
        <f t="shared" ref="CY11:DC11" si="96">CY7-CY9</f>
        <v>240</v>
      </c>
      <c r="CZ11" s="41">
        <f t="shared" si="96"/>
        <v>240</v>
      </c>
      <c r="DA11" s="41">
        <f t="shared" si="96"/>
        <v>240</v>
      </c>
      <c r="DB11" s="41">
        <f t="shared" si="96"/>
        <v>260</v>
      </c>
      <c r="DC11" s="41">
        <f t="shared" si="96"/>
        <v>260</v>
      </c>
      <c r="DD11" s="41">
        <f t="shared" ref="DD11:DG11" si="97">DD7-DD9</f>
        <v>260</v>
      </c>
      <c r="DE11" s="41">
        <f t="shared" si="97"/>
        <v>270</v>
      </c>
      <c r="DF11" s="41">
        <f t="shared" si="97"/>
        <v>270</v>
      </c>
      <c r="DG11" s="41">
        <f t="shared" si="97"/>
        <v>280</v>
      </c>
      <c r="DH11" s="41">
        <f t="shared" ref="DH11:DI11" si="98">DH7-DH9</f>
        <v>280</v>
      </c>
      <c r="DI11" s="41">
        <f t="shared" si="98"/>
        <v>280</v>
      </c>
      <c r="DJ11" s="41">
        <f t="shared" ref="DJ11:DK11" si="99">DJ7-DJ9</f>
        <v>280</v>
      </c>
      <c r="DK11" s="41">
        <f t="shared" si="99"/>
        <v>250</v>
      </c>
      <c r="DL11" s="41">
        <f t="shared" ref="DL11:DN11" si="100">DL7-DL9</f>
        <v>260</v>
      </c>
      <c r="DM11" s="41">
        <f t="shared" si="100"/>
        <v>260</v>
      </c>
      <c r="DN11" s="41">
        <f t="shared" si="100"/>
        <v>260</v>
      </c>
      <c r="DO11" s="41">
        <f t="shared" ref="DO11:DP11" si="101">DO7-DO9</f>
        <v>260</v>
      </c>
      <c r="DP11" s="41">
        <f t="shared" si="101"/>
        <v>260</v>
      </c>
      <c r="DQ11" s="41">
        <f t="shared" ref="DQ11:DS11" si="102">DQ7-DQ9</f>
        <v>270</v>
      </c>
      <c r="DR11" s="41">
        <f t="shared" si="102"/>
        <v>290</v>
      </c>
      <c r="DS11" s="41">
        <f t="shared" si="102"/>
        <v>290</v>
      </c>
      <c r="DT11" s="41">
        <f t="shared" ref="DT11:DW11" si="103">DT7-DT9</f>
        <v>320</v>
      </c>
      <c r="DU11" s="41">
        <f t="shared" si="103"/>
        <v>370</v>
      </c>
      <c r="DV11" s="41">
        <f t="shared" si="103"/>
        <v>370</v>
      </c>
      <c r="DW11" s="41">
        <f t="shared" si="103"/>
        <v>360</v>
      </c>
      <c r="DX11" s="41">
        <f t="shared" ref="DX11:EB11" si="104">DX7-DX9</f>
        <v>360</v>
      </c>
      <c r="DY11" s="41">
        <f t="shared" si="104"/>
        <v>360</v>
      </c>
      <c r="DZ11" s="41">
        <f t="shared" si="104"/>
        <v>320</v>
      </c>
      <c r="EA11" s="41">
        <f t="shared" si="104"/>
        <v>320</v>
      </c>
      <c r="EB11" s="41">
        <f t="shared" si="104"/>
        <v>330</v>
      </c>
      <c r="EC11" s="41">
        <f t="shared" ref="EC11:EF11" si="105">EC7-EC9</f>
        <v>320</v>
      </c>
      <c r="ED11" s="41">
        <f t="shared" si="105"/>
        <v>330</v>
      </c>
      <c r="EE11" s="41">
        <f t="shared" si="105"/>
        <v>300</v>
      </c>
      <c r="EF11" s="41">
        <f t="shared" si="105"/>
        <v>300</v>
      </c>
      <c r="EG11" s="41">
        <f t="shared" ref="EG11:EK11" si="106">EG7-EG9</f>
        <v>300</v>
      </c>
      <c r="EH11" s="41">
        <f t="shared" si="106"/>
        <v>300</v>
      </c>
      <c r="EI11" s="41">
        <f t="shared" si="106"/>
        <v>330</v>
      </c>
      <c r="EJ11" s="41">
        <f t="shared" si="106"/>
        <v>330</v>
      </c>
      <c r="EK11" s="41">
        <f t="shared" si="106"/>
        <v>330</v>
      </c>
      <c r="EL11" s="41">
        <f t="shared" ref="EL11:EO11" si="107">EL7-EL9</f>
        <v>290</v>
      </c>
      <c r="EM11" s="41">
        <f t="shared" si="107"/>
        <v>300</v>
      </c>
      <c r="EN11" s="41">
        <f t="shared" si="107"/>
        <v>300</v>
      </c>
      <c r="EO11" s="41">
        <f t="shared" si="107"/>
        <v>290</v>
      </c>
      <c r="EP11" s="41">
        <f t="shared" ref="EP11:ES11" si="108">EP7-EP9</f>
        <v>300</v>
      </c>
      <c r="EQ11" s="41">
        <f t="shared" si="108"/>
        <v>310</v>
      </c>
      <c r="ER11" s="41">
        <f t="shared" si="108"/>
        <v>310</v>
      </c>
      <c r="ES11" s="41">
        <f t="shared" si="108"/>
        <v>310</v>
      </c>
      <c r="ET11" s="41">
        <f t="shared" ref="ET11:EX11" si="109">ET7-ET9</f>
        <v>300</v>
      </c>
      <c r="EU11" s="41">
        <f t="shared" si="109"/>
        <v>300</v>
      </c>
      <c r="EV11" s="41">
        <f t="shared" si="109"/>
        <v>310</v>
      </c>
      <c r="EW11" s="41">
        <f t="shared" si="109"/>
        <v>320</v>
      </c>
      <c r="EX11" s="41">
        <f t="shared" si="109"/>
        <v>310</v>
      </c>
      <c r="EY11" s="41">
        <f t="shared" ref="EY11:FB11" si="110">EY7-EY9</f>
        <v>300</v>
      </c>
      <c r="EZ11" s="41">
        <f t="shared" si="110"/>
        <v>300</v>
      </c>
      <c r="FA11" s="41">
        <f t="shared" si="110"/>
        <v>300</v>
      </c>
      <c r="FB11" s="41">
        <f t="shared" si="110"/>
        <v>300</v>
      </c>
      <c r="FC11" s="41">
        <f t="shared" ref="FC11:FF11" si="111">FC7-FC9</f>
        <v>300</v>
      </c>
      <c r="FD11" s="41">
        <f t="shared" si="111"/>
        <v>300</v>
      </c>
      <c r="FE11" s="41">
        <f t="shared" si="111"/>
        <v>300</v>
      </c>
      <c r="FF11" s="41">
        <f t="shared" si="111"/>
        <v>290</v>
      </c>
      <c r="FG11" s="41">
        <f t="shared" ref="FG11:FK11" si="112">FG7-FG9</f>
        <v>235</v>
      </c>
      <c r="FH11" s="41">
        <f t="shared" si="112"/>
        <v>235</v>
      </c>
      <c r="FI11" s="41">
        <f t="shared" si="112"/>
        <v>235</v>
      </c>
      <c r="FJ11" s="41">
        <f t="shared" si="112"/>
        <v>210</v>
      </c>
      <c r="FK11" s="41">
        <f t="shared" si="112"/>
        <v>210</v>
      </c>
      <c r="FL11" s="41">
        <f t="shared" ref="FL11:FO11" si="113">FL7-FL9</f>
        <v>190</v>
      </c>
      <c r="FM11" s="41">
        <f t="shared" si="113"/>
        <v>190</v>
      </c>
      <c r="FN11" s="41">
        <f t="shared" si="113"/>
        <v>190</v>
      </c>
      <c r="FO11" s="41">
        <f t="shared" si="113"/>
        <v>190</v>
      </c>
      <c r="FP11" s="41">
        <f t="shared" ref="FP11:FS11" si="114">FP7-FP9</f>
        <v>95</v>
      </c>
      <c r="FQ11" s="41">
        <f t="shared" si="114"/>
        <v>-50</v>
      </c>
      <c r="FR11" s="41">
        <f t="shared" si="114"/>
        <v>-200</v>
      </c>
      <c r="FS11" s="41">
        <f t="shared" si="114"/>
        <v>10</v>
      </c>
    </row>
    <row r="12" spans="1:175" ht="15">
      <c r="F12" s="62"/>
      <c r="H12" s="1" t="s">
        <v>81</v>
      </c>
      <c r="I12" s="3" t="e">
        <f t="shared" ref="I12:N12" si="115">I11/I10</f>
        <v>#REF!</v>
      </c>
      <c r="J12" s="51">
        <f t="shared" si="115"/>
        <v>0.13821138211382114</v>
      </c>
      <c r="K12" s="51">
        <f t="shared" si="115"/>
        <v>0.16666666666666666</v>
      </c>
      <c r="L12" s="51">
        <f t="shared" si="115"/>
        <v>0.16666666666666666</v>
      </c>
      <c r="M12" s="51">
        <f t="shared" si="115"/>
        <v>0.12903225806451613</v>
      </c>
      <c r="N12" s="51">
        <f t="shared" si="115"/>
        <v>0.11307420494699642</v>
      </c>
      <c r="O12" s="51">
        <f t="shared" ref="O12:P12" si="116">O11/O10</f>
        <v>0.11702127659574468</v>
      </c>
      <c r="P12" s="51">
        <f t="shared" si="116"/>
        <v>0.11702127659574468</v>
      </c>
      <c r="Q12" s="51">
        <f t="shared" ref="Q12:R12" si="117">Q11/Q10</f>
        <v>0.16772823779193205</v>
      </c>
      <c r="R12" s="51">
        <f t="shared" si="117"/>
        <v>0.15789473684210525</v>
      </c>
      <c r="S12" s="51">
        <f t="shared" ref="S12:T12" si="118">S11/S10</f>
        <v>0.16094986807387862</v>
      </c>
      <c r="T12" s="51">
        <f t="shared" si="118"/>
        <v>0.18279569892473119</v>
      </c>
      <c r="U12" s="51">
        <f t="shared" ref="U12:V12" si="119">U11/U10</f>
        <v>0.25</v>
      </c>
      <c r="V12" s="51">
        <f t="shared" si="119"/>
        <v>0.27906976744186046</v>
      </c>
      <c r="W12" s="51">
        <f t="shared" ref="W12:X12" si="120">W11/W10</f>
        <v>0.29107981220657275</v>
      </c>
      <c r="X12" s="51">
        <f t="shared" si="120"/>
        <v>0.3253012048192771</v>
      </c>
      <c r="Y12" s="51">
        <f t="shared" ref="Y12:Z12" si="121">Y11/Y10</f>
        <v>0.32930513595166161</v>
      </c>
      <c r="Z12" s="51">
        <f t="shared" si="121"/>
        <v>0.30952380952380953</v>
      </c>
      <c r="AA12" s="51">
        <f t="shared" ref="AA12:AB12" si="122">AA11/AA10</f>
        <v>0.33738601823708209</v>
      </c>
      <c r="AB12" s="51">
        <f t="shared" si="122"/>
        <v>0.46405228758169936</v>
      </c>
      <c r="AC12" s="51">
        <f t="shared" ref="AC12:AD12" si="123">AC11/AC10</f>
        <v>0.43222506393861893</v>
      </c>
      <c r="AD12" s="51">
        <f t="shared" si="123"/>
        <v>0.38699690402476783</v>
      </c>
      <c r="AE12" s="51">
        <f t="shared" ref="AE12:AF12" si="124">AE11/AE10</f>
        <v>0.39650872817955113</v>
      </c>
      <c r="AF12" s="51">
        <f t="shared" si="124"/>
        <v>0.37106918238993708</v>
      </c>
      <c r="AG12" s="51">
        <f t="shared" ref="AG12:AH12" si="125">AG11/AG10</f>
        <v>0.39297124600638977</v>
      </c>
      <c r="AH12" s="51">
        <f t="shared" si="125"/>
        <v>0.39896373056994816</v>
      </c>
      <c r="AI12" s="51">
        <f t="shared" ref="AI12:AJ12" si="126">AI11/AI10</f>
        <v>0.38961038961038963</v>
      </c>
      <c r="AJ12" s="51">
        <f t="shared" si="126"/>
        <v>0.38511326860841422</v>
      </c>
      <c r="AK12" s="51">
        <f t="shared" ref="AK12:AL12" si="127">AK11/AK10</f>
        <v>0.27950310559006208</v>
      </c>
      <c r="AL12" s="51">
        <f t="shared" si="127"/>
        <v>0.22619047619047619</v>
      </c>
      <c r="AM12" s="51">
        <f t="shared" ref="AM12:AN12" si="128">AM11/AM10</f>
        <v>-7.1025930101465615E-2</v>
      </c>
      <c r="AN12" s="51">
        <f t="shared" si="128"/>
        <v>-1.1140350877192982</v>
      </c>
      <c r="AR12" s="1" t="s">
        <v>81</v>
      </c>
      <c r="AS12" s="51">
        <f t="shared" ref="AS12:AX12" si="129">+AS11/AS10</f>
        <v>0.12903225806451613</v>
      </c>
      <c r="AT12" s="51">
        <f t="shared" si="129"/>
        <v>0.12903225806451613</v>
      </c>
      <c r="AU12" s="51">
        <f t="shared" si="129"/>
        <v>0.11702127659574468</v>
      </c>
      <c r="AV12" s="51">
        <f t="shared" si="129"/>
        <v>0.11702127659574468</v>
      </c>
      <c r="AW12" s="51">
        <f t="shared" si="129"/>
        <v>0.11702127659574468</v>
      </c>
      <c r="AX12" s="51">
        <f t="shared" si="129"/>
        <v>0.12903225806451613</v>
      </c>
      <c r="AY12" s="51">
        <f t="shared" ref="AY12:BD12" si="130">+AY11/AY10</f>
        <v>0.14130434782608695</v>
      </c>
      <c r="AZ12" s="51">
        <f t="shared" si="130"/>
        <v>0.16666666666666666</v>
      </c>
      <c r="BA12" s="51">
        <f t="shared" si="130"/>
        <v>0.16666666666666666</v>
      </c>
      <c r="BB12" s="51">
        <f t="shared" si="130"/>
        <v>0.16666666666666666</v>
      </c>
      <c r="BC12" s="51">
        <f t="shared" si="130"/>
        <v>0.16666666666666666</v>
      </c>
      <c r="BD12" s="51">
        <f t="shared" si="130"/>
        <v>0.16666666666666666</v>
      </c>
      <c r="BE12" s="51">
        <f t="shared" ref="BE12:BF12" si="131">+BE11/BE10</f>
        <v>0.16666666666666666</v>
      </c>
      <c r="BF12" s="51">
        <f t="shared" si="131"/>
        <v>0.16666666666666666</v>
      </c>
      <c r="BG12" s="51">
        <f t="shared" ref="BG12:BH12" si="132">+BG11/BG10</f>
        <v>0.16666666666666666</v>
      </c>
      <c r="BH12" s="51">
        <f t="shared" si="132"/>
        <v>0.16666666666666666</v>
      </c>
      <c r="BI12" s="51">
        <f t="shared" ref="BI12:BJ12" si="133">+BI11/BI10</f>
        <v>0.16666666666666666</v>
      </c>
      <c r="BJ12" s="51">
        <f t="shared" si="133"/>
        <v>0.16666666666666666</v>
      </c>
      <c r="BK12" s="51">
        <f t="shared" ref="BK12:BL12" si="134">+BK11/BK10</f>
        <v>0.11702127659574468</v>
      </c>
      <c r="BL12" s="51">
        <f t="shared" si="134"/>
        <v>0.11702127659574468</v>
      </c>
      <c r="BM12" s="51">
        <f>+BM11/BM10</f>
        <v>0.11702127659574468</v>
      </c>
      <c r="BN12" s="51">
        <f>+BN11/BN10</f>
        <v>0.10526315789473684</v>
      </c>
      <c r="BO12" s="51">
        <f>+BO11/BO10</f>
        <v>0.11702127659574468</v>
      </c>
      <c r="BP12" s="51">
        <f t="shared" ref="BP12:BQ12" si="135">+BP11/BP10</f>
        <v>0.11702127659574468</v>
      </c>
      <c r="BQ12" s="51">
        <f t="shared" si="135"/>
        <v>0.11702127659574468</v>
      </c>
      <c r="BR12" s="51">
        <f t="shared" ref="BR12:BS12" si="136">+BR11/BR10</f>
        <v>0.11702127659574468</v>
      </c>
      <c r="BS12" s="51">
        <f t="shared" si="136"/>
        <v>0.11702127659574468</v>
      </c>
      <c r="BT12" s="51">
        <f t="shared" ref="BT12:BU12" si="137">+BT11/BT10</f>
        <v>0.11702127659574468</v>
      </c>
      <c r="BU12" s="51">
        <f t="shared" si="137"/>
        <v>0.11702127659574468</v>
      </c>
      <c r="BV12" s="51">
        <f t="shared" ref="BV12:BX12" si="138">+BV11/BV10</f>
        <v>0.11702127659574468</v>
      </c>
      <c r="BW12" s="51">
        <f t="shared" si="138"/>
        <v>0.11702127659574468</v>
      </c>
      <c r="BX12" s="51">
        <f t="shared" si="138"/>
        <v>0.11702127659574468</v>
      </c>
      <c r="BY12" s="51">
        <f t="shared" ref="BY12:BZ12" si="139">+BY11/BY10</f>
        <v>0.1702127659574468</v>
      </c>
      <c r="BZ12" s="51">
        <f t="shared" si="139"/>
        <v>0.1702127659574468</v>
      </c>
      <c r="CA12" s="51">
        <f t="shared" ref="CA12:CB12" si="140">+CA11/CA10</f>
        <v>0.1702127659574468</v>
      </c>
      <c r="CB12" s="51">
        <f t="shared" si="140"/>
        <v>0.1702127659574468</v>
      </c>
      <c r="CC12" s="51">
        <f t="shared" ref="CC12:CD12" si="141">+CC11/CC10</f>
        <v>0.15789473684210525</v>
      </c>
      <c r="CD12" s="51">
        <f t="shared" si="141"/>
        <v>0.15789473684210525</v>
      </c>
      <c r="CE12" s="51">
        <f t="shared" ref="CE12:CF12" si="142">+CE11/CE10</f>
        <v>0.15789473684210525</v>
      </c>
      <c r="CF12" s="51">
        <f t="shared" si="142"/>
        <v>0.15789473684210525</v>
      </c>
      <c r="CG12" s="51">
        <f t="shared" ref="CG12:CH12" si="143">+CG11/CG10</f>
        <v>0.15789473684210525</v>
      </c>
      <c r="CH12" s="51">
        <f t="shared" si="143"/>
        <v>0.15789473684210525</v>
      </c>
      <c r="CI12" s="51">
        <f t="shared" ref="CI12:CJ12" si="144">+CI11/CI10</f>
        <v>0.15789473684210525</v>
      </c>
      <c r="CJ12" s="51">
        <f t="shared" si="144"/>
        <v>0.15789473684210525</v>
      </c>
      <c r="CK12" s="51">
        <f t="shared" ref="CK12:CL12" si="145">+CK11/CK10</f>
        <v>0.1702127659574468</v>
      </c>
      <c r="CL12" s="51">
        <f t="shared" si="145"/>
        <v>0.1702127659574468</v>
      </c>
      <c r="CM12" s="51">
        <f t="shared" ref="CM12:CN12" si="146">+CM11/CM10</f>
        <v>0.1702127659574468</v>
      </c>
      <c r="CN12" s="51">
        <f t="shared" si="146"/>
        <v>0.1702127659574468</v>
      </c>
      <c r="CO12" s="51">
        <f t="shared" ref="CO12:CQ12" si="147">+CO11/CO10</f>
        <v>0.18279569892473119</v>
      </c>
      <c r="CP12" s="51">
        <f t="shared" si="147"/>
        <v>0.22222222222222221</v>
      </c>
      <c r="CQ12" s="51">
        <f t="shared" si="147"/>
        <v>0.22222222222222221</v>
      </c>
      <c r="CR12" s="51">
        <f t="shared" ref="CR12:CS12" si="148">+CR11/CR10</f>
        <v>0.23595505617977527</v>
      </c>
      <c r="CS12" s="51">
        <f t="shared" si="148"/>
        <v>0.26436781609195403</v>
      </c>
      <c r="CT12" s="51">
        <f t="shared" ref="CT12:CV12" si="149">+CT11/CT10</f>
        <v>0.27906976744186046</v>
      </c>
      <c r="CU12" s="51">
        <f t="shared" si="149"/>
        <v>0.27906976744186046</v>
      </c>
      <c r="CV12" s="51">
        <f t="shared" si="149"/>
        <v>0.27906976744186046</v>
      </c>
      <c r="CW12" s="51">
        <f t="shared" ref="CW12:CX12" si="150">+CW11/CW10</f>
        <v>0.27906976744186046</v>
      </c>
      <c r="CX12" s="51">
        <f t="shared" si="150"/>
        <v>0.27906976744186046</v>
      </c>
      <c r="CY12" s="51">
        <f t="shared" ref="CY12:DC12" si="151">+CY11/CY10</f>
        <v>0.27906976744186046</v>
      </c>
      <c r="CZ12" s="51">
        <f t="shared" si="151"/>
        <v>0.27906976744186046</v>
      </c>
      <c r="DA12" s="51">
        <f t="shared" si="151"/>
        <v>0.27906976744186046</v>
      </c>
      <c r="DB12" s="51">
        <f t="shared" si="151"/>
        <v>0.30952380952380953</v>
      </c>
      <c r="DC12" s="51">
        <f t="shared" si="151"/>
        <v>0.30952380952380953</v>
      </c>
      <c r="DD12" s="51">
        <f t="shared" ref="DD12:DG12" si="152">+DD11/DD10</f>
        <v>0.30952380952380953</v>
      </c>
      <c r="DE12" s="51">
        <f t="shared" si="152"/>
        <v>0.3253012048192771</v>
      </c>
      <c r="DF12" s="51">
        <f t="shared" si="152"/>
        <v>0.3253012048192771</v>
      </c>
      <c r="DG12" s="51">
        <f t="shared" si="152"/>
        <v>0.34146341463414637</v>
      </c>
      <c r="DH12" s="51">
        <f t="shared" ref="DH12:DI12" si="153">+DH11/DH10</f>
        <v>0.34146341463414637</v>
      </c>
      <c r="DI12" s="51">
        <f t="shared" si="153"/>
        <v>0.34146341463414637</v>
      </c>
      <c r="DJ12" s="51">
        <f t="shared" ref="DJ12:DK12" si="154">+DJ11/DJ10</f>
        <v>0.34146341463414637</v>
      </c>
      <c r="DK12" s="51">
        <f t="shared" si="154"/>
        <v>0.29411764705882354</v>
      </c>
      <c r="DL12" s="51">
        <f t="shared" ref="DL12:DN12" si="155">+DL11/DL10</f>
        <v>0.30952380952380953</v>
      </c>
      <c r="DM12" s="51">
        <f t="shared" si="155"/>
        <v>0.30952380952380953</v>
      </c>
      <c r="DN12" s="51">
        <f t="shared" si="155"/>
        <v>0.30952380952380953</v>
      </c>
      <c r="DO12" s="51">
        <f t="shared" ref="DO12:DP12" si="156">+DO11/DO10</f>
        <v>0.30952380952380953</v>
      </c>
      <c r="DP12" s="51">
        <f t="shared" si="156"/>
        <v>0.30952380952380953</v>
      </c>
      <c r="DQ12" s="51">
        <f t="shared" ref="DQ12:DS12" si="157">+DQ11/DQ10</f>
        <v>0.3253012048192771</v>
      </c>
      <c r="DR12" s="51">
        <f t="shared" si="157"/>
        <v>0.35802469135802467</v>
      </c>
      <c r="DS12" s="51">
        <f t="shared" si="157"/>
        <v>0.35802469135802467</v>
      </c>
      <c r="DT12" s="51">
        <f t="shared" ref="DT12:DW12" si="158">+DT11/DT10</f>
        <v>0.4</v>
      </c>
      <c r="DU12" s="51">
        <f t="shared" si="158"/>
        <v>0.49333333333333335</v>
      </c>
      <c r="DV12" s="51">
        <f t="shared" si="158"/>
        <v>0.49333333333333335</v>
      </c>
      <c r="DW12" s="51">
        <f t="shared" si="158"/>
        <v>0.47368421052631576</v>
      </c>
      <c r="DX12" s="51">
        <f t="shared" ref="DX12:EB12" si="159">+DX11/DX10</f>
        <v>0.47368421052631576</v>
      </c>
      <c r="DY12" s="51">
        <f t="shared" si="159"/>
        <v>0.47368421052631576</v>
      </c>
      <c r="DZ12" s="51">
        <f t="shared" si="159"/>
        <v>0.4</v>
      </c>
      <c r="EA12" s="51">
        <f t="shared" si="159"/>
        <v>0.4</v>
      </c>
      <c r="EB12" s="51">
        <f t="shared" si="159"/>
        <v>0.41772151898734178</v>
      </c>
      <c r="EC12" s="51">
        <f t="shared" ref="EC12:EF12" si="160">+EC11/EC10</f>
        <v>0.4</v>
      </c>
      <c r="ED12" s="51">
        <f t="shared" si="160"/>
        <v>0.41772151898734178</v>
      </c>
      <c r="EE12" s="51">
        <f t="shared" si="160"/>
        <v>0.36585365853658536</v>
      </c>
      <c r="EF12" s="51">
        <f t="shared" si="160"/>
        <v>0.36585365853658536</v>
      </c>
      <c r="EG12" s="51">
        <f t="shared" ref="EG12:EK12" si="161">+EG11/EG10</f>
        <v>0.36585365853658536</v>
      </c>
      <c r="EH12" s="51">
        <f t="shared" si="161"/>
        <v>0.36585365853658536</v>
      </c>
      <c r="EI12" s="51">
        <f t="shared" si="161"/>
        <v>0.41772151898734178</v>
      </c>
      <c r="EJ12" s="51">
        <f t="shared" si="161"/>
        <v>0.41772151898734178</v>
      </c>
      <c r="EK12" s="51">
        <f t="shared" si="161"/>
        <v>0.41772151898734178</v>
      </c>
      <c r="EL12" s="51">
        <f t="shared" ref="EL12:EO12" si="162">+EL11/EL10</f>
        <v>0.36249999999999999</v>
      </c>
      <c r="EM12" s="51">
        <f t="shared" si="162"/>
        <v>0.379746835443038</v>
      </c>
      <c r="EN12" s="51">
        <f t="shared" si="162"/>
        <v>0.379746835443038</v>
      </c>
      <c r="EO12" s="51">
        <f t="shared" si="162"/>
        <v>0.36249999999999999</v>
      </c>
      <c r="EP12" s="51">
        <f t="shared" ref="EP12:ES12" si="163">+EP11/EP10</f>
        <v>0.379746835443038</v>
      </c>
      <c r="EQ12" s="51">
        <f t="shared" si="163"/>
        <v>0.39743589743589741</v>
      </c>
      <c r="ER12" s="51">
        <f t="shared" si="163"/>
        <v>0.39743589743589741</v>
      </c>
      <c r="ES12" s="51">
        <f t="shared" si="163"/>
        <v>0.39743589743589741</v>
      </c>
      <c r="ET12" s="51">
        <f t="shared" ref="ET12:EX12" si="164">+ET11/ET10</f>
        <v>0.38461538461538464</v>
      </c>
      <c r="EU12" s="51">
        <f t="shared" si="164"/>
        <v>0.38461538461538464</v>
      </c>
      <c r="EV12" s="51">
        <f t="shared" si="164"/>
        <v>0.40259740259740262</v>
      </c>
      <c r="EW12" s="51">
        <f t="shared" si="164"/>
        <v>0.42105263157894735</v>
      </c>
      <c r="EX12" s="51">
        <f t="shared" si="164"/>
        <v>0.40259740259740262</v>
      </c>
      <c r="EY12" s="51">
        <f t="shared" ref="EY12:FB12" si="165">+EY11/EY10</f>
        <v>0.38961038961038963</v>
      </c>
      <c r="EZ12" s="51">
        <f t="shared" si="165"/>
        <v>0.38961038961038963</v>
      </c>
      <c r="FA12" s="51">
        <f t="shared" si="165"/>
        <v>0.38961038961038963</v>
      </c>
      <c r="FB12" s="51">
        <f t="shared" si="165"/>
        <v>0.38961038961038963</v>
      </c>
      <c r="FC12" s="51">
        <f t="shared" ref="FC12:FF12" si="166">+FC11/FC10</f>
        <v>0.38961038961038963</v>
      </c>
      <c r="FD12" s="51">
        <f t="shared" si="166"/>
        <v>0.38961038961038963</v>
      </c>
      <c r="FE12" s="51">
        <f t="shared" si="166"/>
        <v>0.38961038961038963</v>
      </c>
      <c r="FF12" s="51">
        <f t="shared" si="166"/>
        <v>0.37179487179487181</v>
      </c>
      <c r="FG12" s="51">
        <f t="shared" ref="FG12:FK12" si="167">+FG11/FG10</f>
        <v>0.29559748427672955</v>
      </c>
      <c r="FH12" s="51">
        <f t="shared" si="167"/>
        <v>0.29559748427672955</v>
      </c>
      <c r="FI12" s="51">
        <f t="shared" si="167"/>
        <v>0.29559748427672955</v>
      </c>
      <c r="FJ12" s="51">
        <f t="shared" si="167"/>
        <v>0.25609756097560976</v>
      </c>
      <c r="FK12" s="51">
        <f t="shared" si="167"/>
        <v>0.25609756097560976</v>
      </c>
      <c r="FL12" s="51">
        <f t="shared" ref="FL12:FO12" si="168">+FL11/FL10</f>
        <v>0.22619047619047619</v>
      </c>
      <c r="FM12" s="51">
        <f t="shared" si="168"/>
        <v>0.22619047619047619</v>
      </c>
      <c r="FN12" s="51">
        <f t="shared" si="168"/>
        <v>0.22619047619047619</v>
      </c>
      <c r="FO12" s="51">
        <f t="shared" si="168"/>
        <v>0.22619047619047619</v>
      </c>
      <c r="FP12" s="51">
        <f t="shared" ref="FP12:FS12" si="169">+FP11/FP10</f>
        <v>0.10160427807486631</v>
      </c>
      <c r="FQ12" s="51">
        <f t="shared" si="169"/>
        <v>-4.6296296296296294E-2</v>
      </c>
      <c r="FR12" s="51">
        <f t="shared" si="169"/>
        <v>-0.15625</v>
      </c>
      <c r="FS12" s="51">
        <f t="shared" si="169"/>
        <v>8.771929824561403E-3</v>
      </c>
    </row>
    <row r="13" spans="1:175" ht="15.5">
      <c r="F13" s="63"/>
      <c r="H13" s="1" t="s">
        <v>87</v>
      </c>
      <c r="I13" s="3">
        <v>903</v>
      </c>
      <c r="J13" s="3">
        <v>729</v>
      </c>
      <c r="K13" s="3">
        <v>729</v>
      </c>
      <c r="L13" s="3">
        <v>729</v>
      </c>
      <c r="M13" s="3">
        <v>729</v>
      </c>
      <c r="N13" s="3">
        <v>729</v>
      </c>
      <c r="O13" s="3">
        <v>729</v>
      </c>
      <c r="P13" s="3">
        <v>729</v>
      </c>
      <c r="Q13" s="3">
        <v>729</v>
      </c>
      <c r="R13" s="3">
        <v>729</v>
      </c>
      <c r="S13" s="3">
        <v>679</v>
      </c>
      <c r="T13" s="3">
        <v>729</v>
      </c>
      <c r="U13" s="3">
        <v>729</v>
      </c>
      <c r="V13" s="3">
        <v>736.19206717841803</v>
      </c>
      <c r="W13" s="3">
        <v>736.19206717841803</v>
      </c>
      <c r="X13" s="3">
        <v>679.74611518704489</v>
      </c>
      <c r="Y13" s="3">
        <v>668.04613132777956</v>
      </c>
      <c r="Z13" s="3">
        <v>694.46136145567061</v>
      </c>
      <c r="AA13" s="3">
        <v>704.64253339668858</v>
      </c>
      <c r="AB13" s="3">
        <v>693.32467456021789</v>
      </c>
      <c r="AC13" s="3">
        <v>701.49240475275428</v>
      </c>
      <c r="AD13" s="3">
        <v>711.95211896874696</v>
      </c>
      <c r="AE13" s="3">
        <v>716.07583093115807</v>
      </c>
      <c r="AF13" s="3">
        <v>711.5515229380502</v>
      </c>
      <c r="AG13" s="3">
        <v>657.6425700422576</v>
      </c>
      <c r="AH13" s="3">
        <v>655.42324121217587</v>
      </c>
      <c r="AI13" s="3">
        <v>687.77689086730652</v>
      </c>
      <c r="AJ13" s="3">
        <v>599.05685394273485</v>
      </c>
      <c r="AK13" s="3">
        <v>646.08292221736849</v>
      </c>
      <c r="AL13" s="3">
        <v>621.38247673824969</v>
      </c>
      <c r="AM13" s="3">
        <v>578.95337311294793</v>
      </c>
      <c r="AR13" s="1" t="s">
        <v>87</v>
      </c>
      <c r="AS13" s="3">
        <v>729</v>
      </c>
      <c r="AT13" s="3">
        <v>729</v>
      </c>
      <c r="AU13" s="3">
        <v>729</v>
      </c>
      <c r="AV13" s="3">
        <v>729</v>
      </c>
      <c r="AW13" s="3">
        <v>729</v>
      </c>
      <c r="AX13" s="3">
        <v>729</v>
      </c>
      <c r="AY13" s="3">
        <v>729</v>
      </c>
      <c r="AZ13" s="3">
        <v>729</v>
      </c>
      <c r="BA13" s="3">
        <v>729</v>
      </c>
      <c r="BB13" s="3">
        <v>729</v>
      </c>
      <c r="BC13" s="3">
        <v>729</v>
      </c>
      <c r="BD13" s="3">
        <v>729</v>
      </c>
      <c r="BE13" s="3">
        <v>729</v>
      </c>
      <c r="BF13" s="3">
        <v>729</v>
      </c>
      <c r="BG13" s="3">
        <v>729</v>
      </c>
      <c r="BH13" s="3">
        <v>729</v>
      </c>
      <c r="BI13" s="3">
        <v>729</v>
      </c>
      <c r="BJ13" s="3">
        <v>729</v>
      </c>
      <c r="BK13" s="3">
        <v>729</v>
      </c>
      <c r="BL13" s="3">
        <v>729</v>
      </c>
      <c r="BM13" s="3">
        <v>729</v>
      </c>
      <c r="BN13" s="3">
        <v>729</v>
      </c>
      <c r="BO13" s="3">
        <v>729</v>
      </c>
      <c r="BP13" s="3">
        <v>729</v>
      </c>
      <c r="BQ13" s="3">
        <v>729</v>
      </c>
      <c r="BR13" s="3">
        <v>729</v>
      </c>
      <c r="BS13" s="3">
        <v>729</v>
      </c>
      <c r="BT13" s="3">
        <v>729</v>
      </c>
      <c r="BU13" s="3">
        <v>729</v>
      </c>
      <c r="BV13" s="3">
        <v>729</v>
      </c>
      <c r="BW13" s="3">
        <v>729</v>
      </c>
      <c r="BX13" s="3">
        <v>729</v>
      </c>
      <c r="BY13" s="3">
        <v>729</v>
      </c>
      <c r="BZ13" s="3">
        <v>729</v>
      </c>
      <c r="CA13" s="3">
        <v>729</v>
      </c>
      <c r="CB13" s="3">
        <v>729</v>
      </c>
      <c r="CC13" s="3">
        <v>729</v>
      </c>
      <c r="CD13" s="3">
        <v>729</v>
      </c>
      <c r="CE13" s="3">
        <v>729</v>
      </c>
      <c r="CF13" s="3">
        <v>729</v>
      </c>
      <c r="CG13" s="3">
        <v>729</v>
      </c>
      <c r="CH13" s="3">
        <v>679</v>
      </c>
      <c r="CI13" s="3">
        <v>679</v>
      </c>
      <c r="CJ13" s="3">
        <v>679</v>
      </c>
      <c r="CK13" s="3">
        <v>679</v>
      </c>
      <c r="CL13" s="3">
        <v>729</v>
      </c>
      <c r="CM13" s="3">
        <v>729</v>
      </c>
      <c r="CN13" s="3">
        <v>729</v>
      </c>
      <c r="CO13" s="3">
        <v>729</v>
      </c>
      <c r="CP13" s="3">
        <v>729</v>
      </c>
      <c r="CQ13" s="3">
        <v>729</v>
      </c>
      <c r="CR13" s="3">
        <v>729</v>
      </c>
      <c r="CS13" s="3">
        <v>729</v>
      </c>
      <c r="CT13" s="3">
        <v>729</v>
      </c>
      <c r="CU13" s="3">
        <v>736.19206717841803</v>
      </c>
      <c r="CV13" s="3">
        <v>736.19206717841803</v>
      </c>
      <c r="CW13" s="3">
        <v>736.19206717841803</v>
      </c>
      <c r="CX13" s="3">
        <v>736.19206717841803</v>
      </c>
      <c r="CY13" s="3">
        <v>736.19206717841803</v>
      </c>
      <c r="CZ13" s="3">
        <v>736.19206717841803</v>
      </c>
      <c r="DA13" s="3">
        <v>736.19206717841803</v>
      </c>
      <c r="DB13" s="3">
        <v>736.19206717841803</v>
      </c>
      <c r="DC13" s="3">
        <v>736.19206717841803</v>
      </c>
      <c r="DD13" s="3">
        <v>679.74611518704489</v>
      </c>
      <c r="DE13" s="3">
        <v>679.74611518704489</v>
      </c>
      <c r="DF13" s="3">
        <v>679.74611518704489</v>
      </c>
      <c r="DG13" s="3">
        <v>679.74611518704489</v>
      </c>
      <c r="DH13" s="3">
        <v>668.04613132777956</v>
      </c>
      <c r="DI13" s="3">
        <v>668.04613132777956</v>
      </c>
      <c r="DJ13" s="3">
        <v>668.04613132777956</v>
      </c>
      <c r="DK13" s="3">
        <v>668.04613132777956</v>
      </c>
      <c r="DL13" s="3">
        <v>694.46136145567061</v>
      </c>
      <c r="DM13" s="3">
        <v>694.46136145567061</v>
      </c>
      <c r="DN13" s="3">
        <v>694.46136145567061</v>
      </c>
      <c r="DO13" s="3">
        <v>694.46136145567061</v>
      </c>
      <c r="DP13" s="3">
        <v>704.64253339668858</v>
      </c>
      <c r="DQ13" s="3">
        <v>704.64253339668858</v>
      </c>
      <c r="DR13" s="3">
        <v>704.64253339668858</v>
      </c>
      <c r="DS13" s="3">
        <v>704.64253339668858</v>
      </c>
      <c r="DT13" s="3">
        <v>693.32467456021789</v>
      </c>
      <c r="DU13" s="3">
        <v>693.32467456021789</v>
      </c>
      <c r="DV13" s="3">
        <v>693.32467456021789</v>
      </c>
      <c r="DW13" s="3">
        <v>693.32467456021789</v>
      </c>
      <c r="DX13" s="3">
        <v>701.49240475275428</v>
      </c>
      <c r="DY13" s="3">
        <v>701.49240475275428</v>
      </c>
      <c r="DZ13" s="3">
        <v>701.49240475275428</v>
      </c>
      <c r="EA13" s="3">
        <v>701.49240475275428</v>
      </c>
      <c r="EB13" s="3">
        <v>701.49240475275428</v>
      </c>
      <c r="EC13" s="3">
        <v>711.95211896874696</v>
      </c>
      <c r="ED13" s="3">
        <v>711.95211896874696</v>
      </c>
      <c r="EE13" s="3">
        <v>711.95211896874696</v>
      </c>
      <c r="EF13" s="3">
        <v>711.95211896874696</v>
      </c>
      <c r="EG13" s="3">
        <v>716.07583093115807</v>
      </c>
      <c r="EH13" s="3">
        <v>716.07583093115807</v>
      </c>
      <c r="EI13" s="3">
        <v>716.07583093115807</v>
      </c>
      <c r="EJ13" s="3">
        <v>716.07583093115807</v>
      </c>
      <c r="EK13" s="3">
        <v>716.07583093115807</v>
      </c>
      <c r="EL13" s="3">
        <v>711.5515229380502</v>
      </c>
      <c r="EM13" s="3">
        <v>711.5515229380502</v>
      </c>
      <c r="EN13" s="3">
        <v>711.5515229380502</v>
      </c>
      <c r="EO13" s="3">
        <v>711.5515229380502</v>
      </c>
      <c r="EP13" s="3">
        <v>657.6425700422576</v>
      </c>
      <c r="EQ13" s="3">
        <v>657.6425700422576</v>
      </c>
      <c r="ER13" s="3">
        <v>657.6425700422576</v>
      </c>
      <c r="ES13" s="3">
        <v>657.6425700422576</v>
      </c>
      <c r="ET13" s="3">
        <v>655.42324121217587</v>
      </c>
      <c r="EU13" s="3">
        <v>655.42324121217587</v>
      </c>
      <c r="EV13" s="3">
        <v>655.42324121217587</v>
      </c>
      <c r="EW13" s="3">
        <v>655.42324121217587</v>
      </c>
      <c r="EX13" s="3">
        <v>655.42324121217587</v>
      </c>
      <c r="EY13" s="3">
        <v>687.77689086730652</v>
      </c>
      <c r="EZ13" s="3">
        <v>687.77689086730652</v>
      </c>
      <c r="FA13" s="3">
        <v>687.77689086730652</v>
      </c>
      <c r="FB13" s="3">
        <v>687.77689086730652</v>
      </c>
      <c r="FC13" s="3">
        <v>599.05685394273485</v>
      </c>
      <c r="FD13" s="3">
        <v>599.05685394273485</v>
      </c>
      <c r="FE13" s="3">
        <v>599.05685394273485</v>
      </c>
      <c r="FF13" s="3">
        <v>599.05685394273485</v>
      </c>
      <c r="FG13" s="3">
        <v>646.08292221736849</v>
      </c>
      <c r="FH13" s="3">
        <v>646.08292221736849</v>
      </c>
      <c r="FI13" s="3">
        <v>646.08292221736849</v>
      </c>
      <c r="FJ13" s="3">
        <v>646.08292221736849</v>
      </c>
      <c r="FK13" s="3">
        <v>646.08292221736849</v>
      </c>
      <c r="FL13" s="3">
        <v>621.38247673824969</v>
      </c>
      <c r="FM13" s="3">
        <v>621.38247673824969</v>
      </c>
      <c r="FN13" s="3">
        <v>621.38247673824969</v>
      </c>
      <c r="FO13" s="3">
        <v>621.38247673824969</v>
      </c>
      <c r="FP13" s="3">
        <v>578.95337311294793</v>
      </c>
      <c r="FQ13" s="3">
        <v>578.95337311294793</v>
      </c>
      <c r="FR13" s="3">
        <v>578.95337311294793</v>
      </c>
      <c r="FS13" s="3">
        <v>578.95337311294793</v>
      </c>
    </row>
    <row r="14" spans="1:175" ht="15.5">
      <c r="F14" s="64"/>
      <c r="H14" s="1" t="s">
        <v>111</v>
      </c>
      <c r="I14" s="3">
        <v>1140</v>
      </c>
      <c r="J14" s="3">
        <v>1140</v>
      </c>
      <c r="K14" s="3">
        <v>1140</v>
      </c>
      <c r="L14" s="3">
        <v>1140</v>
      </c>
      <c r="M14" s="3">
        <v>1140</v>
      </c>
      <c r="N14" s="3">
        <v>1140</v>
      </c>
      <c r="O14" s="3">
        <v>1140</v>
      </c>
      <c r="P14" s="3">
        <v>1140</v>
      </c>
      <c r="Q14" s="3">
        <v>1140</v>
      </c>
      <c r="R14" s="3">
        <v>1140</v>
      </c>
      <c r="AR14" s="1" t="s">
        <v>134</v>
      </c>
      <c r="AS14" s="41">
        <v>1140</v>
      </c>
      <c r="AT14" s="41">
        <v>1140</v>
      </c>
      <c r="AU14" s="41">
        <v>1140</v>
      </c>
      <c r="AV14" s="41">
        <v>1140</v>
      </c>
      <c r="AW14" s="41">
        <v>1140</v>
      </c>
      <c r="AX14" s="41">
        <v>1140</v>
      </c>
      <c r="AY14" s="41">
        <v>1140</v>
      </c>
      <c r="AZ14" s="41">
        <v>1140</v>
      </c>
      <c r="BA14" s="41">
        <v>1140</v>
      </c>
      <c r="BB14" s="41">
        <v>1140</v>
      </c>
      <c r="BC14" s="41">
        <v>1140</v>
      </c>
      <c r="BD14" s="41">
        <v>1140</v>
      </c>
      <c r="BE14" s="41">
        <v>1140</v>
      </c>
      <c r="BF14" s="41">
        <v>1140</v>
      </c>
      <c r="BG14" s="41">
        <v>1140</v>
      </c>
      <c r="BH14" s="41">
        <v>1140</v>
      </c>
      <c r="BI14" s="41">
        <v>1140</v>
      </c>
      <c r="BJ14" s="41">
        <v>1140</v>
      </c>
      <c r="BK14" s="41">
        <v>1140</v>
      </c>
      <c r="BL14" s="41">
        <v>1140</v>
      </c>
      <c r="BM14" s="41">
        <v>1140</v>
      </c>
      <c r="BN14" s="41">
        <v>1140</v>
      </c>
      <c r="BO14" s="41">
        <v>1140</v>
      </c>
      <c r="BP14" s="41">
        <v>1140</v>
      </c>
      <c r="BQ14" s="41">
        <v>1140</v>
      </c>
      <c r="BR14" s="41">
        <v>1140</v>
      </c>
      <c r="BS14" s="41">
        <v>1140</v>
      </c>
      <c r="BT14" s="41">
        <v>1140</v>
      </c>
      <c r="BU14" s="41">
        <v>1140</v>
      </c>
      <c r="BV14" s="41">
        <v>1140</v>
      </c>
      <c r="BW14" s="41">
        <v>1140</v>
      </c>
      <c r="BX14" s="41">
        <v>1140</v>
      </c>
      <c r="BY14" s="41">
        <v>1140</v>
      </c>
      <c r="BZ14" s="41">
        <v>1140</v>
      </c>
      <c r="CA14" s="41">
        <v>1140</v>
      </c>
      <c r="CB14" s="41">
        <v>1140</v>
      </c>
      <c r="CC14" s="41">
        <v>1140</v>
      </c>
      <c r="CD14" s="41">
        <v>1140</v>
      </c>
      <c r="CE14" s="41">
        <v>1140</v>
      </c>
      <c r="CF14" s="41">
        <v>1140</v>
      </c>
      <c r="CG14" s="41">
        <v>1140</v>
      </c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</row>
    <row r="15" spans="1:175" ht="15">
      <c r="F15" s="62"/>
      <c r="H15" s="1" t="s">
        <v>112</v>
      </c>
      <c r="I15" s="3">
        <v>1090</v>
      </c>
      <c r="J15" s="3">
        <v>1090</v>
      </c>
      <c r="K15" s="3">
        <v>1090</v>
      </c>
      <c r="L15" s="3">
        <v>1090</v>
      </c>
      <c r="M15" s="3">
        <v>1090</v>
      </c>
      <c r="N15" s="3">
        <v>1090</v>
      </c>
      <c r="O15" s="3">
        <v>1090</v>
      </c>
      <c r="P15" s="3">
        <v>1090</v>
      </c>
      <c r="Q15" s="3">
        <v>1090</v>
      </c>
      <c r="R15" s="3">
        <v>1090</v>
      </c>
      <c r="AR15" s="1" t="s">
        <v>135</v>
      </c>
      <c r="AS15" s="3">
        <v>1090</v>
      </c>
      <c r="AT15" s="3">
        <v>1090</v>
      </c>
      <c r="AU15" s="3">
        <v>1090</v>
      </c>
      <c r="AV15" s="3">
        <v>1090</v>
      </c>
      <c r="AW15" s="3">
        <v>1090</v>
      </c>
      <c r="AX15" s="3">
        <v>1090</v>
      </c>
      <c r="AY15" s="3">
        <v>1090</v>
      </c>
      <c r="AZ15" s="3">
        <v>1090</v>
      </c>
      <c r="BA15" s="3">
        <v>1090</v>
      </c>
      <c r="BB15" s="3">
        <v>1090</v>
      </c>
      <c r="BC15" s="3">
        <v>1090</v>
      </c>
      <c r="BD15" s="3">
        <v>1090</v>
      </c>
      <c r="BE15" s="3">
        <v>1090</v>
      </c>
      <c r="BF15" s="3">
        <v>1090</v>
      </c>
      <c r="BG15" s="3">
        <v>1090</v>
      </c>
      <c r="BH15" s="3">
        <v>1090</v>
      </c>
      <c r="BI15" s="3">
        <v>1090</v>
      </c>
      <c r="BJ15" s="3">
        <v>1090</v>
      </c>
      <c r="BK15" s="3">
        <v>1090</v>
      </c>
      <c r="BL15" s="3">
        <v>1090</v>
      </c>
      <c r="BM15" s="3">
        <v>1090</v>
      </c>
      <c r="BN15" s="3">
        <v>1090</v>
      </c>
      <c r="BO15" s="3">
        <v>1090</v>
      </c>
      <c r="BP15" s="3">
        <v>1090</v>
      </c>
      <c r="BQ15" s="3">
        <v>1090</v>
      </c>
      <c r="BR15" s="3">
        <v>1090</v>
      </c>
      <c r="BS15" s="3">
        <v>1090</v>
      </c>
      <c r="BT15" s="3">
        <v>1090</v>
      </c>
      <c r="BU15" s="3">
        <v>1090</v>
      </c>
      <c r="BV15" s="3">
        <v>1090</v>
      </c>
      <c r="BW15" s="3">
        <v>1090</v>
      </c>
      <c r="BX15" s="3">
        <v>1090</v>
      </c>
      <c r="BY15" s="3">
        <v>1090</v>
      </c>
      <c r="BZ15" s="3">
        <v>1090</v>
      </c>
      <c r="CA15" s="3">
        <v>1090</v>
      </c>
      <c r="CB15" s="3">
        <v>1090</v>
      </c>
      <c r="CC15" s="3">
        <v>1090</v>
      </c>
      <c r="CD15" s="3">
        <v>1090</v>
      </c>
      <c r="CE15" s="3">
        <v>1090</v>
      </c>
      <c r="CF15" s="3">
        <v>1090</v>
      </c>
      <c r="CG15" s="3">
        <v>1090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</row>
    <row r="16" spans="1:175"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</row>
    <row r="17" spans="6:71"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</row>
    <row r="28" spans="6:71">
      <c r="F28" s="32"/>
      <c r="G28" s="32"/>
      <c r="H28" s="32"/>
    </row>
    <row r="29" spans="6:71">
      <c r="F29" s="32"/>
      <c r="G29" s="32"/>
      <c r="H29" s="32"/>
    </row>
    <row r="30" spans="6:71">
      <c r="F30" s="32"/>
      <c r="G30" s="32"/>
      <c r="H30" s="32"/>
    </row>
    <row r="31" spans="6:71">
      <c r="F31" s="32"/>
      <c r="G31" s="32"/>
      <c r="H31" s="32"/>
    </row>
    <row r="32" spans="6:71">
      <c r="F32" s="31"/>
      <c r="G32" s="32"/>
      <c r="H32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9885-4F9E-4D5D-B903-5F1429A823BC}">
  <sheetPr>
    <tabColor theme="7"/>
  </sheetPr>
  <dimension ref="E48:T79"/>
  <sheetViews>
    <sheetView showGridLines="0" topLeftCell="A22" zoomScale="80" zoomScaleNormal="80" workbookViewId="0">
      <selection activeCell="AB38" sqref="AB38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91"/>
    </row>
    <row r="49" spans="15:20">
      <c r="Q49" s="191"/>
    </row>
    <row r="50" spans="15:20" ht="21" customHeight="1">
      <c r="Q50" s="191"/>
    </row>
    <row r="51" spans="15:20" ht="14.9" customHeight="1">
      <c r="O51" s="187"/>
      <c r="Q51" s="191"/>
    </row>
    <row r="52" spans="15:20" ht="14.9" customHeight="1">
      <c r="O52" s="187"/>
      <c r="Q52" s="191"/>
    </row>
    <row r="53" spans="15:20" ht="14.9" customHeight="1">
      <c r="O53" s="187"/>
      <c r="Q53" s="88"/>
    </row>
    <row r="54" spans="15:20" ht="14.9" customHeight="1">
      <c r="O54" s="187"/>
      <c r="Q54" s="88"/>
    </row>
    <row r="55" spans="15:20" ht="14.9" customHeight="1">
      <c r="Q55" s="192"/>
      <c r="T55" s="187"/>
    </row>
    <row r="56" spans="15:20" ht="14.9" customHeight="1">
      <c r="Q56" s="192"/>
      <c r="T56" s="187"/>
    </row>
    <row r="57" spans="15:20" ht="14.9" customHeight="1">
      <c r="T57" s="187"/>
    </row>
    <row r="59" spans="15:20" ht="14.9" customHeight="1">
      <c r="T59" s="187"/>
    </row>
    <row r="60" spans="15:20" ht="24" customHeight="1">
      <c r="T60" s="187"/>
    </row>
    <row r="61" spans="15:20" ht="14.9" customHeight="1">
      <c r="T61" s="187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>
      <c r="Q66" s="76"/>
    </row>
    <row r="67" spans="5:17" ht="14.9" customHeight="1"/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90"/>
      <c r="N79" s="190"/>
    </row>
  </sheetData>
  <mergeCells count="6">
    <mergeCell ref="M79:N79"/>
    <mergeCell ref="Q48:Q52"/>
    <mergeCell ref="O51:O54"/>
    <mergeCell ref="Q55:Q56"/>
    <mergeCell ref="T55:T57"/>
    <mergeCell ref="T59:T61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D3B-E547-4509-AD45-D4308C1365D7}">
  <sheetPr>
    <tabColor theme="7"/>
  </sheetPr>
  <dimension ref="E48:T79"/>
  <sheetViews>
    <sheetView showGridLines="0" topLeftCell="A13" zoomScale="70" zoomScaleNormal="70" workbookViewId="0">
      <selection activeCell="Q18" sqref="Q18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7" max="17" width="16.81640625" customWidth="1"/>
    <col min="18" max="18" width="13.54296875" customWidth="1"/>
  </cols>
  <sheetData>
    <row r="48" spans="17:17">
      <c r="Q48" s="191"/>
    </row>
    <row r="49" spans="15:20">
      <c r="Q49" s="191"/>
    </row>
    <row r="50" spans="15:20" ht="21" customHeight="1">
      <c r="Q50" s="191"/>
    </row>
    <row r="51" spans="15:20" ht="14.9" customHeight="1">
      <c r="O51" s="187"/>
      <c r="Q51" s="191"/>
    </row>
    <row r="52" spans="15:20" ht="14.9" customHeight="1">
      <c r="O52" s="187"/>
      <c r="Q52" s="191"/>
    </row>
    <row r="53" spans="15:20" ht="14.9" customHeight="1">
      <c r="O53" s="187"/>
      <c r="Q53" s="88"/>
    </row>
    <row r="54" spans="15:20" ht="14.9" customHeight="1">
      <c r="O54" s="187"/>
      <c r="Q54" s="88"/>
    </row>
    <row r="55" spans="15:20" ht="14.9" customHeight="1">
      <c r="Q55" s="192"/>
      <c r="T55" s="187"/>
    </row>
    <row r="56" spans="15:20" ht="14.9" customHeight="1">
      <c r="Q56" s="192"/>
      <c r="T56" s="187"/>
    </row>
    <row r="57" spans="15:20" ht="14.9" customHeight="1">
      <c r="T57" s="187"/>
    </row>
    <row r="59" spans="15:20" ht="14.9" customHeight="1">
      <c r="T59" s="187"/>
    </row>
    <row r="60" spans="15:20" ht="24" customHeight="1">
      <c r="T60" s="187"/>
    </row>
    <row r="61" spans="15:20" ht="14.9" customHeight="1">
      <c r="T61" s="187"/>
    </row>
    <row r="62" spans="15:20" ht="14.9" customHeight="1">
      <c r="R62" s="87"/>
    </row>
    <row r="63" spans="15:20" ht="18" customHeight="1"/>
    <row r="64" spans="15:20" ht="18" customHeight="1"/>
    <row r="65" spans="5:17" ht="18" customHeight="1">
      <c r="I65" s="62"/>
    </row>
    <row r="66" spans="5:17" ht="14.9" customHeight="1"/>
    <row r="67" spans="5:17" ht="14.9" customHeight="1">
      <c r="Q67" s="76"/>
    </row>
    <row r="70" spans="5:17" ht="15">
      <c r="I70" s="62"/>
    </row>
    <row r="71" spans="5:17">
      <c r="E71" s="98"/>
      <c r="G71" s="113"/>
    </row>
    <row r="72" spans="5:17">
      <c r="F72" s="76"/>
    </row>
    <row r="79" spans="5:17">
      <c r="M79" s="190"/>
      <c r="N79" s="190"/>
    </row>
  </sheetData>
  <mergeCells count="6">
    <mergeCell ref="M79:N79"/>
    <mergeCell ref="Q48:Q52"/>
    <mergeCell ref="O51:O54"/>
    <mergeCell ref="Q55:Q56"/>
    <mergeCell ref="T55:T57"/>
    <mergeCell ref="T59:T61"/>
  </mergeCells>
  <printOptions horizontalCentered="1"/>
  <pageMargins left="0.196850393700787" right="0.196850393700787" top="0" bottom="0" header="0.31496062992126" footer="0.31496062992126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257-0C76-4746-B996-71DD67B685A9}">
  <dimension ref="A1:JO46"/>
  <sheetViews>
    <sheetView showGridLines="0" topLeftCell="H3" zoomScale="90" zoomScaleNormal="90" workbookViewId="0">
      <pane xSplit="30" ySplit="3" topLeftCell="BZ9" activePane="bottomRight" state="frozen"/>
      <selection activeCell="JO31" sqref="JO31"/>
      <selection pane="topRight" activeCell="JO31" sqref="JO31"/>
      <selection pane="bottomLeft" activeCell="JO31" sqref="JO31"/>
      <selection pane="bottomRight" activeCell="CA32" sqref="CA32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hidden="1" customWidth="1"/>
    <col min="5" max="5" width="33.1796875" style="1" hidden="1" customWidth="1"/>
    <col min="6" max="6" width="39.453125" style="1" hidden="1" customWidth="1"/>
    <col min="7" max="7" width="10.54296875" style="1" hidden="1" customWidth="1"/>
    <col min="8" max="8" width="29" style="1" customWidth="1"/>
    <col min="9" max="15" width="13.81640625" style="1" hidden="1" customWidth="1"/>
    <col min="16" max="16" width="9.1796875" style="1" hidden="1" customWidth="1"/>
    <col min="17" max="17" width="10.1796875" style="1" hidden="1" customWidth="1"/>
    <col min="18" max="18" width="7.81640625" style="1" hidden="1" customWidth="1"/>
    <col min="19" max="28" width="9.81640625" style="1" hidden="1" customWidth="1"/>
    <col min="29" max="29" width="11.81640625" style="1" hidden="1" customWidth="1"/>
    <col min="30" max="31" width="9.1796875" style="1" hidden="1" customWidth="1"/>
    <col min="32" max="38" width="8.1796875" style="1" hidden="1" customWidth="1"/>
    <col min="39" max="39" width="9.1796875" style="1" hidden="1" customWidth="1"/>
    <col min="40" max="61" width="8.1796875" style="1" hidden="1" customWidth="1"/>
    <col min="62" max="77" width="8.1796875" style="1" customWidth="1"/>
    <col min="78" max="78" width="12" style="61" bestFit="1" customWidth="1"/>
    <col min="79" max="79" width="9.1796875" style="1"/>
    <col min="80" max="80" width="9.1796875" style="1" hidden="1" customWidth="1"/>
    <col min="81" max="81" width="22.81640625" style="1" customWidth="1"/>
    <col min="82" max="90" width="9.1796875" style="1" hidden="1" customWidth="1"/>
    <col min="91" max="91" width="9" style="1" hidden="1" customWidth="1"/>
    <col min="92" max="99" width="9.1796875" style="1" hidden="1" customWidth="1"/>
    <col min="100" max="108" width="10.1796875" style="1" hidden="1" customWidth="1"/>
    <col min="109" max="109" width="7.1796875" style="1" hidden="1" customWidth="1"/>
    <col min="110" max="110" width="7" style="1" hidden="1" customWidth="1"/>
    <col min="111" max="111" width="10" style="1" hidden="1" customWidth="1"/>
    <col min="112" max="112" width="9.81640625" style="1" hidden="1" customWidth="1"/>
    <col min="113" max="113" width="10" style="1" hidden="1" customWidth="1"/>
    <col min="114" max="120" width="10.453125" style="1" hidden="1" customWidth="1"/>
    <col min="121" max="122" width="10.1796875" style="1" hidden="1" customWidth="1"/>
    <col min="123" max="132" width="9.453125" style="1" hidden="1" customWidth="1"/>
    <col min="133" max="134" width="9.1796875" style="1" hidden="1" customWidth="1"/>
    <col min="135" max="254" width="0" style="1" hidden="1" customWidth="1"/>
    <col min="255" max="262" width="8.81640625" style="1" hidden="1" customWidth="1"/>
    <col min="263" max="267" width="8.81640625" style="1" customWidth="1"/>
    <col min="268" max="16384" width="9.1796875" style="1"/>
  </cols>
  <sheetData>
    <row r="1" spans="1:275" hidden="1"/>
    <row r="2" spans="1:275" hidden="1"/>
    <row r="3" spans="1:275" ht="19.399999999999999" customHeight="1">
      <c r="F3" s="15" t="s">
        <v>57</v>
      </c>
      <c r="H3" s="15" t="s">
        <v>57</v>
      </c>
      <c r="DG3" s="170">
        <v>2023</v>
      </c>
      <c r="FF3" s="170">
        <v>2024</v>
      </c>
    </row>
    <row r="4" spans="1:275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23147</v>
      </c>
      <c r="J4" s="74">
        <v>23135</v>
      </c>
      <c r="K4" s="74">
        <v>23142</v>
      </c>
      <c r="L4" s="74">
        <v>23194</v>
      </c>
      <c r="M4" s="74">
        <v>23204</v>
      </c>
      <c r="N4" s="74">
        <v>23160</v>
      </c>
      <c r="O4" s="74">
        <v>23141</v>
      </c>
      <c r="P4" s="74">
        <v>23161</v>
      </c>
      <c r="Q4" s="74">
        <v>23161</v>
      </c>
      <c r="R4" s="74">
        <v>23123</v>
      </c>
      <c r="S4" s="74">
        <v>23156</v>
      </c>
      <c r="T4" s="74">
        <v>23126</v>
      </c>
      <c r="U4" s="74">
        <v>23180</v>
      </c>
      <c r="V4" s="74">
        <v>23108</v>
      </c>
      <c r="W4" s="74">
        <f>V4</f>
        <v>23108</v>
      </c>
      <c r="X4" s="74">
        <f>W4</f>
        <v>23108</v>
      </c>
      <c r="Y4" s="74">
        <f>X4</f>
        <v>23108</v>
      </c>
      <c r="Z4" s="74">
        <v>23150</v>
      </c>
      <c r="AA4" s="74">
        <v>23150</v>
      </c>
      <c r="AB4" s="74">
        <v>23150</v>
      </c>
      <c r="AC4" s="74">
        <v>23150</v>
      </c>
      <c r="AD4" s="74">
        <v>23500</v>
      </c>
      <c r="AE4" s="74">
        <v>23500</v>
      </c>
      <c r="AF4" s="74">
        <v>23500</v>
      </c>
      <c r="AG4" s="74">
        <v>23500</v>
      </c>
      <c r="AH4" s="74">
        <v>23500</v>
      </c>
      <c r="AI4" s="74">
        <v>23500</v>
      </c>
      <c r="AJ4" s="74">
        <v>24600</v>
      </c>
      <c r="AK4" s="74">
        <v>24600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>
        <v>24000</v>
      </c>
      <c r="AW4" s="74">
        <v>24000</v>
      </c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CD4" s="74">
        <v>23150</v>
      </c>
      <c r="CE4" s="74">
        <v>23150</v>
      </c>
      <c r="CF4" s="74">
        <v>23150</v>
      </c>
      <c r="CG4" s="74">
        <v>23150</v>
      </c>
      <c r="CH4" s="74">
        <v>23150</v>
      </c>
      <c r="CI4" s="74">
        <v>23150</v>
      </c>
      <c r="CJ4" s="74">
        <v>23150</v>
      </c>
      <c r="CK4" s="74">
        <v>23150</v>
      </c>
      <c r="CL4" s="74">
        <v>23150</v>
      </c>
      <c r="CM4" s="74">
        <v>23150</v>
      </c>
      <c r="CN4" s="74">
        <v>23150</v>
      </c>
      <c r="CO4" s="74">
        <v>23150</v>
      </c>
      <c r="CP4" s="74">
        <v>23500</v>
      </c>
      <c r="CQ4" s="74">
        <v>23500</v>
      </c>
      <c r="CR4" s="74">
        <v>23500</v>
      </c>
      <c r="CS4" s="74">
        <v>23500</v>
      </c>
      <c r="CT4" s="74">
        <v>23500</v>
      </c>
      <c r="CU4" s="74">
        <v>23500</v>
      </c>
      <c r="CV4" s="74">
        <v>23500</v>
      </c>
      <c r="CW4" s="74">
        <v>23500</v>
      </c>
      <c r="CX4" s="74">
        <v>24600</v>
      </c>
      <c r="CY4" s="74">
        <v>24600</v>
      </c>
      <c r="CZ4" s="74">
        <v>24600</v>
      </c>
      <c r="DA4" s="74">
        <v>24600</v>
      </c>
      <c r="DB4" s="74">
        <v>24600</v>
      </c>
      <c r="DC4" s="74">
        <v>24000</v>
      </c>
      <c r="DD4" s="74">
        <v>24000</v>
      </c>
      <c r="DE4" s="74">
        <v>24000</v>
      </c>
      <c r="DF4" s="74">
        <v>24000</v>
      </c>
      <c r="DG4" s="74">
        <v>24000</v>
      </c>
      <c r="DH4" s="74">
        <v>24000</v>
      </c>
      <c r="DI4" s="74">
        <v>24000</v>
      </c>
      <c r="DJ4" s="74">
        <v>24000</v>
      </c>
      <c r="DK4" s="74">
        <v>24000</v>
      </c>
      <c r="DL4" s="74">
        <v>24000</v>
      </c>
      <c r="DM4" s="74">
        <v>24000</v>
      </c>
      <c r="DN4" s="74">
        <v>24000</v>
      </c>
      <c r="DO4" s="74">
        <v>24000</v>
      </c>
      <c r="DP4" s="74">
        <v>24000</v>
      </c>
      <c r="DQ4" s="74">
        <v>24000</v>
      </c>
      <c r="DR4" s="74">
        <v>24000</v>
      </c>
      <c r="DS4" s="74">
        <v>24000</v>
      </c>
      <c r="DT4" s="74">
        <v>24000</v>
      </c>
      <c r="DU4" s="74">
        <v>24000</v>
      </c>
      <c r="DV4" s="74">
        <v>24000</v>
      </c>
      <c r="DW4" s="74">
        <v>24000</v>
      </c>
      <c r="DX4" s="74">
        <v>24000</v>
      </c>
      <c r="DY4" s="74">
        <v>24000</v>
      </c>
      <c r="DZ4" s="74">
        <v>24000</v>
      </c>
      <c r="EA4" s="74">
        <v>24000</v>
      </c>
      <c r="EB4" s="74">
        <v>24000</v>
      </c>
      <c r="EC4" s="74">
        <v>24000</v>
      </c>
      <c r="ED4" s="74">
        <v>24000</v>
      </c>
      <c r="EE4" s="74">
        <v>24000</v>
      </c>
      <c r="EF4" s="74">
        <v>24000</v>
      </c>
      <c r="EG4" s="74">
        <v>24000</v>
      </c>
      <c r="EH4" s="74">
        <v>24000</v>
      </c>
      <c r="EI4" s="74">
        <v>24000</v>
      </c>
      <c r="EJ4" s="74">
        <v>24000</v>
      </c>
      <c r="EK4" s="74">
        <v>24000</v>
      </c>
      <c r="EL4" s="74">
        <v>24000</v>
      </c>
      <c r="EM4" s="74">
        <v>24000</v>
      </c>
      <c r="EN4" s="74">
        <v>24000</v>
      </c>
      <c r="EO4" s="74">
        <v>24000</v>
      </c>
      <c r="EP4" s="74">
        <v>24000</v>
      </c>
      <c r="EQ4" s="74">
        <v>24000</v>
      </c>
      <c r="ER4" s="74">
        <v>24000</v>
      </c>
      <c r="ES4" s="74">
        <v>24000</v>
      </c>
      <c r="ET4" s="74">
        <v>24000</v>
      </c>
      <c r="EU4" s="74">
        <v>24000</v>
      </c>
      <c r="EV4" s="74">
        <v>24000</v>
      </c>
      <c r="EW4" s="74">
        <v>24000</v>
      </c>
      <c r="EX4" s="74">
        <v>24000</v>
      </c>
      <c r="EY4" s="74">
        <v>24000</v>
      </c>
      <c r="EZ4" s="74">
        <v>24000</v>
      </c>
      <c r="FA4" s="74">
        <v>24000</v>
      </c>
      <c r="FB4" s="74">
        <v>24000</v>
      </c>
      <c r="FC4" s="74">
        <v>24000</v>
      </c>
      <c r="FD4" s="74">
        <v>24000</v>
      </c>
      <c r="FE4" s="74">
        <v>24000</v>
      </c>
      <c r="FF4" s="74">
        <v>24000</v>
      </c>
      <c r="FG4" s="74">
        <v>24000</v>
      </c>
      <c r="FH4" s="74"/>
      <c r="FI4" s="74"/>
      <c r="FJ4" s="74"/>
      <c r="FK4" s="74"/>
      <c r="FL4" s="74"/>
      <c r="FM4" s="74"/>
      <c r="FN4" s="74"/>
      <c r="FO4" s="74"/>
      <c r="FP4" s="74"/>
      <c r="FQ4" s="74"/>
      <c r="FR4" s="74"/>
      <c r="FS4" s="74"/>
      <c r="FT4" s="74"/>
      <c r="FU4" s="74"/>
      <c r="HD4" s="178">
        <v>2025</v>
      </c>
      <c r="JC4" s="178">
        <v>2026</v>
      </c>
    </row>
    <row r="5" spans="1:275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33" t="s">
        <v>8</v>
      </c>
      <c r="J5" s="33" t="s">
        <v>9</v>
      </c>
      <c r="K5" s="33" t="s">
        <v>10</v>
      </c>
      <c r="L5" s="33" t="s">
        <v>11</v>
      </c>
      <c r="M5" s="33" t="s">
        <v>12</v>
      </c>
      <c r="N5" s="33" t="s">
        <v>13</v>
      </c>
      <c r="O5" s="33" t="s">
        <v>14</v>
      </c>
      <c r="P5" s="33" t="s">
        <v>15</v>
      </c>
      <c r="Q5" s="33" t="s">
        <v>16</v>
      </c>
      <c r="R5" s="33" t="s">
        <v>17</v>
      </c>
      <c r="S5" s="33" t="s">
        <v>18</v>
      </c>
      <c r="T5" s="33" t="s">
        <v>19</v>
      </c>
      <c r="U5" s="33">
        <v>1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 t="s">
        <v>63</v>
      </c>
      <c r="AD5" s="33">
        <v>9</v>
      </c>
      <c r="AE5" s="33">
        <v>10</v>
      </c>
      <c r="AF5" s="86" t="s">
        <v>65</v>
      </c>
      <c r="AG5" s="86" t="s">
        <v>66</v>
      </c>
      <c r="AH5" s="86" t="s">
        <v>67</v>
      </c>
      <c r="AI5" s="86" t="s">
        <v>68</v>
      </c>
      <c r="AJ5" s="86">
        <v>11</v>
      </c>
      <c r="AK5" s="86">
        <v>12</v>
      </c>
      <c r="AL5" s="94" t="s">
        <v>74</v>
      </c>
      <c r="AM5" s="94">
        <v>2</v>
      </c>
      <c r="AN5" s="94">
        <v>3</v>
      </c>
      <c r="AO5" s="94">
        <v>4</v>
      </c>
      <c r="AP5" s="94">
        <v>5</v>
      </c>
      <c r="AQ5" s="94">
        <v>6</v>
      </c>
      <c r="AR5" s="94">
        <v>7</v>
      </c>
      <c r="AS5" s="94">
        <v>8</v>
      </c>
      <c r="AT5" s="94">
        <v>9</v>
      </c>
      <c r="AU5" s="94">
        <v>10</v>
      </c>
      <c r="AV5" s="99">
        <v>11</v>
      </c>
      <c r="AW5" s="99">
        <v>12</v>
      </c>
      <c r="AX5" s="99" t="s">
        <v>122</v>
      </c>
      <c r="AY5" s="99">
        <v>2</v>
      </c>
      <c r="AZ5" s="99">
        <v>3</v>
      </c>
      <c r="BA5" s="99">
        <v>4</v>
      </c>
      <c r="BB5" s="99">
        <v>5</v>
      </c>
      <c r="BC5" s="99">
        <v>6</v>
      </c>
      <c r="BD5" s="99">
        <v>7</v>
      </c>
      <c r="BE5" s="99">
        <v>8</v>
      </c>
      <c r="BF5" s="99">
        <v>9</v>
      </c>
      <c r="BG5" s="99">
        <v>10</v>
      </c>
      <c r="BH5" s="99">
        <v>11</v>
      </c>
      <c r="BI5" s="99">
        <v>12</v>
      </c>
      <c r="BJ5" s="99" t="s">
        <v>174</v>
      </c>
      <c r="BK5" s="99">
        <v>2</v>
      </c>
      <c r="BL5" s="99">
        <v>3</v>
      </c>
      <c r="BM5" s="99">
        <v>4</v>
      </c>
      <c r="BN5" s="99">
        <v>5</v>
      </c>
      <c r="BO5" s="99">
        <v>6</v>
      </c>
      <c r="BP5" s="99">
        <v>7</v>
      </c>
      <c r="BQ5" s="99">
        <v>8</v>
      </c>
      <c r="BR5" s="99">
        <v>9</v>
      </c>
      <c r="BS5" s="99">
        <v>10</v>
      </c>
      <c r="BT5" s="99">
        <v>11</v>
      </c>
      <c r="BU5" s="99">
        <v>12</v>
      </c>
      <c r="BV5" s="99" t="s">
        <v>198</v>
      </c>
      <c r="BW5" s="99">
        <v>2</v>
      </c>
      <c r="BX5" s="99">
        <v>3</v>
      </c>
      <c r="BY5" s="99">
        <v>4</v>
      </c>
      <c r="BZ5" s="148"/>
      <c r="CA5" s="34" t="s">
        <v>5</v>
      </c>
      <c r="CB5" s="33" t="s">
        <v>6</v>
      </c>
      <c r="CC5" s="33" t="s">
        <v>2</v>
      </c>
      <c r="CD5" s="94">
        <v>24</v>
      </c>
      <c r="CE5" s="94">
        <v>25</v>
      </c>
      <c r="CF5" s="94">
        <v>26</v>
      </c>
      <c r="CG5" s="94">
        <v>27</v>
      </c>
      <c r="CH5" s="94">
        <v>28</v>
      </c>
      <c r="CI5" s="94">
        <v>29</v>
      </c>
      <c r="CJ5" s="94">
        <v>30</v>
      </c>
      <c r="CK5" s="94">
        <v>31</v>
      </c>
      <c r="CL5" s="94">
        <v>32</v>
      </c>
      <c r="CM5" s="94">
        <v>33</v>
      </c>
      <c r="CN5" s="94">
        <v>34</v>
      </c>
      <c r="CO5" s="94">
        <v>35</v>
      </c>
      <c r="CP5" s="94">
        <v>36</v>
      </c>
      <c r="CQ5" s="94">
        <v>37</v>
      </c>
      <c r="CR5" s="94">
        <v>38</v>
      </c>
      <c r="CS5" s="94">
        <v>39</v>
      </c>
      <c r="CT5" s="94">
        <v>40</v>
      </c>
      <c r="CU5" s="94">
        <v>41</v>
      </c>
      <c r="CV5" s="94">
        <v>42</v>
      </c>
      <c r="CW5" s="94">
        <v>43</v>
      </c>
      <c r="CX5" s="94">
        <v>44</v>
      </c>
      <c r="CY5" s="94">
        <v>45</v>
      </c>
      <c r="CZ5" s="99">
        <v>46</v>
      </c>
      <c r="DA5" s="99">
        <v>47</v>
      </c>
      <c r="DB5" s="99">
        <v>48</v>
      </c>
      <c r="DC5" s="99">
        <v>49</v>
      </c>
      <c r="DD5" s="99">
        <v>50</v>
      </c>
      <c r="DE5" s="99">
        <v>51</v>
      </c>
      <c r="DF5" s="99">
        <v>52</v>
      </c>
      <c r="DG5" s="94" t="s">
        <v>97</v>
      </c>
      <c r="DH5" s="94">
        <v>2</v>
      </c>
      <c r="DI5" s="94">
        <v>3</v>
      </c>
      <c r="DJ5" s="94">
        <v>5</v>
      </c>
      <c r="DK5" s="94">
        <v>6</v>
      </c>
      <c r="DL5" s="94">
        <v>7</v>
      </c>
      <c r="DM5" s="94">
        <v>8</v>
      </c>
      <c r="DN5" s="94">
        <v>9</v>
      </c>
      <c r="DO5" s="94">
        <v>10</v>
      </c>
      <c r="DP5" s="94">
        <v>11</v>
      </c>
      <c r="DQ5" s="94">
        <v>12</v>
      </c>
      <c r="DR5" s="94">
        <v>13</v>
      </c>
      <c r="DS5" s="94">
        <v>14</v>
      </c>
      <c r="DT5" s="94">
        <v>15</v>
      </c>
      <c r="DU5" s="94">
        <v>16</v>
      </c>
      <c r="DV5" s="94">
        <v>17</v>
      </c>
      <c r="DW5" s="94">
        <v>18</v>
      </c>
      <c r="DX5" s="94">
        <v>19</v>
      </c>
      <c r="DY5" s="94">
        <v>20</v>
      </c>
      <c r="DZ5" s="94">
        <v>21</v>
      </c>
      <c r="EA5" s="94">
        <v>22</v>
      </c>
      <c r="EB5" s="94">
        <v>23</v>
      </c>
      <c r="EC5" s="94">
        <v>24</v>
      </c>
      <c r="ED5" s="94">
        <v>25</v>
      </c>
      <c r="EE5" s="94">
        <v>26</v>
      </c>
      <c r="EF5" s="94">
        <v>27</v>
      </c>
      <c r="EG5" s="94">
        <v>28</v>
      </c>
      <c r="EH5" s="94">
        <v>29</v>
      </c>
      <c r="EI5" s="94">
        <v>30</v>
      </c>
      <c r="EJ5" s="94">
        <v>31</v>
      </c>
      <c r="EK5" s="94">
        <v>32</v>
      </c>
      <c r="EL5" s="94">
        <v>33</v>
      </c>
      <c r="EM5" s="99">
        <v>34</v>
      </c>
      <c r="EN5" s="99">
        <v>35</v>
      </c>
      <c r="EO5" s="99">
        <v>36</v>
      </c>
      <c r="EP5" s="99">
        <v>37</v>
      </c>
      <c r="EQ5" s="99">
        <v>38</v>
      </c>
      <c r="ER5" s="99">
        <v>39</v>
      </c>
      <c r="ES5" s="99">
        <v>40</v>
      </c>
      <c r="ET5" s="99">
        <v>41</v>
      </c>
      <c r="EU5" s="99">
        <v>42</v>
      </c>
      <c r="EV5" s="99">
        <v>43</v>
      </c>
      <c r="EW5" s="99">
        <v>44</v>
      </c>
      <c r="EX5" s="99">
        <v>45</v>
      </c>
      <c r="EY5" s="99">
        <v>46</v>
      </c>
      <c r="EZ5" s="99">
        <v>47</v>
      </c>
      <c r="FA5" s="99">
        <v>48</v>
      </c>
      <c r="FB5" s="99">
        <v>49</v>
      </c>
      <c r="FC5" s="99">
        <v>50</v>
      </c>
      <c r="FD5" s="99">
        <v>51</v>
      </c>
      <c r="FE5" s="99">
        <v>52</v>
      </c>
      <c r="FF5" s="99" t="s">
        <v>117</v>
      </c>
      <c r="FG5" s="94" t="s">
        <v>123</v>
      </c>
      <c r="FH5" s="94" t="s">
        <v>124</v>
      </c>
      <c r="FI5" s="94" t="s">
        <v>125</v>
      </c>
      <c r="FJ5" s="94" t="s">
        <v>126</v>
      </c>
      <c r="FK5" s="94" t="s">
        <v>142</v>
      </c>
      <c r="FL5" s="94" t="s">
        <v>143</v>
      </c>
      <c r="FM5" s="94" t="s">
        <v>144</v>
      </c>
      <c r="FN5" s="94" t="s">
        <v>145</v>
      </c>
      <c r="FO5" s="94" t="s">
        <v>146</v>
      </c>
      <c r="FP5" s="94">
        <v>13</v>
      </c>
      <c r="FQ5" s="94">
        <v>14</v>
      </c>
      <c r="FR5" s="94">
        <v>15</v>
      </c>
      <c r="FS5" s="94">
        <v>16</v>
      </c>
      <c r="FT5" s="94">
        <v>17</v>
      </c>
      <c r="FU5" s="94">
        <v>18</v>
      </c>
      <c r="FV5" s="94">
        <v>19</v>
      </c>
      <c r="FW5" s="94">
        <v>20</v>
      </c>
      <c r="FX5" s="94">
        <v>21</v>
      </c>
      <c r="FY5" s="94">
        <v>22</v>
      </c>
      <c r="FZ5" s="94">
        <v>23</v>
      </c>
      <c r="GA5" s="94">
        <v>24</v>
      </c>
      <c r="GB5" s="94">
        <v>25</v>
      </c>
      <c r="GC5" s="94">
        <v>26</v>
      </c>
      <c r="GD5" s="94">
        <v>27</v>
      </c>
      <c r="GE5" s="94">
        <v>28</v>
      </c>
      <c r="GF5" s="94">
        <v>29</v>
      </c>
      <c r="GG5" s="94">
        <v>30</v>
      </c>
      <c r="GH5" s="94">
        <v>31</v>
      </c>
      <c r="GI5" s="94">
        <v>32</v>
      </c>
      <c r="GJ5" s="94">
        <v>33</v>
      </c>
      <c r="GK5" s="94">
        <v>34</v>
      </c>
      <c r="GL5" s="94">
        <v>35</v>
      </c>
      <c r="GM5" s="94">
        <v>36</v>
      </c>
      <c r="GN5" s="94">
        <v>37</v>
      </c>
      <c r="GO5" s="94">
        <v>38</v>
      </c>
      <c r="GP5" s="94">
        <v>39</v>
      </c>
      <c r="GQ5" s="94">
        <v>40</v>
      </c>
      <c r="GR5" s="94">
        <v>41</v>
      </c>
      <c r="GS5" s="94">
        <v>42</v>
      </c>
      <c r="GT5" s="94">
        <v>43</v>
      </c>
      <c r="GU5" s="94">
        <v>44</v>
      </c>
      <c r="GV5" s="94">
        <v>45</v>
      </c>
      <c r="GW5" s="94">
        <v>46</v>
      </c>
      <c r="GX5" s="94">
        <v>47</v>
      </c>
      <c r="GY5" s="94">
        <v>48</v>
      </c>
      <c r="GZ5" s="94">
        <v>49</v>
      </c>
      <c r="HA5" s="94">
        <v>50</v>
      </c>
      <c r="HB5" s="94">
        <v>51</v>
      </c>
      <c r="HC5" s="94">
        <v>52</v>
      </c>
      <c r="HD5" s="94" t="s">
        <v>121</v>
      </c>
      <c r="HE5" s="94" t="s">
        <v>123</v>
      </c>
      <c r="HF5" s="94" t="s">
        <v>124</v>
      </c>
      <c r="HG5" s="94" t="s">
        <v>125</v>
      </c>
      <c r="HH5" s="94" t="s">
        <v>175</v>
      </c>
      <c r="HI5" s="94" t="s">
        <v>177</v>
      </c>
      <c r="HJ5" s="94" t="s">
        <v>142</v>
      </c>
      <c r="HK5" s="94" t="s">
        <v>143</v>
      </c>
      <c r="HL5" s="94" t="s">
        <v>144</v>
      </c>
      <c r="HM5" s="94" t="s">
        <v>145</v>
      </c>
      <c r="HN5" s="94" t="s">
        <v>146</v>
      </c>
      <c r="HO5" s="94" t="s">
        <v>147</v>
      </c>
      <c r="HP5" s="94" t="s">
        <v>148</v>
      </c>
      <c r="HQ5" s="94" t="s">
        <v>149</v>
      </c>
      <c r="HR5" s="94" t="s">
        <v>150</v>
      </c>
      <c r="HS5" s="94" t="s">
        <v>151</v>
      </c>
      <c r="HT5" s="94" t="s">
        <v>152</v>
      </c>
      <c r="HU5" s="94" t="s">
        <v>153</v>
      </c>
      <c r="HV5" s="94" t="s">
        <v>154</v>
      </c>
      <c r="HW5" s="94" t="s">
        <v>155</v>
      </c>
      <c r="HX5" s="94" t="s">
        <v>162</v>
      </c>
      <c r="HY5" s="94" t="s">
        <v>163</v>
      </c>
      <c r="HZ5" s="94" t="s">
        <v>164</v>
      </c>
      <c r="IA5" s="94" t="s">
        <v>165</v>
      </c>
      <c r="IB5" s="94" t="s">
        <v>166</v>
      </c>
      <c r="IC5" s="94" t="s">
        <v>167</v>
      </c>
      <c r="ID5" s="94" t="s">
        <v>168</v>
      </c>
      <c r="IE5" s="94" t="s">
        <v>169</v>
      </c>
      <c r="IF5" s="94" t="s">
        <v>170</v>
      </c>
      <c r="IG5" s="94" t="s">
        <v>171</v>
      </c>
      <c r="IH5" s="94" t="s">
        <v>172</v>
      </c>
      <c r="II5" s="94" t="s">
        <v>173</v>
      </c>
      <c r="IJ5" s="94" t="s">
        <v>179</v>
      </c>
      <c r="IK5" s="94" t="s">
        <v>180</v>
      </c>
      <c r="IL5" s="94" t="s">
        <v>181</v>
      </c>
      <c r="IM5" s="94" t="s">
        <v>182</v>
      </c>
      <c r="IN5" s="94" t="s">
        <v>183</v>
      </c>
      <c r="IO5" s="94" t="s">
        <v>184</v>
      </c>
      <c r="IP5" s="94" t="s">
        <v>185</v>
      </c>
      <c r="IQ5" s="94" t="s">
        <v>186</v>
      </c>
      <c r="IR5" s="94" t="s">
        <v>187</v>
      </c>
      <c r="IS5" s="94" t="s">
        <v>188</v>
      </c>
      <c r="IT5" s="94" t="s">
        <v>189</v>
      </c>
      <c r="IU5" s="94" t="s">
        <v>190</v>
      </c>
      <c r="IV5" s="94" t="s">
        <v>191</v>
      </c>
      <c r="IW5" s="94" t="s">
        <v>192</v>
      </c>
      <c r="IX5" s="94" t="s">
        <v>193</v>
      </c>
      <c r="IY5" s="94" t="s">
        <v>194</v>
      </c>
      <c r="IZ5" s="94" t="s">
        <v>195</v>
      </c>
      <c r="JA5" s="94" t="s">
        <v>196</v>
      </c>
      <c r="JB5" s="94" t="s">
        <v>197</v>
      </c>
      <c r="JC5" s="94" t="s">
        <v>121</v>
      </c>
      <c r="JD5" s="94" t="s">
        <v>123</v>
      </c>
      <c r="JE5" s="94" t="s">
        <v>124</v>
      </c>
      <c r="JF5" s="94" t="s">
        <v>125</v>
      </c>
      <c r="JG5" s="94" t="s">
        <v>126</v>
      </c>
      <c r="JH5" s="94" t="s">
        <v>175</v>
      </c>
      <c r="JI5" s="94" t="s">
        <v>177</v>
      </c>
      <c r="JJ5" s="94" t="s">
        <v>142</v>
      </c>
      <c r="JK5" s="94" t="s">
        <v>143</v>
      </c>
      <c r="JL5" s="94" t="s">
        <v>144</v>
      </c>
      <c r="JM5" s="94" t="s">
        <v>145</v>
      </c>
      <c r="JN5" s="94" t="s">
        <v>146</v>
      </c>
      <c r="JO5" s="94" t="s">
        <v>147</v>
      </c>
    </row>
    <row r="6" spans="1:275" ht="14" hidden="1">
      <c r="A6" s="4">
        <v>3</v>
      </c>
      <c r="B6" s="8">
        <v>150000007</v>
      </c>
      <c r="C6" s="8" t="s">
        <v>20</v>
      </c>
      <c r="D6" s="4" t="s">
        <v>43</v>
      </c>
      <c r="E6" s="5" t="s">
        <v>44</v>
      </c>
      <c r="F6" s="7" t="s">
        <v>45</v>
      </c>
      <c r="G6" s="16" t="s">
        <v>23</v>
      </c>
      <c r="H6" s="7" t="s">
        <v>45</v>
      </c>
      <c r="I6" s="6">
        <v>20500</v>
      </c>
      <c r="J6" s="6">
        <v>20500</v>
      </c>
      <c r="K6" s="6">
        <v>21500</v>
      </c>
      <c r="L6" s="6">
        <v>21500</v>
      </c>
      <c r="M6" s="6">
        <v>22500</v>
      </c>
      <c r="N6" s="6">
        <v>22500</v>
      </c>
      <c r="O6" s="6">
        <v>22500</v>
      </c>
      <c r="P6" s="6">
        <v>22500</v>
      </c>
      <c r="Q6" s="6">
        <v>22500</v>
      </c>
      <c r="R6" s="6">
        <v>22500</v>
      </c>
      <c r="S6" s="6">
        <v>22500</v>
      </c>
      <c r="T6" s="6">
        <v>22500</v>
      </c>
      <c r="U6" s="6">
        <v>22500</v>
      </c>
      <c r="V6" s="6">
        <v>22500</v>
      </c>
      <c r="W6" s="6">
        <v>22500</v>
      </c>
      <c r="X6" s="6">
        <v>22500</v>
      </c>
      <c r="Y6" s="6">
        <v>22500</v>
      </c>
      <c r="Z6" s="6">
        <v>22500</v>
      </c>
      <c r="AA6" s="6">
        <v>22500</v>
      </c>
      <c r="AB6" s="6">
        <v>22500</v>
      </c>
      <c r="AC6" s="6">
        <v>22500</v>
      </c>
      <c r="AD6" s="6">
        <v>22500</v>
      </c>
      <c r="AE6" s="6">
        <v>22500</v>
      </c>
      <c r="AF6" s="6">
        <v>22500</v>
      </c>
      <c r="AG6" s="6">
        <v>22500</v>
      </c>
      <c r="AH6" s="6">
        <v>22500</v>
      </c>
      <c r="AI6" s="6">
        <v>22500</v>
      </c>
      <c r="AJ6" s="6">
        <v>22500</v>
      </c>
      <c r="AK6" s="6">
        <v>23000</v>
      </c>
      <c r="AL6" s="6">
        <v>25000</v>
      </c>
      <c r="AM6" s="6">
        <v>25000</v>
      </c>
      <c r="AN6" s="6">
        <v>25000</v>
      </c>
      <c r="AO6" s="6">
        <v>25000</v>
      </c>
      <c r="AP6" s="6">
        <v>25000</v>
      </c>
      <c r="AQ6" s="6">
        <v>25000</v>
      </c>
      <c r="AR6" s="6">
        <v>23000</v>
      </c>
      <c r="AS6" s="6">
        <v>22500</v>
      </c>
      <c r="AT6" s="6">
        <v>22500</v>
      </c>
      <c r="AU6" s="6">
        <v>22500</v>
      </c>
      <c r="AV6" s="91">
        <v>22500</v>
      </c>
      <c r="AW6" s="91">
        <v>22500</v>
      </c>
      <c r="AX6" s="91">
        <v>22500</v>
      </c>
      <c r="AY6" s="91">
        <v>22500</v>
      </c>
      <c r="AZ6" s="91">
        <v>22000</v>
      </c>
      <c r="BA6" s="91">
        <v>22000</v>
      </c>
      <c r="BB6" s="91">
        <v>22000</v>
      </c>
      <c r="BC6" s="91">
        <v>22000</v>
      </c>
      <c r="BD6" s="91">
        <v>22000</v>
      </c>
      <c r="BE6" s="91">
        <v>22000</v>
      </c>
      <c r="BF6" s="91">
        <v>22000</v>
      </c>
      <c r="BG6" s="91">
        <v>22000</v>
      </c>
      <c r="BH6" s="91">
        <v>22000</v>
      </c>
      <c r="BI6" s="91">
        <v>22000</v>
      </c>
      <c r="BJ6" s="91">
        <v>22000</v>
      </c>
      <c r="BK6" s="91">
        <v>22000</v>
      </c>
      <c r="BL6" s="91">
        <v>22000</v>
      </c>
      <c r="BM6" s="91">
        <v>22000</v>
      </c>
      <c r="BN6" s="91">
        <v>22000</v>
      </c>
      <c r="BO6" s="91">
        <v>22000</v>
      </c>
      <c r="BP6" s="91">
        <v>22000</v>
      </c>
      <c r="BQ6" s="91">
        <v>22000</v>
      </c>
      <c r="BR6" s="91">
        <v>22000</v>
      </c>
      <c r="BS6" s="91">
        <v>22000</v>
      </c>
      <c r="BT6" s="91">
        <v>22000</v>
      </c>
      <c r="BU6" s="91">
        <v>22000</v>
      </c>
      <c r="BV6" s="91">
        <v>22000</v>
      </c>
      <c r="BW6" s="91">
        <v>22000</v>
      </c>
      <c r="BX6" s="91">
        <v>22000</v>
      </c>
      <c r="BY6" s="91">
        <v>22000</v>
      </c>
      <c r="BZ6" s="149"/>
      <c r="CA6" s="4" t="s">
        <v>43</v>
      </c>
      <c r="CB6" s="5" t="s">
        <v>44</v>
      </c>
      <c r="CC6" s="7" t="s">
        <v>45</v>
      </c>
      <c r="CD6" s="6">
        <v>22500</v>
      </c>
      <c r="CE6" s="6">
        <v>22500</v>
      </c>
      <c r="CF6" s="6">
        <v>22500</v>
      </c>
      <c r="CG6" s="6">
        <v>23500</v>
      </c>
      <c r="CH6" s="6">
        <v>23500</v>
      </c>
      <c r="CI6" s="6">
        <v>23500</v>
      </c>
      <c r="CJ6" s="6">
        <v>23500</v>
      </c>
      <c r="CK6" s="6">
        <v>23500</v>
      </c>
      <c r="CL6" s="6">
        <v>23500</v>
      </c>
      <c r="CM6" s="6">
        <v>23500</v>
      </c>
      <c r="CN6" s="6">
        <v>23500</v>
      </c>
      <c r="CO6" s="6">
        <v>23500</v>
      </c>
      <c r="CP6" s="6">
        <v>22500</v>
      </c>
      <c r="CQ6" s="6">
        <v>22500</v>
      </c>
      <c r="CR6" s="6">
        <v>22500</v>
      </c>
      <c r="CS6" s="6">
        <v>22500</v>
      </c>
      <c r="CT6" s="6">
        <v>22500</v>
      </c>
      <c r="CU6" s="6">
        <v>22500</v>
      </c>
      <c r="CV6" s="6">
        <v>22500</v>
      </c>
      <c r="CW6" s="6">
        <v>22500</v>
      </c>
      <c r="CX6" s="6">
        <v>22500</v>
      </c>
      <c r="CY6" s="6">
        <v>22500</v>
      </c>
      <c r="CZ6" s="6">
        <v>22500</v>
      </c>
      <c r="DA6" s="6">
        <v>22500</v>
      </c>
      <c r="DB6" s="6">
        <v>22500</v>
      </c>
      <c r="DC6" s="6">
        <v>22500</v>
      </c>
      <c r="DD6" s="6">
        <v>22500</v>
      </c>
      <c r="DE6" s="6">
        <v>22500</v>
      </c>
      <c r="DF6" s="6">
        <v>22500</v>
      </c>
      <c r="DG6" s="6">
        <v>22500</v>
      </c>
      <c r="DH6" s="6">
        <v>22500</v>
      </c>
      <c r="DI6" s="6">
        <v>22500</v>
      </c>
      <c r="DJ6" s="6">
        <v>22500</v>
      </c>
      <c r="DK6" s="6">
        <v>22500</v>
      </c>
      <c r="DL6" s="6">
        <v>22500</v>
      </c>
      <c r="DM6" s="6">
        <v>22500</v>
      </c>
      <c r="DN6" s="6">
        <v>22500</v>
      </c>
      <c r="DO6" s="6">
        <v>22500</v>
      </c>
      <c r="DP6" s="6">
        <v>22500</v>
      </c>
      <c r="DQ6" s="6">
        <v>22500</v>
      </c>
      <c r="DR6" s="6">
        <v>22500</v>
      </c>
      <c r="DS6" s="6">
        <v>22500</v>
      </c>
      <c r="DT6" s="6">
        <v>22500</v>
      </c>
      <c r="DU6" s="6">
        <v>22500</v>
      </c>
      <c r="DV6" s="6">
        <v>22500</v>
      </c>
      <c r="DW6" s="6">
        <v>22500</v>
      </c>
      <c r="DX6" s="6">
        <v>22500</v>
      </c>
      <c r="DY6" s="6">
        <v>22500</v>
      </c>
      <c r="DZ6" s="6">
        <v>22500</v>
      </c>
      <c r="EA6" s="6">
        <v>22500</v>
      </c>
      <c r="EB6" s="6">
        <v>22500</v>
      </c>
      <c r="EC6" s="6">
        <v>22500</v>
      </c>
      <c r="ED6" s="6">
        <v>23000</v>
      </c>
      <c r="EE6" s="6">
        <v>23000</v>
      </c>
      <c r="EF6" s="6">
        <v>23000</v>
      </c>
      <c r="EG6" s="6">
        <v>23000</v>
      </c>
      <c r="EH6" s="6">
        <v>23000</v>
      </c>
      <c r="EI6" s="6">
        <v>23000</v>
      </c>
      <c r="EJ6" s="6">
        <v>22500</v>
      </c>
      <c r="EK6" s="6">
        <v>22500</v>
      </c>
      <c r="EL6" s="6">
        <v>22500</v>
      </c>
      <c r="EM6" s="91">
        <v>22500</v>
      </c>
      <c r="EN6" s="91">
        <v>22500</v>
      </c>
      <c r="EO6" s="91">
        <v>22500</v>
      </c>
      <c r="EP6" s="91">
        <v>22500</v>
      </c>
      <c r="EQ6" s="91">
        <v>22500</v>
      </c>
      <c r="ER6" s="91">
        <v>22500</v>
      </c>
      <c r="ES6" s="91">
        <v>22500</v>
      </c>
      <c r="ET6" s="91">
        <v>22500</v>
      </c>
      <c r="EU6" s="91">
        <v>22500</v>
      </c>
      <c r="EV6" s="91">
        <v>22500</v>
      </c>
      <c r="EW6" s="91">
        <v>22500</v>
      </c>
      <c r="EX6" s="91">
        <v>22500</v>
      </c>
      <c r="EY6" s="91">
        <v>22500</v>
      </c>
      <c r="EZ6" s="91">
        <v>22500</v>
      </c>
      <c r="FA6" s="91">
        <v>22500</v>
      </c>
      <c r="FB6" s="91">
        <v>22500</v>
      </c>
      <c r="FC6" s="91">
        <v>22500</v>
      </c>
      <c r="FD6" s="91">
        <v>22500</v>
      </c>
      <c r="FE6" s="91">
        <v>22500</v>
      </c>
      <c r="FF6" s="91">
        <v>22500</v>
      </c>
      <c r="FG6" s="91">
        <v>22500</v>
      </c>
      <c r="FH6" s="91">
        <v>22500</v>
      </c>
      <c r="FI6" s="91">
        <v>22500</v>
      </c>
      <c r="FJ6" s="91">
        <v>22500</v>
      </c>
      <c r="FK6" s="91">
        <v>22500</v>
      </c>
      <c r="FL6" s="91">
        <v>22500</v>
      </c>
      <c r="FM6" s="91">
        <v>22000</v>
      </c>
      <c r="FN6" s="91">
        <v>22000</v>
      </c>
      <c r="FO6" s="91">
        <v>22000</v>
      </c>
      <c r="FP6" s="91">
        <v>22000</v>
      </c>
      <c r="FQ6" s="91">
        <v>22000</v>
      </c>
      <c r="FR6" s="91">
        <v>22000</v>
      </c>
      <c r="FS6" s="91">
        <v>22000</v>
      </c>
      <c r="FT6" s="91">
        <v>22000</v>
      </c>
      <c r="FU6" s="91">
        <v>22000</v>
      </c>
      <c r="FV6" s="91">
        <v>22000</v>
      </c>
      <c r="FW6" s="91">
        <v>22000</v>
      </c>
      <c r="FX6" s="91">
        <v>22000</v>
      </c>
      <c r="FY6" s="91">
        <v>22000</v>
      </c>
      <c r="FZ6" s="91">
        <v>22000</v>
      </c>
      <c r="GA6" s="91">
        <v>22000</v>
      </c>
      <c r="GB6" s="91">
        <v>22000</v>
      </c>
      <c r="GC6" s="91">
        <v>22000</v>
      </c>
      <c r="GD6" s="91">
        <v>22000</v>
      </c>
      <c r="GE6" s="91">
        <v>22000</v>
      </c>
      <c r="GF6" s="91">
        <v>22000</v>
      </c>
      <c r="GG6" s="91">
        <v>22000</v>
      </c>
      <c r="GH6" s="91">
        <v>22000</v>
      </c>
      <c r="GI6" s="91">
        <v>22000</v>
      </c>
      <c r="GJ6" s="91">
        <v>22000</v>
      </c>
      <c r="GK6" s="91">
        <v>22000</v>
      </c>
      <c r="GL6" s="91">
        <v>22000</v>
      </c>
      <c r="GM6" s="91">
        <v>22000</v>
      </c>
      <c r="GN6" s="91">
        <v>22000</v>
      </c>
      <c r="GO6" s="91">
        <v>22000</v>
      </c>
      <c r="GP6" s="91">
        <v>22000</v>
      </c>
      <c r="GQ6" s="91">
        <v>22000</v>
      </c>
      <c r="GR6" s="91">
        <v>22000</v>
      </c>
      <c r="GS6" s="91">
        <v>22000</v>
      </c>
      <c r="GT6" s="91">
        <v>22000</v>
      </c>
      <c r="GU6" s="91">
        <v>22000</v>
      </c>
      <c r="GV6" s="91">
        <v>22000</v>
      </c>
      <c r="GW6" s="91">
        <v>22000</v>
      </c>
      <c r="GX6" s="91">
        <v>22000</v>
      </c>
      <c r="GY6" s="91">
        <v>22000</v>
      </c>
      <c r="GZ6" s="91">
        <v>22000</v>
      </c>
      <c r="HA6" s="91">
        <v>22000</v>
      </c>
      <c r="HB6" s="91">
        <v>22000</v>
      </c>
      <c r="HC6" s="91">
        <v>22000</v>
      </c>
      <c r="HD6" s="91"/>
      <c r="HE6" s="91"/>
      <c r="HF6" s="91"/>
      <c r="HG6" s="91"/>
      <c r="HH6" s="91"/>
      <c r="HI6" s="91"/>
      <c r="HJ6" s="91"/>
      <c r="HK6" s="91"/>
      <c r="HL6" s="91"/>
      <c r="HM6" s="91"/>
      <c r="HN6" s="91"/>
      <c r="HO6" s="91"/>
      <c r="HP6" s="91"/>
      <c r="HQ6" s="91"/>
      <c r="HR6" s="91"/>
      <c r="HS6" s="91"/>
      <c r="HT6" s="91"/>
      <c r="HU6" s="91"/>
      <c r="HV6" s="91"/>
      <c r="HW6" s="91"/>
      <c r="HX6" s="91"/>
      <c r="HY6" s="91"/>
      <c r="HZ6" s="91"/>
      <c r="IA6" s="91"/>
      <c r="IB6" s="91"/>
      <c r="IC6" s="91"/>
      <c r="ID6" s="91"/>
      <c r="IE6" s="91"/>
      <c r="IF6" s="91"/>
      <c r="IG6" s="91"/>
      <c r="IH6" s="91"/>
      <c r="II6" s="91"/>
      <c r="IJ6" s="91"/>
      <c r="IK6" s="91"/>
      <c r="IL6" s="91"/>
      <c r="IM6" s="91"/>
      <c r="IN6" s="91"/>
      <c r="IO6" s="91"/>
      <c r="IP6" s="91"/>
      <c r="IQ6" s="91"/>
      <c r="IR6" s="91"/>
      <c r="IS6" s="91"/>
      <c r="IT6" s="91"/>
      <c r="IU6" s="91"/>
      <c r="IV6" s="91"/>
      <c r="IW6" s="91"/>
      <c r="IX6" s="91"/>
      <c r="IY6" s="91"/>
      <c r="IZ6" s="91"/>
      <c r="JA6" s="91"/>
      <c r="JB6" s="91"/>
      <c r="JC6" s="91"/>
      <c r="JD6" s="91"/>
      <c r="JE6" s="91"/>
      <c r="JF6" s="91"/>
      <c r="JG6" s="91"/>
    </row>
    <row r="7" spans="1:275" ht="18" hidden="1" customHeight="1">
      <c r="A7" s="4">
        <v>3</v>
      </c>
      <c r="B7" s="8">
        <v>150000007</v>
      </c>
      <c r="C7" s="8" t="s">
        <v>20</v>
      </c>
      <c r="D7" s="4" t="s">
        <v>43</v>
      </c>
      <c r="E7" s="5" t="s">
        <v>44</v>
      </c>
      <c r="F7" s="7" t="s">
        <v>45</v>
      </c>
      <c r="G7" s="4" t="s">
        <v>24</v>
      </c>
      <c r="H7" s="7" t="s">
        <v>45</v>
      </c>
      <c r="I7" s="10">
        <f t="shared" ref="I7:AC7" si="0">I6/I4*1000</f>
        <v>885.64392793882575</v>
      </c>
      <c r="J7" s="10">
        <f t="shared" si="0"/>
        <v>886.10330667819323</v>
      </c>
      <c r="K7" s="10">
        <f t="shared" si="0"/>
        <v>929.04675481807965</v>
      </c>
      <c r="L7" s="10">
        <f t="shared" si="0"/>
        <v>926.96386996637057</v>
      </c>
      <c r="M7" s="10">
        <f t="shared" si="0"/>
        <v>969.66040337872778</v>
      </c>
      <c r="N7" s="10">
        <f t="shared" si="0"/>
        <v>971.50259067357513</v>
      </c>
      <c r="O7" s="10">
        <f t="shared" si="0"/>
        <v>972.30024631606238</v>
      </c>
      <c r="P7" s="10">
        <f t="shared" si="0"/>
        <v>971.46064504986828</v>
      </c>
      <c r="Q7" s="10">
        <f t="shared" si="0"/>
        <v>971.46064504986828</v>
      </c>
      <c r="R7" s="10">
        <f t="shared" si="0"/>
        <v>973.05712926523381</v>
      </c>
      <c r="S7" s="10">
        <f t="shared" si="0"/>
        <v>971.6704093971324</v>
      </c>
      <c r="T7" s="10">
        <f t="shared" si="0"/>
        <v>972.93090028539314</v>
      </c>
      <c r="U7" s="10">
        <f t="shared" si="0"/>
        <v>970.66436583261429</v>
      </c>
      <c r="V7" s="10">
        <f t="shared" si="0"/>
        <v>973.68876579539551</v>
      </c>
      <c r="W7" s="10">
        <f t="shared" si="0"/>
        <v>973.68876579539551</v>
      </c>
      <c r="X7" s="10">
        <f t="shared" si="0"/>
        <v>973.68876579539551</v>
      </c>
      <c r="Y7" s="10">
        <f t="shared" si="0"/>
        <v>973.68876579539551</v>
      </c>
      <c r="Z7" s="10">
        <f t="shared" si="0"/>
        <v>971.92224622030233</v>
      </c>
      <c r="AA7" s="10">
        <f t="shared" si="0"/>
        <v>971.92224622030233</v>
      </c>
      <c r="AB7" s="10">
        <f t="shared" si="0"/>
        <v>971.92224622030233</v>
      </c>
      <c r="AC7" s="10">
        <f t="shared" si="0"/>
        <v>971.92224622030233</v>
      </c>
      <c r="AD7" s="10">
        <f t="shared" ref="AD7:AK7" si="1">AD6/AD4*1000</f>
        <v>957.44680851063833</v>
      </c>
      <c r="AE7" s="10">
        <f t="shared" si="1"/>
        <v>957.44680851063833</v>
      </c>
      <c r="AF7" s="10">
        <f t="shared" si="1"/>
        <v>957.44680851063833</v>
      </c>
      <c r="AG7" s="10">
        <f t="shared" si="1"/>
        <v>957.44680851063833</v>
      </c>
      <c r="AH7" s="10">
        <f t="shared" si="1"/>
        <v>957.44680851063833</v>
      </c>
      <c r="AI7" s="10">
        <f t="shared" si="1"/>
        <v>957.44680851063833</v>
      </c>
      <c r="AJ7" s="10">
        <f t="shared" si="1"/>
        <v>914.63414634146341</v>
      </c>
      <c r="AK7" s="10">
        <f t="shared" si="1"/>
        <v>934.95934959349586</v>
      </c>
      <c r="AL7" s="10">
        <f t="shared" ref="AL7:AQ7" si="2">AL6/AL4*1000</f>
        <v>1041.6666666666667</v>
      </c>
      <c r="AM7" s="10">
        <f t="shared" si="2"/>
        <v>1041.6666666666667</v>
      </c>
      <c r="AN7" s="10">
        <f t="shared" si="2"/>
        <v>1041.6666666666667</v>
      </c>
      <c r="AO7" s="10">
        <f t="shared" si="2"/>
        <v>1041.6666666666667</v>
      </c>
      <c r="AP7" s="10">
        <f t="shared" si="2"/>
        <v>1041.6666666666667</v>
      </c>
      <c r="AQ7" s="10">
        <f t="shared" si="2"/>
        <v>1041.6666666666667</v>
      </c>
      <c r="AR7" s="10">
        <f t="shared" ref="AR7:AW7" si="3">AR6/AR4*1000</f>
        <v>958.33333333333337</v>
      </c>
      <c r="AS7" s="10">
        <f t="shared" si="3"/>
        <v>937.5</v>
      </c>
      <c r="AT7" s="10">
        <f t="shared" si="3"/>
        <v>937.5</v>
      </c>
      <c r="AU7" s="10">
        <f t="shared" si="3"/>
        <v>937.5</v>
      </c>
      <c r="AV7" s="75">
        <f t="shared" si="3"/>
        <v>937.5</v>
      </c>
      <c r="AW7" s="75">
        <f t="shared" si="3"/>
        <v>937.5</v>
      </c>
      <c r="AX7" s="75" t="e">
        <f t="shared" ref="AX7:AY7" si="4">AX6/AX4*1000</f>
        <v>#DIV/0!</v>
      </c>
      <c r="AY7" s="75" t="e">
        <f t="shared" si="4"/>
        <v>#DIV/0!</v>
      </c>
      <c r="AZ7" s="75" t="e">
        <f t="shared" ref="AZ7:BA7" si="5">AZ6/AZ4*1000</f>
        <v>#DIV/0!</v>
      </c>
      <c r="BA7" s="75" t="e">
        <f t="shared" si="5"/>
        <v>#DIV/0!</v>
      </c>
      <c r="BB7" s="75" t="e">
        <f t="shared" ref="BB7:BC7" si="6">BB6/BB4*1000</f>
        <v>#DIV/0!</v>
      </c>
      <c r="BC7" s="75" t="e">
        <f t="shared" si="6"/>
        <v>#DIV/0!</v>
      </c>
      <c r="BD7" s="75" t="e">
        <f t="shared" ref="BD7:BE7" si="7">BD6/BD4*1000</f>
        <v>#DIV/0!</v>
      </c>
      <c r="BE7" s="75" t="e">
        <f t="shared" si="7"/>
        <v>#DIV/0!</v>
      </c>
      <c r="BF7" s="75" t="e">
        <f t="shared" ref="BF7:BG7" si="8">BF6/BF4*1000</f>
        <v>#DIV/0!</v>
      </c>
      <c r="BG7" s="75" t="e">
        <f t="shared" si="8"/>
        <v>#DIV/0!</v>
      </c>
      <c r="BH7" s="75" t="e">
        <f t="shared" ref="BH7:BI7" si="9">BH6/BH4*1000</f>
        <v>#DIV/0!</v>
      </c>
      <c r="BI7" s="75" t="e">
        <f t="shared" si="9"/>
        <v>#DIV/0!</v>
      </c>
      <c r="BJ7" s="75" t="e">
        <f t="shared" ref="BJ7:BK7" si="10">BJ6/BJ4*1000</f>
        <v>#DIV/0!</v>
      </c>
      <c r="BK7" s="75" t="e">
        <f t="shared" si="10"/>
        <v>#DIV/0!</v>
      </c>
      <c r="BL7" s="75" t="e">
        <f t="shared" ref="BL7:BM7" si="11">BL6/BL4*1000</f>
        <v>#DIV/0!</v>
      </c>
      <c r="BM7" s="75" t="e">
        <f t="shared" si="11"/>
        <v>#DIV/0!</v>
      </c>
      <c r="BN7" s="75" t="e">
        <f t="shared" ref="BN7:BO7" si="12">BN6/BN4*1000</f>
        <v>#DIV/0!</v>
      </c>
      <c r="BO7" s="75" t="e">
        <f t="shared" si="12"/>
        <v>#DIV/0!</v>
      </c>
      <c r="BP7" s="75" t="e">
        <f t="shared" ref="BP7:BQ7" si="13">BP6/BP4*1000</f>
        <v>#DIV/0!</v>
      </c>
      <c r="BQ7" s="75" t="e">
        <f t="shared" si="13"/>
        <v>#DIV/0!</v>
      </c>
      <c r="BR7" s="75" t="e">
        <f t="shared" ref="BR7:BS7" si="14">BR6/BR4*1000</f>
        <v>#DIV/0!</v>
      </c>
      <c r="BS7" s="75" t="e">
        <f t="shared" si="14"/>
        <v>#DIV/0!</v>
      </c>
      <c r="BT7" s="75" t="e">
        <f t="shared" ref="BT7:BU7" si="15">BT6/BT4*1000</f>
        <v>#DIV/0!</v>
      </c>
      <c r="BU7" s="75" t="e">
        <f t="shared" si="15"/>
        <v>#DIV/0!</v>
      </c>
      <c r="BV7" s="75" t="e">
        <f t="shared" ref="BV7:BW7" si="16">BV6/BV4*1000</f>
        <v>#DIV/0!</v>
      </c>
      <c r="BW7" s="75" t="e">
        <f t="shared" si="16"/>
        <v>#DIV/0!</v>
      </c>
      <c r="BX7" s="75" t="e">
        <f t="shared" ref="BX7:BY7" si="17">BX6/BX4*1000</f>
        <v>#DIV/0!</v>
      </c>
      <c r="BY7" s="75" t="e">
        <f t="shared" si="17"/>
        <v>#DIV/0!</v>
      </c>
      <c r="CA7" s="4" t="s">
        <v>43</v>
      </c>
      <c r="CB7" s="5" t="s">
        <v>44</v>
      </c>
      <c r="CC7" s="7" t="s">
        <v>45</v>
      </c>
      <c r="CD7" s="10">
        <f>CD6/CD4*1000</f>
        <v>971.92224622030233</v>
      </c>
      <c r="CE7" s="10">
        <f t="shared" ref="CE7:CS7" si="18">CE6/CE4*1000</f>
        <v>971.92224622030233</v>
      </c>
      <c r="CF7" s="10">
        <f t="shared" si="18"/>
        <v>971.92224622030233</v>
      </c>
      <c r="CG7" s="10">
        <f t="shared" si="18"/>
        <v>1015.1187904967602</v>
      </c>
      <c r="CH7" s="10">
        <f t="shared" si="18"/>
        <v>1015.1187904967602</v>
      </c>
      <c r="CI7" s="10">
        <f t="shared" si="18"/>
        <v>1015.1187904967602</v>
      </c>
      <c r="CJ7" s="10">
        <f t="shared" si="18"/>
        <v>1015.1187904967602</v>
      </c>
      <c r="CK7" s="10">
        <f t="shared" si="18"/>
        <v>1015.1187904967602</v>
      </c>
      <c r="CL7" s="10">
        <f t="shared" si="18"/>
        <v>1015.1187904967602</v>
      </c>
      <c r="CM7" s="10">
        <f t="shared" si="18"/>
        <v>1015.1187904967602</v>
      </c>
      <c r="CN7" s="10">
        <f t="shared" si="18"/>
        <v>1015.1187904967602</v>
      </c>
      <c r="CO7" s="10">
        <f t="shared" si="18"/>
        <v>1015.1187904967602</v>
      </c>
      <c r="CP7" s="10">
        <f t="shared" si="18"/>
        <v>957.44680851063833</v>
      </c>
      <c r="CQ7" s="10">
        <f t="shared" si="18"/>
        <v>957.44680851063833</v>
      </c>
      <c r="CR7" s="10">
        <f t="shared" si="18"/>
        <v>957.44680851063833</v>
      </c>
      <c r="CS7" s="10">
        <f t="shared" si="18"/>
        <v>957.44680851063833</v>
      </c>
      <c r="CT7" s="10">
        <f t="shared" ref="CT7:DE7" si="19">CT6/CT4*1000</f>
        <v>957.44680851063833</v>
      </c>
      <c r="CU7" s="10">
        <f t="shared" si="19"/>
        <v>957.44680851063833</v>
      </c>
      <c r="CV7" s="10">
        <f t="shared" si="19"/>
        <v>957.44680851063833</v>
      </c>
      <c r="CW7" s="10">
        <f t="shared" si="19"/>
        <v>957.44680851063833</v>
      </c>
      <c r="CX7" s="10">
        <f t="shared" si="19"/>
        <v>914.63414634146341</v>
      </c>
      <c r="CY7" s="10">
        <f t="shared" si="19"/>
        <v>914.63414634146341</v>
      </c>
      <c r="CZ7" s="10">
        <f t="shared" si="19"/>
        <v>914.63414634146341</v>
      </c>
      <c r="DA7" s="10">
        <f t="shared" si="19"/>
        <v>914.63414634146341</v>
      </c>
      <c r="DB7" s="10">
        <f t="shared" si="19"/>
        <v>914.63414634146341</v>
      </c>
      <c r="DC7" s="10">
        <f t="shared" si="19"/>
        <v>937.5</v>
      </c>
      <c r="DD7" s="10">
        <f t="shared" si="19"/>
        <v>937.5</v>
      </c>
      <c r="DE7" s="10">
        <f t="shared" si="19"/>
        <v>937.5</v>
      </c>
      <c r="DF7" s="10">
        <f t="shared" ref="DF7:DO7" si="20">DF6/DF4*1000</f>
        <v>937.5</v>
      </c>
      <c r="DG7" s="10">
        <f t="shared" si="20"/>
        <v>937.5</v>
      </c>
      <c r="DH7" s="10">
        <f t="shared" si="20"/>
        <v>937.5</v>
      </c>
      <c r="DI7" s="10">
        <f t="shared" si="20"/>
        <v>937.5</v>
      </c>
      <c r="DJ7" s="10">
        <f t="shared" si="20"/>
        <v>937.5</v>
      </c>
      <c r="DK7" s="10">
        <f t="shared" si="20"/>
        <v>937.5</v>
      </c>
      <c r="DL7" s="10">
        <f t="shared" si="20"/>
        <v>937.5</v>
      </c>
      <c r="DM7" s="10">
        <f t="shared" si="20"/>
        <v>937.5</v>
      </c>
      <c r="DN7" s="10">
        <f t="shared" si="20"/>
        <v>937.5</v>
      </c>
      <c r="DO7" s="10">
        <f t="shared" si="20"/>
        <v>937.5</v>
      </c>
      <c r="DP7" s="10">
        <f>DP6/DP4*1000</f>
        <v>937.5</v>
      </c>
      <c r="DQ7" s="10">
        <f>DQ6/DQ4*1000</f>
        <v>937.5</v>
      </c>
      <c r="DR7" s="10">
        <f t="shared" ref="DR7:DW7" si="21">DR6/DR4*1000</f>
        <v>937.5</v>
      </c>
      <c r="DS7" s="10">
        <f t="shared" si="21"/>
        <v>937.5</v>
      </c>
      <c r="DT7" s="10">
        <f t="shared" si="21"/>
        <v>937.5</v>
      </c>
      <c r="DU7" s="10">
        <f t="shared" si="21"/>
        <v>937.5</v>
      </c>
      <c r="DV7" s="10">
        <f t="shared" si="21"/>
        <v>937.5</v>
      </c>
      <c r="DW7" s="10">
        <f t="shared" si="21"/>
        <v>937.5</v>
      </c>
      <c r="DX7" s="10">
        <f>DX6/DX4*1000</f>
        <v>937.5</v>
      </c>
      <c r="DY7" s="10">
        <f t="shared" ref="DY7:EE7" si="22">DY6/DY4*1000</f>
        <v>937.5</v>
      </c>
      <c r="DZ7" s="10">
        <f t="shared" si="22"/>
        <v>937.5</v>
      </c>
      <c r="EA7" s="10">
        <f t="shared" si="22"/>
        <v>937.5</v>
      </c>
      <c r="EB7" s="10">
        <f t="shared" si="22"/>
        <v>937.5</v>
      </c>
      <c r="EC7" s="10">
        <f t="shared" si="22"/>
        <v>937.5</v>
      </c>
      <c r="ED7" s="10">
        <f t="shared" si="22"/>
        <v>958.33333333333337</v>
      </c>
      <c r="EE7" s="10">
        <f t="shared" si="22"/>
        <v>958.33333333333337</v>
      </c>
      <c r="EF7" s="10">
        <f t="shared" ref="EF7:EK7" si="23">EF6/EF4*1000</f>
        <v>958.33333333333337</v>
      </c>
      <c r="EG7" s="10">
        <f t="shared" si="23"/>
        <v>958.33333333333337</v>
      </c>
      <c r="EH7" s="10">
        <f t="shared" si="23"/>
        <v>958.33333333333337</v>
      </c>
      <c r="EI7" s="10">
        <f t="shared" si="23"/>
        <v>958.33333333333337</v>
      </c>
      <c r="EJ7" s="10">
        <f t="shared" si="23"/>
        <v>937.5</v>
      </c>
      <c r="EK7" s="10">
        <f t="shared" si="23"/>
        <v>937.5</v>
      </c>
      <c r="EL7" s="10">
        <f>EL6/EL4*1000</f>
        <v>937.5</v>
      </c>
      <c r="EM7" s="75">
        <f t="shared" ref="EM7:ER7" si="24">EM6/EM4*1000</f>
        <v>937.5</v>
      </c>
      <c r="EN7" s="75">
        <f t="shared" si="24"/>
        <v>937.5</v>
      </c>
      <c r="EO7" s="75">
        <f t="shared" si="24"/>
        <v>937.5</v>
      </c>
      <c r="EP7" s="75">
        <f t="shared" si="24"/>
        <v>937.5</v>
      </c>
      <c r="EQ7" s="75">
        <f t="shared" si="24"/>
        <v>937.5</v>
      </c>
      <c r="ER7" s="75">
        <f t="shared" si="24"/>
        <v>937.5</v>
      </c>
      <c r="ES7" s="75">
        <f t="shared" ref="ES7:EY7" si="25">ES6/ES4*1000</f>
        <v>937.5</v>
      </c>
      <c r="ET7" s="75">
        <f t="shared" si="25"/>
        <v>937.5</v>
      </c>
      <c r="EU7" s="75">
        <f t="shared" si="25"/>
        <v>937.5</v>
      </c>
      <c r="EV7" s="75">
        <f t="shared" si="25"/>
        <v>937.5</v>
      </c>
      <c r="EW7" s="75">
        <f t="shared" si="25"/>
        <v>937.5</v>
      </c>
      <c r="EX7" s="75">
        <f t="shared" si="25"/>
        <v>937.5</v>
      </c>
      <c r="EY7" s="75">
        <f t="shared" si="25"/>
        <v>937.5</v>
      </c>
      <c r="EZ7" s="75">
        <f t="shared" ref="EZ7:FA7" si="26">EZ6/EZ4*1000</f>
        <v>937.5</v>
      </c>
      <c r="FA7" s="75">
        <f t="shared" si="26"/>
        <v>937.5</v>
      </c>
      <c r="FB7" s="75">
        <f t="shared" ref="FB7:FC7" si="27">FB6/FB4*1000</f>
        <v>937.5</v>
      </c>
      <c r="FC7" s="75">
        <f t="shared" si="27"/>
        <v>937.5</v>
      </c>
      <c r="FD7" s="75">
        <f t="shared" ref="FD7:FE7" si="28">FD6/FD4*1000</f>
        <v>937.5</v>
      </c>
      <c r="FE7" s="75">
        <f t="shared" si="28"/>
        <v>937.5</v>
      </c>
      <c r="FF7" s="75">
        <f t="shared" ref="FF7:FG7" si="29">FF6/FF4*1000</f>
        <v>937.5</v>
      </c>
      <c r="FG7" s="75">
        <f t="shared" si="29"/>
        <v>937.5</v>
      </c>
      <c r="FH7" s="75" t="e">
        <f t="shared" ref="FH7:FI7" si="30">FH6/FH4*1000</f>
        <v>#DIV/0!</v>
      </c>
      <c r="FI7" s="75" t="e">
        <f t="shared" si="30"/>
        <v>#DIV/0!</v>
      </c>
      <c r="FJ7" s="75" t="e">
        <f t="shared" ref="FJ7:FK7" si="31">FJ6/FJ4*1000</f>
        <v>#DIV/0!</v>
      </c>
      <c r="FK7" s="75" t="e">
        <f t="shared" si="31"/>
        <v>#DIV/0!</v>
      </c>
      <c r="FL7" s="75" t="e">
        <f t="shared" ref="FL7:FM7" si="32">FL6/FL4*1000</f>
        <v>#DIV/0!</v>
      </c>
      <c r="FM7" s="75" t="e">
        <f t="shared" si="32"/>
        <v>#DIV/0!</v>
      </c>
      <c r="FN7" s="75" t="e">
        <f t="shared" ref="FN7:FO7" si="33">FN6/FN4*1000</f>
        <v>#DIV/0!</v>
      </c>
      <c r="FO7" s="75" t="e">
        <f t="shared" si="33"/>
        <v>#DIV/0!</v>
      </c>
      <c r="FP7" s="75" t="e">
        <f t="shared" ref="FP7:FQ7" si="34">FP6/FP4*1000</f>
        <v>#DIV/0!</v>
      </c>
      <c r="FQ7" s="75" t="e">
        <f t="shared" si="34"/>
        <v>#DIV/0!</v>
      </c>
      <c r="FR7" s="75" t="e">
        <f t="shared" ref="FR7:FT7" si="35">FR6/FR4*1000</f>
        <v>#DIV/0!</v>
      </c>
      <c r="FS7" s="75" t="e">
        <f t="shared" si="35"/>
        <v>#DIV/0!</v>
      </c>
      <c r="FT7" s="75" t="e">
        <f t="shared" si="35"/>
        <v>#DIV/0!</v>
      </c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/>
      <c r="IL7" s="75"/>
      <c r="IM7" s="75"/>
      <c r="IN7" s="75"/>
      <c r="IO7" s="75"/>
      <c r="IP7" s="75"/>
      <c r="IQ7" s="75"/>
      <c r="IR7" s="75"/>
      <c r="IS7" s="75"/>
      <c r="IT7" s="75"/>
      <c r="IU7" s="75"/>
      <c r="IV7" s="75"/>
      <c r="IW7" s="75"/>
      <c r="IX7" s="75"/>
      <c r="IY7" s="75"/>
      <c r="IZ7" s="75"/>
      <c r="JA7" s="75"/>
      <c r="JB7" s="75"/>
      <c r="JC7" s="75"/>
      <c r="JD7" s="75"/>
      <c r="JE7" s="75"/>
      <c r="JF7" s="75"/>
      <c r="JG7" s="75"/>
    </row>
    <row r="8" spans="1:275" ht="18" hidden="1" customHeight="1">
      <c r="A8" s="4"/>
      <c r="B8" s="8"/>
      <c r="C8" s="8"/>
      <c r="D8" s="105" t="s">
        <v>37</v>
      </c>
      <c r="E8" s="5"/>
      <c r="F8" s="7" t="s">
        <v>64</v>
      </c>
      <c r="G8" s="4" t="s">
        <v>24</v>
      </c>
      <c r="H8" s="7" t="s">
        <v>64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v>820</v>
      </c>
      <c r="V8" s="10">
        <v>837.5</v>
      </c>
      <c r="W8" s="10">
        <v>903</v>
      </c>
      <c r="X8" s="10">
        <v>928.75</v>
      </c>
      <c r="Y8" s="10">
        <v>932.5</v>
      </c>
      <c r="Z8" s="10">
        <v>922.5</v>
      </c>
      <c r="AA8" s="10">
        <v>901.25</v>
      </c>
      <c r="AB8" s="10">
        <v>850</v>
      </c>
      <c r="AC8" s="10"/>
      <c r="AD8" s="10">
        <v>804</v>
      </c>
      <c r="AE8" s="10">
        <v>760</v>
      </c>
      <c r="AF8" s="10">
        <v>760</v>
      </c>
      <c r="AG8" s="10">
        <v>760</v>
      </c>
      <c r="AH8" s="10">
        <v>760</v>
      </c>
      <c r="AI8" s="10">
        <v>760</v>
      </c>
      <c r="AJ8" s="10">
        <v>760</v>
      </c>
      <c r="AK8" s="10">
        <v>760</v>
      </c>
      <c r="AL8" s="10">
        <v>680</v>
      </c>
      <c r="AM8" s="10">
        <v>680</v>
      </c>
      <c r="AN8" s="10">
        <v>680</v>
      </c>
      <c r="AO8" s="10">
        <v>680</v>
      </c>
      <c r="AP8" s="10">
        <v>680</v>
      </c>
      <c r="AQ8" s="10">
        <v>680</v>
      </c>
      <c r="AR8" s="10">
        <v>680</v>
      </c>
      <c r="AS8" s="10">
        <v>680</v>
      </c>
      <c r="AT8" s="10">
        <v>680</v>
      </c>
      <c r="AU8" s="10">
        <v>680</v>
      </c>
      <c r="AV8" s="75">
        <v>680</v>
      </c>
      <c r="AW8" s="75">
        <v>680</v>
      </c>
      <c r="AX8" s="75">
        <v>680</v>
      </c>
      <c r="AY8" s="75">
        <v>680</v>
      </c>
      <c r="AZ8" s="75">
        <v>680</v>
      </c>
      <c r="BA8" s="75">
        <v>680</v>
      </c>
      <c r="BB8" s="75">
        <v>680</v>
      </c>
      <c r="BC8" s="75">
        <v>680</v>
      </c>
      <c r="BD8" s="75">
        <v>680</v>
      </c>
      <c r="BE8" s="75">
        <v>680</v>
      </c>
      <c r="BF8" s="75">
        <v>680</v>
      </c>
      <c r="BG8" s="75">
        <v>680</v>
      </c>
      <c r="BH8" s="75">
        <v>680</v>
      </c>
      <c r="BI8" s="75">
        <v>680</v>
      </c>
      <c r="BJ8" s="75">
        <v>680</v>
      </c>
      <c r="BK8" s="75">
        <v>680</v>
      </c>
      <c r="BL8" s="75">
        <v>680</v>
      </c>
      <c r="BM8" s="75">
        <v>680</v>
      </c>
      <c r="BN8" s="75">
        <v>680</v>
      </c>
      <c r="BO8" s="75">
        <v>680</v>
      </c>
      <c r="BP8" s="75">
        <v>680</v>
      </c>
      <c r="BQ8" s="75">
        <v>680</v>
      </c>
      <c r="BR8" s="75">
        <v>680</v>
      </c>
      <c r="BS8" s="75">
        <v>680</v>
      </c>
      <c r="BT8" s="75">
        <v>680</v>
      </c>
      <c r="BU8" s="75">
        <v>680</v>
      </c>
      <c r="BV8" s="75">
        <v>680</v>
      </c>
      <c r="BW8" s="75">
        <v>680</v>
      </c>
      <c r="BX8" s="75">
        <v>680</v>
      </c>
      <c r="BY8" s="75">
        <v>680</v>
      </c>
      <c r="CA8" s="4" t="s">
        <v>37</v>
      </c>
      <c r="CB8" s="5"/>
      <c r="CC8" s="7" t="s">
        <v>64</v>
      </c>
      <c r="CD8" s="10">
        <v>922.5</v>
      </c>
      <c r="CE8" s="10">
        <v>922.5</v>
      </c>
      <c r="CF8" s="10">
        <v>922.5</v>
      </c>
      <c r="CG8" s="10">
        <v>922.5</v>
      </c>
      <c r="CH8" s="10">
        <v>922.5</v>
      </c>
      <c r="CI8" s="95">
        <v>880</v>
      </c>
      <c r="CJ8" s="95">
        <v>880</v>
      </c>
      <c r="CK8" s="95">
        <v>880</v>
      </c>
      <c r="CL8" s="95">
        <v>880</v>
      </c>
      <c r="CM8" s="95">
        <v>820</v>
      </c>
      <c r="CN8" s="95">
        <v>820</v>
      </c>
      <c r="CO8" s="95">
        <v>820</v>
      </c>
      <c r="CP8" s="95">
        <v>820</v>
      </c>
      <c r="CQ8" s="95">
        <v>820</v>
      </c>
      <c r="CR8" s="95">
        <v>800</v>
      </c>
      <c r="CS8" s="95">
        <v>760</v>
      </c>
      <c r="CT8" s="10">
        <v>760</v>
      </c>
      <c r="CU8" s="10">
        <v>760</v>
      </c>
      <c r="CV8" s="10">
        <v>760</v>
      </c>
      <c r="CW8" s="10">
        <v>760</v>
      </c>
      <c r="CX8" s="10">
        <v>720</v>
      </c>
      <c r="CY8" s="10">
        <v>720</v>
      </c>
      <c r="CZ8" s="10">
        <v>720</v>
      </c>
      <c r="DA8" s="10">
        <v>680</v>
      </c>
      <c r="DB8" s="10">
        <v>680</v>
      </c>
      <c r="DC8" s="10">
        <v>680</v>
      </c>
      <c r="DD8" s="10">
        <v>680</v>
      </c>
      <c r="DE8" s="10">
        <v>680</v>
      </c>
      <c r="DF8" s="10">
        <v>680</v>
      </c>
      <c r="DG8" s="10">
        <v>680</v>
      </c>
      <c r="DH8" s="10">
        <v>680</v>
      </c>
      <c r="DI8" s="10">
        <v>680</v>
      </c>
      <c r="DJ8" s="10">
        <v>680</v>
      </c>
      <c r="DK8" s="10">
        <v>680</v>
      </c>
      <c r="DL8" s="10">
        <v>680</v>
      </c>
      <c r="DM8" s="10">
        <v>680</v>
      </c>
      <c r="DN8" s="10">
        <v>680</v>
      </c>
      <c r="DO8" s="10">
        <v>680</v>
      </c>
      <c r="DP8" s="10">
        <v>680</v>
      </c>
      <c r="DQ8" s="10">
        <v>680</v>
      </c>
      <c r="DR8" s="10">
        <v>680</v>
      </c>
      <c r="DS8" s="10">
        <v>680</v>
      </c>
      <c r="DT8" s="10">
        <v>680</v>
      </c>
      <c r="DU8" s="10">
        <v>680</v>
      </c>
      <c r="DV8" s="10">
        <v>680</v>
      </c>
      <c r="DW8" s="10">
        <v>680</v>
      </c>
      <c r="DX8" s="10">
        <v>680</v>
      </c>
      <c r="DY8" s="10">
        <v>680</v>
      </c>
      <c r="DZ8" s="10">
        <v>680</v>
      </c>
      <c r="EA8" s="10">
        <v>680</v>
      </c>
      <c r="EB8" s="10">
        <v>680</v>
      </c>
      <c r="EC8" s="10">
        <v>680</v>
      </c>
      <c r="ED8" s="10">
        <v>680</v>
      </c>
      <c r="EE8" s="10">
        <v>680</v>
      </c>
      <c r="EF8" s="10">
        <v>680</v>
      </c>
      <c r="EG8" s="10">
        <v>680</v>
      </c>
      <c r="EH8" s="10">
        <v>680</v>
      </c>
      <c r="EI8" s="10">
        <v>680</v>
      </c>
      <c r="EJ8" s="10">
        <v>680</v>
      </c>
      <c r="EK8" s="10">
        <v>680</v>
      </c>
      <c r="EL8" s="10">
        <v>680</v>
      </c>
      <c r="EM8" s="75">
        <v>680</v>
      </c>
      <c r="EN8" s="75">
        <v>680</v>
      </c>
      <c r="EO8" s="75">
        <v>680</v>
      </c>
      <c r="EP8" s="75">
        <v>680</v>
      </c>
      <c r="EQ8" s="75">
        <v>680</v>
      </c>
      <c r="ER8" s="75">
        <v>680</v>
      </c>
      <c r="ES8" s="75">
        <v>680</v>
      </c>
      <c r="ET8" s="75">
        <v>680</v>
      </c>
      <c r="EU8" s="75">
        <v>680</v>
      </c>
      <c r="EV8" s="75">
        <v>680</v>
      </c>
      <c r="EW8" s="75">
        <v>680</v>
      </c>
      <c r="EX8" s="75">
        <v>680</v>
      </c>
      <c r="EY8" s="75">
        <v>680</v>
      </c>
      <c r="EZ8" s="75">
        <v>680</v>
      </c>
      <c r="FA8" s="75">
        <v>680</v>
      </c>
      <c r="FB8" s="75">
        <v>680</v>
      </c>
      <c r="FC8" s="75">
        <v>680</v>
      </c>
      <c r="FD8" s="75">
        <v>680</v>
      </c>
      <c r="FE8" s="75">
        <v>680</v>
      </c>
      <c r="FF8" s="75">
        <v>680</v>
      </c>
      <c r="FG8" s="75">
        <v>680</v>
      </c>
      <c r="FH8" s="75">
        <v>680</v>
      </c>
      <c r="FI8" s="75">
        <v>680</v>
      </c>
      <c r="FJ8" s="75">
        <v>680</v>
      </c>
      <c r="FK8" s="75">
        <v>680</v>
      </c>
      <c r="FL8" s="75">
        <v>680</v>
      </c>
      <c r="FM8" s="75">
        <v>680</v>
      </c>
      <c r="FN8" s="75">
        <v>680</v>
      </c>
      <c r="FO8" s="75">
        <v>680</v>
      </c>
      <c r="FP8" s="75">
        <v>680</v>
      </c>
      <c r="FQ8" s="75">
        <v>680</v>
      </c>
      <c r="FR8" s="75">
        <v>680</v>
      </c>
      <c r="FS8" s="75">
        <v>680</v>
      </c>
      <c r="FT8" s="75">
        <v>680</v>
      </c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  <c r="IY8" s="75"/>
      <c r="IZ8" s="75"/>
      <c r="JA8" s="75"/>
      <c r="JB8" s="75"/>
      <c r="JC8" s="75"/>
      <c r="JD8" s="75"/>
      <c r="JE8" s="75"/>
      <c r="JF8" s="75"/>
      <c r="JG8" s="75"/>
    </row>
    <row r="9" spans="1:275" s="32" customFormat="1" ht="14">
      <c r="A9" s="44"/>
      <c r="B9" s="45" t="s">
        <v>46</v>
      </c>
      <c r="C9" s="45" t="s">
        <v>47</v>
      </c>
      <c r="D9" s="44" t="s">
        <v>48</v>
      </c>
      <c r="E9" s="45" t="s">
        <v>29</v>
      </c>
      <c r="F9" s="45" t="s">
        <v>100</v>
      </c>
      <c r="G9" s="46" t="s">
        <v>24</v>
      </c>
      <c r="H9" s="96" t="s">
        <v>140</v>
      </c>
      <c r="I9" s="46">
        <v>1430</v>
      </c>
      <c r="J9" s="46">
        <v>1430</v>
      </c>
      <c r="K9" s="46">
        <v>1430</v>
      </c>
      <c r="L9" s="46">
        <v>1430</v>
      </c>
      <c r="M9" s="46">
        <v>1430</v>
      </c>
      <c r="N9" s="46">
        <v>1430</v>
      </c>
      <c r="O9" s="46">
        <v>1430</v>
      </c>
      <c r="P9" s="46">
        <v>1430</v>
      </c>
      <c r="Q9" s="46">
        <v>1430</v>
      </c>
      <c r="R9" s="46">
        <v>1530</v>
      </c>
      <c r="S9" s="46">
        <v>1530</v>
      </c>
      <c r="T9" s="46">
        <v>1530</v>
      </c>
      <c r="U9" s="46">
        <v>1530</v>
      </c>
      <c r="V9" s="46">
        <v>1530</v>
      </c>
      <c r="W9" s="46">
        <v>1560</v>
      </c>
      <c r="X9" s="46">
        <v>1610</v>
      </c>
      <c r="Y9" s="46">
        <v>1610</v>
      </c>
      <c r="Z9" s="46">
        <v>1610</v>
      </c>
      <c r="AA9" s="46">
        <v>1610</v>
      </c>
      <c r="AB9" s="46">
        <v>1610</v>
      </c>
      <c r="AC9" s="46">
        <v>1610</v>
      </c>
      <c r="AD9" s="46">
        <v>1530</v>
      </c>
      <c r="AE9" s="46">
        <v>1530</v>
      </c>
      <c r="AF9" s="46">
        <v>1530</v>
      </c>
      <c r="AG9" s="46">
        <v>1530</v>
      </c>
      <c r="AH9" s="46">
        <v>1530</v>
      </c>
      <c r="AI9" s="46">
        <v>1530</v>
      </c>
      <c r="AJ9" s="46">
        <v>1530</v>
      </c>
      <c r="AK9" s="46">
        <v>1530</v>
      </c>
      <c r="AL9" s="46">
        <v>1400</v>
      </c>
      <c r="AM9" s="46">
        <v>1400</v>
      </c>
      <c r="AN9" s="46">
        <v>1400</v>
      </c>
      <c r="AO9" s="46">
        <v>1530</v>
      </c>
      <c r="AP9" s="46">
        <v>1530</v>
      </c>
      <c r="AQ9" s="46">
        <v>1530</v>
      </c>
      <c r="AR9" s="46">
        <v>1450</v>
      </c>
      <c r="AS9" s="46">
        <v>1400</v>
      </c>
      <c r="AT9" s="46">
        <v>1400</v>
      </c>
      <c r="AU9" s="46">
        <v>1400</v>
      </c>
      <c r="AV9" s="46">
        <v>1400</v>
      </c>
      <c r="AW9" s="46">
        <v>1400</v>
      </c>
      <c r="AX9" s="46">
        <v>1400</v>
      </c>
      <c r="AY9" s="46">
        <v>1400</v>
      </c>
      <c r="AZ9" s="46">
        <v>1400</v>
      </c>
      <c r="BA9" s="46">
        <v>1400</v>
      </c>
      <c r="BB9" s="46">
        <v>1400</v>
      </c>
      <c r="BC9" s="46">
        <v>1400</v>
      </c>
      <c r="BD9" s="46">
        <v>1400</v>
      </c>
      <c r="BE9" s="46">
        <v>1400</v>
      </c>
      <c r="BF9" s="46">
        <v>1400</v>
      </c>
      <c r="BG9" s="46">
        <v>1400</v>
      </c>
      <c r="BH9" s="46">
        <v>1400</v>
      </c>
      <c r="BI9" s="46">
        <v>1400</v>
      </c>
      <c r="BJ9" s="46">
        <v>1400</v>
      </c>
      <c r="BK9" s="46">
        <v>1400</v>
      </c>
      <c r="BL9" s="46">
        <f>1400-50</f>
        <v>1350</v>
      </c>
      <c r="BM9" s="46">
        <f>1400-50</f>
        <v>1350</v>
      </c>
      <c r="BN9" s="46">
        <f>1400-50</f>
        <v>1350</v>
      </c>
      <c r="BO9" s="46">
        <f>1400-50</f>
        <v>1350</v>
      </c>
      <c r="BP9" s="46">
        <f>1400-50</f>
        <v>1350</v>
      </c>
      <c r="BQ9" s="46">
        <f>1400-50-20</f>
        <v>1330</v>
      </c>
      <c r="BR9" s="46">
        <f>1400-50-20-20</f>
        <v>1310</v>
      </c>
      <c r="BS9" s="46">
        <f>1400-50-20-20</f>
        <v>1310</v>
      </c>
      <c r="BT9" s="46">
        <f>1400-50-20-20-10</f>
        <v>1300</v>
      </c>
      <c r="BU9" s="46">
        <f>1400-50-20-20-10</f>
        <v>1300</v>
      </c>
      <c r="BV9" s="46">
        <f>1400-50-20-20-10</f>
        <v>1300</v>
      </c>
      <c r="BW9" s="46">
        <f>1400-50-20-20-10</f>
        <v>1300</v>
      </c>
      <c r="BX9" s="46">
        <f>1400-50-20-20-10</f>
        <v>1300</v>
      </c>
      <c r="BY9" s="46"/>
      <c r="BZ9" s="150"/>
      <c r="CA9" s="44" t="s">
        <v>48</v>
      </c>
      <c r="CB9" s="45" t="s">
        <v>29</v>
      </c>
      <c r="CC9" s="96" t="s">
        <v>140</v>
      </c>
      <c r="CD9" s="46">
        <v>1610</v>
      </c>
      <c r="CE9" s="46">
        <v>1610</v>
      </c>
      <c r="CF9" s="46">
        <v>1610</v>
      </c>
      <c r="CG9" s="46">
        <v>1610</v>
      </c>
      <c r="CH9" s="46">
        <v>1610</v>
      </c>
      <c r="CI9" s="46">
        <v>1610</v>
      </c>
      <c r="CJ9" s="46">
        <v>1610</v>
      </c>
      <c r="CK9" s="46">
        <v>1610</v>
      </c>
      <c r="CL9" s="46">
        <v>1610</v>
      </c>
      <c r="CM9" s="46">
        <v>1610</v>
      </c>
      <c r="CN9" s="46">
        <v>1610</v>
      </c>
      <c r="CO9" s="46">
        <v>1610</v>
      </c>
      <c r="CP9" s="46">
        <v>1530</v>
      </c>
      <c r="CQ9" s="46">
        <v>1530</v>
      </c>
      <c r="CR9" s="46">
        <v>1530</v>
      </c>
      <c r="CS9" s="46">
        <v>1530</v>
      </c>
      <c r="CT9" s="46">
        <v>1530</v>
      </c>
      <c r="CU9" s="46">
        <v>1530</v>
      </c>
      <c r="CV9" s="46">
        <v>1530</v>
      </c>
      <c r="CW9" s="46">
        <v>1530</v>
      </c>
      <c r="CX9" s="46">
        <v>1530</v>
      </c>
      <c r="CY9" s="46">
        <v>1530</v>
      </c>
      <c r="CZ9" s="46">
        <v>1530</v>
      </c>
      <c r="DA9" s="46">
        <v>1530</v>
      </c>
      <c r="DB9" s="46">
        <v>1530</v>
      </c>
      <c r="DC9" s="46">
        <v>1530</v>
      </c>
      <c r="DD9" s="46">
        <v>1530</v>
      </c>
      <c r="DE9" s="46">
        <v>1400</v>
      </c>
      <c r="DF9" s="46">
        <v>1400</v>
      </c>
      <c r="DG9" s="133">
        <v>1400</v>
      </c>
      <c r="DH9" s="133">
        <v>1400</v>
      </c>
      <c r="DI9" s="133">
        <v>1400</v>
      </c>
      <c r="DJ9" s="133">
        <v>1400</v>
      </c>
      <c r="DK9" s="133">
        <v>1400</v>
      </c>
      <c r="DL9" s="133">
        <v>1400</v>
      </c>
      <c r="DM9" s="133">
        <v>1400</v>
      </c>
      <c r="DN9" s="133">
        <v>1400</v>
      </c>
      <c r="DO9" s="133">
        <v>1400</v>
      </c>
      <c r="DP9" s="133">
        <v>1400</v>
      </c>
      <c r="DQ9" s="133">
        <v>1400</v>
      </c>
      <c r="DR9" s="133">
        <v>1400</v>
      </c>
      <c r="DS9" s="133">
        <v>1530</v>
      </c>
      <c r="DT9" s="133">
        <v>1530</v>
      </c>
      <c r="DU9" s="133">
        <v>1530</v>
      </c>
      <c r="DV9" s="133">
        <v>1530</v>
      </c>
      <c r="DW9" s="133">
        <v>1530</v>
      </c>
      <c r="DX9" s="133">
        <v>1530</v>
      </c>
      <c r="DY9" s="133">
        <v>1530</v>
      </c>
      <c r="DZ9" s="133">
        <v>1530</v>
      </c>
      <c r="EA9" s="133">
        <v>1530</v>
      </c>
      <c r="EB9" s="133">
        <v>1530</v>
      </c>
      <c r="EC9" s="133">
        <v>1450</v>
      </c>
      <c r="ED9" s="133">
        <v>1450</v>
      </c>
      <c r="EE9" s="133">
        <v>1450</v>
      </c>
      <c r="EF9" s="133">
        <v>1450</v>
      </c>
      <c r="EG9" s="133">
        <v>1450</v>
      </c>
      <c r="EH9" s="133">
        <v>1400</v>
      </c>
      <c r="EI9" s="133">
        <v>1400</v>
      </c>
      <c r="EJ9" s="133">
        <v>1400</v>
      </c>
      <c r="EK9" s="133">
        <v>1400</v>
      </c>
      <c r="EL9" s="133">
        <v>1400</v>
      </c>
      <c r="EM9" s="133">
        <v>1400</v>
      </c>
      <c r="EN9" s="133">
        <v>1400</v>
      </c>
      <c r="EO9" s="133">
        <v>1400</v>
      </c>
      <c r="EP9" s="133">
        <v>1400</v>
      </c>
      <c r="EQ9" s="133">
        <v>1400</v>
      </c>
      <c r="ER9" s="133">
        <v>1400</v>
      </c>
      <c r="ES9" s="133">
        <v>1400</v>
      </c>
      <c r="ET9" s="133">
        <v>1400</v>
      </c>
      <c r="EU9" s="133">
        <v>1400</v>
      </c>
      <c r="EV9" s="133">
        <v>1400</v>
      </c>
      <c r="EW9" s="133">
        <v>1400</v>
      </c>
      <c r="EX9" s="133">
        <v>1400</v>
      </c>
      <c r="EY9" s="133">
        <v>1400</v>
      </c>
      <c r="EZ9" s="133">
        <v>1400</v>
      </c>
      <c r="FA9" s="133">
        <v>1400</v>
      </c>
      <c r="FB9" s="133">
        <v>1400</v>
      </c>
      <c r="FC9" s="133">
        <v>1400</v>
      </c>
      <c r="FD9" s="133">
        <v>1400</v>
      </c>
      <c r="FE9" s="133">
        <v>1400</v>
      </c>
      <c r="FF9" s="133">
        <v>1400</v>
      </c>
      <c r="FG9" s="133">
        <v>1400</v>
      </c>
      <c r="FH9" s="133">
        <v>1400</v>
      </c>
      <c r="FI9" s="133">
        <v>1400</v>
      </c>
      <c r="FJ9" s="133">
        <v>1400</v>
      </c>
      <c r="FK9" s="133">
        <v>1400</v>
      </c>
      <c r="FL9" s="133">
        <v>1400</v>
      </c>
      <c r="FM9" s="133">
        <v>1400</v>
      </c>
      <c r="FN9" s="133">
        <v>1400</v>
      </c>
      <c r="FO9" s="133">
        <v>1400</v>
      </c>
      <c r="FP9" s="133">
        <v>1400</v>
      </c>
      <c r="FQ9" s="133">
        <v>1400</v>
      </c>
      <c r="FR9" s="133">
        <v>1400</v>
      </c>
      <c r="FS9" s="133">
        <v>1400</v>
      </c>
      <c r="FT9" s="133">
        <v>1400</v>
      </c>
      <c r="FU9" s="133">
        <v>1400</v>
      </c>
      <c r="FV9" s="133">
        <v>1400</v>
      </c>
      <c r="FW9" s="133">
        <v>1400</v>
      </c>
      <c r="FX9" s="133">
        <v>1400</v>
      </c>
      <c r="FY9" s="133">
        <v>1400</v>
      </c>
      <c r="FZ9" s="133">
        <v>1400</v>
      </c>
      <c r="GA9" s="133">
        <v>1400</v>
      </c>
      <c r="GB9" s="133">
        <v>1400</v>
      </c>
      <c r="GC9" s="133">
        <v>1400</v>
      </c>
      <c r="GD9" s="133">
        <v>1400</v>
      </c>
      <c r="GE9" s="133">
        <v>1400</v>
      </c>
      <c r="GF9" s="133">
        <v>1400</v>
      </c>
      <c r="GG9" s="133">
        <v>1400</v>
      </c>
      <c r="GH9" s="133">
        <v>1400</v>
      </c>
      <c r="GI9" s="133">
        <v>1400</v>
      </c>
      <c r="GJ9" s="133">
        <v>1400</v>
      </c>
      <c r="GK9" s="133">
        <v>1400</v>
      </c>
      <c r="GL9" s="133">
        <v>1400</v>
      </c>
      <c r="GM9" s="133">
        <v>1400</v>
      </c>
      <c r="GN9" s="133">
        <v>1400</v>
      </c>
      <c r="GO9" s="133">
        <v>1400</v>
      </c>
      <c r="GP9" s="133">
        <v>1400</v>
      </c>
      <c r="GQ9" s="133">
        <v>1400</v>
      </c>
      <c r="GR9" s="133">
        <v>1400</v>
      </c>
      <c r="GS9" s="133">
        <v>1400</v>
      </c>
      <c r="GT9" s="133">
        <v>1400</v>
      </c>
      <c r="GU9" s="133">
        <v>1400</v>
      </c>
      <c r="GV9" s="133">
        <v>1400</v>
      </c>
      <c r="GW9" s="133">
        <v>1400</v>
      </c>
      <c r="GX9" s="133">
        <v>1400</v>
      </c>
      <c r="GY9" s="133">
        <v>1400</v>
      </c>
      <c r="GZ9" s="133">
        <v>1400</v>
      </c>
      <c r="HA9" s="133">
        <v>1400</v>
      </c>
      <c r="HB9" s="133">
        <v>1400</v>
      </c>
      <c r="HC9" s="133">
        <v>1400</v>
      </c>
      <c r="HD9" s="133">
        <v>1400</v>
      </c>
      <c r="HE9" s="133">
        <v>1400</v>
      </c>
      <c r="HF9" s="133">
        <v>1400</v>
      </c>
      <c r="HG9" s="133">
        <v>1400</v>
      </c>
      <c r="HH9" s="133">
        <v>1400</v>
      </c>
      <c r="HI9" s="133">
        <v>1400</v>
      </c>
      <c r="HJ9" s="133">
        <v>1400</v>
      </c>
      <c r="HK9" s="133">
        <v>1400</v>
      </c>
      <c r="HL9" s="133">
        <f>1400-50</f>
        <v>1350</v>
      </c>
      <c r="HM9" s="133">
        <f t="shared" ref="HM9:IG9" si="36">1400-50</f>
        <v>1350</v>
      </c>
      <c r="HN9" s="133">
        <f t="shared" si="36"/>
        <v>1350</v>
      </c>
      <c r="HO9" s="133">
        <f t="shared" si="36"/>
        <v>1350</v>
      </c>
      <c r="HP9" s="133">
        <f t="shared" si="36"/>
        <v>1350</v>
      </c>
      <c r="HQ9" s="133">
        <f t="shared" si="36"/>
        <v>1350</v>
      </c>
      <c r="HR9" s="133">
        <f t="shared" si="36"/>
        <v>1350</v>
      </c>
      <c r="HS9" s="133">
        <f t="shared" si="36"/>
        <v>1350</v>
      </c>
      <c r="HT9" s="133">
        <f t="shared" si="36"/>
        <v>1350</v>
      </c>
      <c r="HU9" s="133">
        <f t="shared" si="36"/>
        <v>1350</v>
      </c>
      <c r="HV9" s="133">
        <f t="shared" si="36"/>
        <v>1350</v>
      </c>
      <c r="HW9" s="133">
        <f t="shared" si="36"/>
        <v>1350</v>
      </c>
      <c r="HX9" s="133">
        <f t="shared" si="36"/>
        <v>1350</v>
      </c>
      <c r="HY9" s="133">
        <f t="shared" si="36"/>
        <v>1350</v>
      </c>
      <c r="HZ9" s="133">
        <f t="shared" si="36"/>
        <v>1350</v>
      </c>
      <c r="IA9" s="133">
        <f t="shared" si="36"/>
        <v>1350</v>
      </c>
      <c r="IB9" s="133">
        <f t="shared" si="36"/>
        <v>1350</v>
      </c>
      <c r="IC9" s="133">
        <f t="shared" si="36"/>
        <v>1350</v>
      </c>
      <c r="ID9" s="133">
        <f t="shared" si="36"/>
        <v>1350</v>
      </c>
      <c r="IE9" s="133">
        <f t="shared" si="36"/>
        <v>1350</v>
      </c>
      <c r="IF9" s="133">
        <f t="shared" si="36"/>
        <v>1350</v>
      </c>
      <c r="IG9" s="133">
        <f t="shared" si="36"/>
        <v>1350</v>
      </c>
      <c r="IH9" s="133">
        <f>1400-50-20</f>
        <v>1330</v>
      </c>
      <c r="II9" s="133">
        <f t="shared" ref="II9:IK9" si="37">1400-50-20</f>
        <v>1330</v>
      </c>
      <c r="IJ9" s="133">
        <f t="shared" si="37"/>
        <v>1330</v>
      </c>
      <c r="IK9" s="133">
        <f t="shared" si="37"/>
        <v>1330</v>
      </c>
      <c r="IL9" s="133">
        <f>1400-50-20-20</f>
        <v>1310</v>
      </c>
      <c r="IM9" s="133">
        <f t="shared" ref="IM9:IT9" si="38">1400-50-20-20</f>
        <v>1310</v>
      </c>
      <c r="IN9" s="133">
        <f t="shared" si="38"/>
        <v>1310</v>
      </c>
      <c r="IO9" s="133">
        <f t="shared" si="38"/>
        <v>1310</v>
      </c>
      <c r="IP9" s="133">
        <f t="shared" si="38"/>
        <v>1310</v>
      </c>
      <c r="IQ9" s="133">
        <f t="shared" si="38"/>
        <v>1310</v>
      </c>
      <c r="IR9" s="133">
        <f t="shared" si="38"/>
        <v>1310</v>
      </c>
      <c r="IS9" s="133">
        <f t="shared" si="38"/>
        <v>1310</v>
      </c>
      <c r="IT9" s="133">
        <f t="shared" si="38"/>
        <v>1310</v>
      </c>
      <c r="IU9" s="133">
        <f>1400-50-20-20-10</f>
        <v>1300</v>
      </c>
      <c r="IV9" s="133">
        <f t="shared" ref="IV9:JM9" si="39">1400-50-20-20-10</f>
        <v>1300</v>
      </c>
      <c r="IW9" s="133">
        <f t="shared" si="39"/>
        <v>1300</v>
      </c>
      <c r="IX9" s="133">
        <f t="shared" si="39"/>
        <v>1300</v>
      </c>
      <c r="IY9" s="133">
        <f t="shared" si="39"/>
        <v>1300</v>
      </c>
      <c r="IZ9" s="133">
        <f t="shared" si="39"/>
        <v>1300</v>
      </c>
      <c r="JA9" s="133">
        <f t="shared" si="39"/>
        <v>1300</v>
      </c>
      <c r="JB9" s="133">
        <f t="shared" si="39"/>
        <v>1300</v>
      </c>
      <c r="JC9" s="133">
        <f t="shared" si="39"/>
        <v>1300</v>
      </c>
      <c r="JD9" s="133">
        <f t="shared" si="39"/>
        <v>1300</v>
      </c>
      <c r="JE9" s="133">
        <f t="shared" si="39"/>
        <v>1300</v>
      </c>
      <c r="JF9" s="133">
        <f t="shared" si="39"/>
        <v>1300</v>
      </c>
      <c r="JG9" s="133">
        <f t="shared" si="39"/>
        <v>1300</v>
      </c>
      <c r="JH9" s="133">
        <f t="shared" si="39"/>
        <v>1300</v>
      </c>
      <c r="JI9" s="133">
        <f t="shared" si="39"/>
        <v>1300</v>
      </c>
      <c r="JJ9" s="133">
        <f t="shared" si="39"/>
        <v>1300</v>
      </c>
      <c r="JK9" s="133">
        <f t="shared" si="39"/>
        <v>1300</v>
      </c>
      <c r="JL9" s="133">
        <f t="shared" si="39"/>
        <v>1300</v>
      </c>
      <c r="JM9" s="133">
        <f t="shared" si="39"/>
        <v>1300</v>
      </c>
      <c r="JN9" s="133">
        <f>1300+50</f>
        <v>1350</v>
      </c>
      <c r="JO9" s="133">
        <f>1300+50</f>
        <v>1350</v>
      </c>
    </row>
    <row r="10" spans="1:275" s="32" customFormat="1" ht="14">
      <c r="A10" s="166"/>
      <c r="B10" s="167"/>
      <c r="C10" s="167"/>
      <c r="D10" s="44"/>
      <c r="E10" s="167"/>
      <c r="F10" s="167"/>
      <c r="G10" s="46"/>
      <c r="H10" s="96" t="s">
        <v>141</v>
      </c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>
        <f>AL9-50</f>
        <v>1350</v>
      </c>
      <c r="AM10" s="164">
        <f t="shared" ref="AM10:AY10" si="40">AM9-50</f>
        <v>1350</v>
      </c>
      <c r="AN10" s="164">
        <f t="shared" si="40"/>
        <v>1350</v>
      </c>
      <c r="AO10" s="164">
        <f t="shared" si="40"/>
        <v>1480</v>
      </c>
      <c r="AP10" s="164">
        <f t="shared" si="40"/>
        <v>1480</v>
      </c>
      <c r="AQ10" s="164">
        <f t="shared" si="40"/>
        <v>1480</v>
      </c>
      <c r="AR10" s="164">
        <f t="shared" si="40"/>
        <v>1400</v>
      </c>
      <c r="AS10" s="164">
        <f t="shared" si="40"/>
        <v>1350</v>
      </c>
      <c r="AT10" s="164">
        <f t="shared" si="40"/>
        <v>1350</v>
      </c>
      <c r="AU10" s="164">
        <f t="shared" si="40"/>
        <v>1350</v>
      </c>
      <c r="AV10" s="164">
        <f t="shared" si="40"/>
        <v>1350</v>
      </c>
      <c r="AW10" s="164">
        <f t="shared" si="40"/>
        <v>1350</v>
      </c>
      <c r="AX10" s="164">
        <f t="shared" si="40"/>
        <v>1350</v>
      </c>
      <c r="AY10" s="164">
        <f t="shared" si="40"/>
        <v>1350</v>
      </c>
      <c r="AZ10" s="164">
        <f t="shared" ref="AZ10:BA10" si="41">AZ9-50</f>
        <v>1350</v>
      </c>
      <c r="BA10" s="164">
        <f t="shared" si="41"/>
        <v>1350</v>
      </c>
      <c r="BB10" s="164">
        <f t="shared" ref="BB10:BC10" si="42">BB9-50</f>
        <v>1350</v>
      </c>
      <c r="BC10" s="164">
        <f t="shared" si="42"/>
        <v>1350</v>
      </c>
      <c r="BD10" s="164">
        <f t="shared" ref="BD10:BE10" si="43">BD9-50</f>
        <v>1350</v>
      </c>
      <c r="BE10" s="164">
        <f t="shared" si="43"/>
        <v>1350</v>
      </c>
      <c r="BF10" s="164">
        <f t="shared" ref="BF10:BG10" si="44">BF9-50</f>
        <v>1350</v>
      </c>
      <c r="BG10" s="164">
        <f t="shared" si="44"/>
        <v>1350</v>
      </c>
      <c r="BH10" s="164">
        <f t="shared" ref="BH10:BI10" si="45">BH9-50</f>
        <v>1350</v>
      </c>
      <c r="BI10" s="164">
        <f t="shared" si="45"/>
        <v>1350</v>
      </c>
      <c r="BJ10" s="164">
        <f t="shared" ref="BJ10" si="46">BJ9-50</f>
        <v>1350</v>
      </c>
      <c r="BK10" s="164">
        <f>BK9-100</f>
        <v>1300</v>
      </c>
      <c r="BL10" s="164">
        <f t="shared" ref="BL10:BX10" si="47">BL9-100</f>
        <v>1250</v>
      </c>
      <c r="BM10" s="164">
        <f t="shared" si="47"/>
        <v>1250</v>
      </c>
      <c r="BN10" s="164">
        <f t="shared" si="47"/>
        <v>1250</v>
      </c>
      <c r="BO10" s="164">
        <f t="shared" si="47"/>
        <v>1250</v>
      </c>
      <c r="BP10" s="164">
        <f t="shared" si="47"/>
        <v>1250</v>
      </c>
      <c r="BQ10" s="164">
        <f t="shared" si="47"/>
        <v>1230</v>
      </c>
      <c r="BR10" s="164">
        <f t="shared" si="47"/>
        <v>1210</v>
      </c>
      <c r="BS10" s="164">
        <f t="shared" si="47"/>
        <v>1210</v>
      </c>
      <c r="BT10" s="164">
        <f t="shared" si="47"/>
        <v>1200</v>
      </c>
      <c r="BU10" s="164">
        <f t="shared" si="47"/>
        <v>1200</v>
      </c>
      <c r="BV10" s="164">
        <f t="shared" si="47"/>
        <v>1200</v>
      </c>
      <c r="BW10" s="164">
        <f t="shared" si="47"/>
        <v>1200</v>
      </c>
      <c r="BX10" s="164">
        <f t="shared" si="47"/>
        <v>1200</v>
      </c>
      <c r="BY10" s="164">
        <f t="shared" ref="BY10" si="48">BY9-100</f>
        <v>-100</v>
      </c>
      <c r="BZ10" s="150"/>
      <c r="CA10" s="44"/>
      <c r="CB10" s="167"/>
      <c r="CC10" s="96" t="s">
        <v>141</v>
      </c>
      <c r="CD10" s="164"/>
      <c r="CE10" s="164"/>
      <c r="CF10" s="164"/>
      <c r="CG10" s="164"/>
      <c r="CH10" s="164"/>
      <c r="CI10" s="164"/>
      <c r="CJ10" s="164"/>
      <c r="CK10" s="164"/>
      <c r="CL10" s="164"/>
      <c r="CM10" s="164"/>
      <c r="CN10" s="164"/>
      <c r="CO10" s="164"/>
      <c r="CP10" s="164"/>
      <c r="CQ10" s="164"/>
      <c r="CR10" s="164"/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4"/>
      <c r="DE10" s="164"/>
      <c r="DF10" s="164"/>
      <c r="DG10" s="165">
        <f>DG9-50</f>
        <v>1350</v>
      </c>
      <c r="DH10" s="165">
        <f t="shared" ref="DH10:FJ10" si="49">DH9-50</f>
        <v>1350</v>
      </c>
      <c r="DI10" s="165">
        <f t="shared" si="49"/>
        <v>1350</v>
      </c>
      <c r="DJ10" s="165">
        <f t="shared" si="49"/>
        <v>1350</v>
      </c>
      <c r="DK10" s="165">
        <f t="shared" si="49"/>
        <v>1350</v>
      </c>
      <c r="DL10" s="165">
        <f t="shared" si="49"/>
        <v>1350</v>
      </c>
      <c r="DM10" s="165">
        <f t="shared" si="49"/>
        <v>1350</v>
      </c>
      <c r="DN10" s="165">
        <f t="shared" si="49"/>
        <v>1350</v>
      </c>
      <c r="DO10" s="165">
        <f t="shared" si="49"/>
        <v>1350</v>
      </c>
      <c r="DP10" s="165">
        <f t="shared" si="49"/>
        <v>1350</v>
      </c>
      <c r="DQ10" s="165">
        <f t="shared" si="49"/>
        <v>1350</v>
      </c>
      <c r="DR10" s="165">
        <f t="shared" si="49"/>
        <v>1350</v>
      </c>
      <c r="DS10" s="165">
        <f t="shared" si="49"/>
        <v>1480</v>
      </c>
      <c r="DT10" s="165">
        <f t="shared" si="49"/>
        <v>1480</v>
      </c>
      <c r="DU10" s="165">
        <f t="shared" si="49"/>
        <v>1480</v>
      </c>
      <c r="DV10" s="165">
        <f t="shared" si="49"/>
        <v>1480</v>
      </c>
      <c r="DW10" s="165">
        <f t="shared" si="49"/>
        <v>1480</v>
      </c>
      <c r="DX10" s="165">
        <f t="shared" si="49"/>
        <v>1480</v>
      </c>
      <c r="DY10" s="165">
        <f t="shared" si="49"/>
        <v>1480</v>
      </c>
      <c r="DZ10" s="165">
        <f t="shared" si="49"/>
        <v>1480</v>
      </c>
      <c r="EA10" s="165">
        <f t="shared" si="49"/>
        <v>1480</v>
      </c>
      <c r="EB10" s="165">
        <f t="shared" si="49"/>
        <v>1480</v>
      </c>
      <c r="EC10" s="165">
        <f t="shared" si="49"/>
        <v>1400</v>
      </c>
      <c r="ED10" s="165">
        <f t="shared" si="49"/>
        <v>1400</v>
      </c>
      <c r="EE10" s="165">
        <f t="shared" si="49"/>
        <v>1400</v>
      </c>
      <c r="EF10" s="165">
        <f t="shared" si="49"/>
        <v>1400</v>
      </c>
      <c r="EG10" s="165">
        <f t="shared" si="49"/>
        <v>1400</v>
      </c>
      <c r="EH10" s="165">
        <f t="shared" si="49"/>
        <v>1350</v>
      </c>
      <c r="EI10" s="165">
        <f t="shared" si="49"/>
        <v>1350</v>
      </c>
      <c r="EJ10" s="165">
        <f t="shared" si="49"/>
        <v>1350</v>
      </c>
      <c r="EK10" s="165">
        <f t="shared" si="49"/>
        <v>1350</v>
      </c>
      <c r="EL10" s="165">
        <f t="shared" si="49"/>
        <v>1350</v>
      </c>
      <c r="EM10" s="165">
        <f t="shared" si="49"/>
        <v>1350</v>
      </c>
      <c r="EN10" s="165">
        <f t="shared" si="49"/>
        <v>1350</v>
      </c>
      <c r="EO10" s="165">
        <f t="shared" si="49"/>
        <v>1350</v>
      </c>
      <c r="EP10" s="165">
        <f t="shared" si="49"/>
        <v>1350</v>
      </c>
      <c r="EQ10" s="165">
        <f t="shared" si="49"/>
        <v>1350</v>
      </c>
      <c r="ER10" s="165">
        <f t="shared" si="49"/>
        <v>1350</v>
      </c>
      <c r="ES10" s="165">
        <f t="shared" si="49"/>
        <v>1350</v>
      </c>
      <c r="ET10" s="165">
        <f t="shared" si="49"/>
        <v>1350</v>
      </c>
      <c r="EU10" s="165">
        <f t="shared" si="49"/>
        <v>1350</v>
      </c>
      <c r="EV10" s="165">
        <f t="shared" si="49"/>
        <v>1350</v>
      </c>
      <c r="EW10" s="165">
        <f t="shared" si="49"/>
        <v>1350</v>
      </c>
      <c r="EX10" s="165">
        <f t="shared" si="49"/>
        <v>1350</v>
      </c>
      <c r="EY10" s="165">
        <f t="shared" si="49"/>
        <v>1350</v>
      </c>
      <c r="EZ10" s="165">
        <f t="shared" si="49"/>
        <v>1350</v>
      </c>
      <c r="FA10" s="165">
        <f t="shared" si="49"/>
        <v>1350</v>
      </c>
      <c r="FB10" s="165">
        <f t="shared" si="49"/>
        <v>1350</v>
      </c>
      <c r="FC10" s="165">
        <f t="shared" si="49"/>
        <v>1350</v>
      </c>
      <c r="FD10" s="165">
        <f t="shared" si="49"/>
        <v>1350</v>
      </c>
      <c r="FE10" s="165">
        <f t="shared" si="49"/>
        <v>1350</v>
      </c>
      <c r="FF10" s="165">
        <f t="shared" si="49"/>
        <v>1350</v>
      </c>
      <c r="FG10" s="165">
        <f t="shared" si="49"/>
        <v>1350</v>
      </c>
      <c r="FH10" s="165">
        <f t="shared" si="49"/>
        <v>1350</v>
      </c>
      <c r="FI10" s="165">
        <f t="shared" si="49"/>
        <v>1350</v>
      </c>
      <c r="FJ10" s="165">
        <f t="shared" si="49"/>
        <v>1350</v>
      </c>
      <c r="FK10" s="165">
        <f t="shared" ref="FK10:FM10" si="50">FK9-50</f>
        <v>1350</v>
      </c>
      <c r="FL10" s="165">
        <f t="shared" si="50"/>
        <v>1350</v>
      </c>
      <c r="FM10" s="165">
        <f t="shared" si="50"/>
        <v>1350</v>
      </c>
      <c r="FN10" s="165">
        <f t="shared" ref="FN10:FO10" si="51">FN9-50</f>
        <v>1350</v>
      </c>
      <c r="FO10" s="165">
        <f t="shared" si="51"/>
        <v>1350</v>
      </c>
      <c r="FP10" s="165">
        <f t="shared" ref="FP10:FQ10" si="52">FP9-50</f>
        <v>1350</v>
      </c>
      <c r="FQ10" s="165">
        <f t="shared" si="52"/>
        <v>1350</v>
      </c>
      <c r="FR10" s="165">
        <f t="shared" ref="FR10:FT10" si="53">FR9-50</f>
        <v>1350</v>
      </c>
      <c r="FS10" s="165">
        <f t="shared" si="53"/>
        <v>1350</v>
      </c>
      <c r="FT10" s="165">
        <f t="shared" si="53"/>
        <v>1350</v>
      </c>
      <c r="FU10" s="165">
        <f t="shared" ref="FU10:FV10" si="54">FU9-50</f>
        <v>1350</v>
      </c>
      <c r="FV10" s="165">
        <f t="shared" si="54"/>
        <v>1350</v>
      </c>
      <c r="FW10" s="165">
        <f t="shared" ref="FW10:FX10" si="55">FW9-50</f>
        <v>1350</v>
      </c>
      <c r="FX10" s="165">
        <f t="shared" si="55"/>
        <v>1350</v>
      </c>
      <c r="FY10" s="165">
        <f t="shared" ref="FY10:FZ10" si="56">FY9-50</f>
        <v>1350</v>
      </c>
      <c r="FZ10" s="165">
        <f t="shared" si="56"/>
        <v>1350</v>
      </c>
      <c r="GA10" s="165">
        <f t="shared" ref="GA10:GB10" si="57">GA9-50</f>
        <v>1350</v>
      </c>
      <c r="GB10" s="165">
        <f t="shared" si="57"/>
        <v>1350</v>
      </c>
      <c r="GC10" s="165">
        <f t="shared" ref="GC10:GD10" si="58">GC9-50</f>
        <v>1350</v>
      </c>
      <c r="GD10" s="165">
        <f t="shared" si="58"/>
        <v>1350</v>
      </c>
      <c r="GE10" s="165">
        <f t="shared" ref="GE10:GF10" si="59">GE9-50</f>
        <v>1350</v>
      </c>
      <c r="GF10" s="165">
        <f t="shared" si="59"/>
        <v>1350</v>
      </c>
      <c r="GG10" s="165">
        <f t="shared" ref="GG10:GH10" si="60">GG9-50</f>
        <v>1350</v>
      </c>
      <c r="GH10" s="165">
        <f t="shared" si="60"/>
        <v>1350</v>
      </c>
      <c r="GI10" s="165">
        <f t="shared" ref="GI10:GJ10" si="61">GI9-50</f>
        <v>1350</v>
      </c>
      <c r="GJ10" s="165">
        <f t="shared" si="61"/>
        <v>1350</v>
      </c>
      <c r="GK10" s="165">
        <f t="shared" ref="GK10:GL10" si="62">GK9-50</f>
        <v>1350</v>
      </c>
      <c r="GL10" s="165">
        <f t="shared" si="62"/>
        <v>1350</v>
      </c>
      <c r="GM10" s="165">
        <f t="shared" ref="GM10:GN10" si="63">GM9-50</f>
        <v>1350</v>
      </c>
      <c r="GN10" s="165">
        <f t="shared" si="63"/>
        <v>1350</v>
      </c>
      <c r="GO10" s="165">
        <f t="shared" ref="GO10:GP10" si="64">GO9-50</f>
        <v>1350</v>
      </c>
      <c r="GP10" s="165">
        <f t="shared" si="64"/>
        <v>1350</v>
      </c>
      <c r="GQ10" s="165">
        <f t="shared" ref="GQ10:GR10" si="65">GQ9-50</f>
        <v>1350</v>
      </c>
      <c r="GR10" s="165">
        <f t="shared" si="65"/>
        <v>1350</v>
      </c>
      <c r="GS10" s="165">
        <f t="shared" ref="GS10:GT10" si="66">GS9-50</f>
        <v>1350</v>
      </c>
      <c r="GT10" s="165">
        <f t="shared" si="66"/>
        <v>1350</v>
      </c>
      <c r="GU10" s="165">
        <f t="shared" ref="GU10:GY10" si="67">GU9-50</f>
        <v>1350</v>
      </c>
      <c r="GV10" s="165">
        <f t="shared" si="67"/>
        <v>1350</v>
      </c>
      <c r="GW10" s="165">
        <f t="shared" si="67"/>
        <v>1350</v>
      </c>
      <c r="GX10" s="165">
        <f t="shared" si="67"/>
        <v>1350</v>
      </c>
      <c r="GY10" s="165">
        <f t="shared" si="67"/>
        <v>1350</v>
      </c>
      <c r="GZ10" s="165">
        <f t="shared" ref="GZ10:HC10" si="68">GZ9-50</f>
        <v>1350</v>
      </c>
      <c r="HA10" s="165">
        <f t="shared" si="68"/>
        <v>1350</v>
      </c>
      <c r="HB10" s="165">
        <f t="shared" si="68"/>
        <v>1350</v>
      </c>
      <c r="HC10" s="165">
        <f t="shared" si="68"/>
        <v>1350</v>
      </c>
      <c r="HD10" s="165">
        <f t="shared" ref="HD10:HE10" si="69">HD9-50</f>
        <v>1350</v>
      </c>
      <c r="HE10" s="165">
        <f t="shared" si="69"/>
        <v>1350</v>
      </c>
      <c r="HF10" s="165">
        <f t="shared" ref="HF10:HG10" si="70">HF9-50</f>
        <v>1350</v>
      </c>
      <c r="HG10" s="165">
        <f t="shared" si="70"/>
        <v>1350</v>
      </c>
      <c r="HH10" s="165">
        <f t="shared" ref="HH10:HI10" si="71">HH9-50</f>
        <v>1350</v>
      </c>
      <c r="HI10" s="165">
        <f t="shared" si="71"/>
        <v>1350</v>
      </c>
      <c r="HJ10" s="165">
        <f t="shared" ref="HJ10" si="72">HJ9-50</f>
        <v>1350</v>
      </c>
      <c r="HK10" s="165">
        <f t="shared" ref="HK10" si="73">HK9-50</f>
        <v>1350</v>
      </c>
      <c r="HL10" s="165">
        <f t="shared" ref="HL10:HO10" si="74">HL9-50</f>
        <v>1300</v>
      </c>
      <c r="HM10" s="165">
        <f t="shared" si="74"/>
        <v>1300</v>
      </c>
      <c r="HN10" s="165">
        <f t="shared" si="74"/>
        <v>1300</v>
      </c>
      <c r="HO10" s="165">
        <f t="shared" si="74"/>
        <v>1300</v>
      </c>
      <c r="HP10" s="165">
        <f t="shared" ref="HP10:HS10" si="75">HP9-50</f>
        <v>1300</v>
      </c>
      <c r="HQ10" s="165">
        <f t="shared" si="75"/>
        <v>1300</v>
      </c>
      <c r="HR10" s="165">
        <f t="shared" si="75"/>
        <v>1300</v>
      </c>
      <c r="HS10" s="165">
        <f t="shared" si="75"/>
        <v>1300</v>
      </c>
      <c r="HT10" s="165">
        <f t="shared" ref="HT10:HX10" si="76">HT9-50</f>
        <v>1300</v>
      </c>
      <c r="HU10" s="165">
        <f t="shared" si="76"/>
        <v>1300</v>
      </c>
      <c r="HV10" s="165">
        <f t="shared" si="76"/>
        <v>1300</v>
      </c>
      <c r="HW10" s="165">
        <f t="shared" si="76"/>
        <v>1300</v>
      </c>
      <c r="HX10" s="165">
        <f t="shared" si="76"/>
        <v>1300</v>
      </c>
      <c r="HY10" s="165">
        <f t="shared" ref="HY10:IB10" si="77">HY9-50</f>
        <v>1300</v>
      </c>
      <c r="HZ10" s="165">
        <f t="shared" si="77"/>
        <v>1300</v>
      </c>
      <c r="IA10" s="165">
        <f t="shared" si="77"/>
        <v>1300</v>
      </c>
      <c r="IB10" s="165">
        <f t="shared" si="77"/>
        <v>1300</v>
      </c>
      <c r="IC10" s="165">
        <f t="shared" ref="IC10:IG10" si="78">IC9-50</f>
        <v>1300</v>
      </c>
      <c r="ID10" s="165">
        <f t="shared" si="78"/>
        <v>1300</v>
      </c>
      <c r="IE10" s="165">
        <f t="shared" si="78"/>
        <v>1300</v>
      </c>
      <c r="IF10" s="165">
        <f t="shared" si="78"/>
        <v>1300</v>
      </c>
      <c r="IG10" s="165">
        <f t="shared" si="78"/>
        <v>1300</v>
      </c>
      <c r="IH10" s="165">
        <f t="shared" ref="IH10:IK10" si="79">IH9-50</f>
        <v>1280</v>
      </c>
      <c r="II10" s="165">
        <f t="shared" si="79"/>
        <v>1280</v>
      </c>
      <c r="IJ10" s="165">
        <f t="shared" si="79"/>
        <v>1280</v>
      </c>
      <c r="IK10" s="165">
        <f t="shared" si="79"/>
        <v>1280</v>
      </c>
      <c r="IL10" s="165">
        <f t="shared" ref="IL10:IO10" si="80">IL9-50</f>
        <v>1260</v>
      </c>
      <c r="IM10" s="165">
        <f t="shared" si="80"/>
        <v>1260</v>
      </c>
      <c r="IN10" s="165">
        <f t="shared" si="80"/>
        <v>1260</v>
      </c>
      <c r="IO10" s="165">
        <f t="shared" si="80"/>
        <v>1260</v>
      </c>
      <c r="IP10" s="165">
        <f t="shared" ref="IP10:IT10" si="81">IP9-50</f>
        <v>1260</v>
      </c>
      <c r="IQ10" s="165">
        <f t="shared" si="81"/>
        <v>1260</v>
      </c>
      <c r="IR10" s="165">
        <f t="shared" si="81"/>
        <v>1260</v>
      </c>
      <c r="IS10" s="165">
        <f t="shared" si="81"/>
        <v>1260</v>
      </c>
      <c r="IT10" s="165">
        <f t="shared" si="81"/>
        <v>1260</v>
      </c>
      <c r="IU10" s="165">
        <f t="shared" ref="IU10:IX10" si="82">IU9-50</f>
        <v>1250</v>
      </c>
      <c r="IV10" s="165">
        <f t="shared" si="82"/>
        <v>1250</v>
      </c>
      <c r="IW10" s="165">
        <f t="shared" si="82"/>
        <v>1250</v>
      </c>
      <c r="IX10" s="165">
        <f t="shared" si="82"/>
        <v>1250</v>
      </c>
      <c r="IY10" s="165">
        <f t="shared" ref="IY10:JB10" si="83">IY9-50</f>
        <v>1250</v>
      </c>
      <c r="IZ10" s="165">
        <f t="shared" si="83"/>
        <v>1250</v>
      </c>
      <c r="JA10" s="165">
        <f t="shared" si="83"/>
        <v>1250</v>
      </c>
      <c r="JB10" s="165">
        <f t="shared" si="83"/>
        <v>1250</v>
      </c>
      <c r="JC10" s="165">
        <f>JC9-100</f>
        <v>1200</v>
      </c>
      <c r="JD10" s="165">
        <f t="shared" ref="JD10:JK10" si="84">JD9-100</f>
        <v>1200</v>
      </c>
      <c r="JE10" s="165">
        <f t="shared" si="84"/>
        <v>1200</v>
      </c>
      <c r="JF10" s="165">
        <f t="shared" si="84"/>
        <v>1200</v>
      </c>
      <c r="JG10" s="165">
        <f t="shared" si="84"/>
        <v>1200</v>
      </c>
      <c r="JH10" s="165">
        <f t="shared" si="84"/>
        <v>1200</v>
      </c>
      <c r="JI10" s="165">
        <f t="shared" si="84"/>
        <v>1200</v>
      </c>
      <c r="JJ10" s="165">
        <f t="shared" si="84"/>
        <v>1200</v>
      </c>
      <c r="JK10" s="165">
        <f t="shared" si="84"/>
        <v>1200</v>
      </c>
      <c r="JL10" s="165">
        <f t="shared" ref="JL10:JO10" si="85">JL9-100</f>
        <v>1200</v>
      </c>
      <c r="JM10" s="165">
        <f t="shared" si="85"/>
        <v>1200</v>
      </c>
      <c r="JN10" s="165">
        <f t="shared" si="85"/>
        <v>1250</v>
      </c>
      <c r="JO10" s="165">
        <f t="shared" si="85"/>
        <v>1250</v>
      </c>
    </row>
    <row r="11" spans="1:275" s="37" customFormat="1" ht="14" hidden="1">
      <c r="D11" s="38" t="s">
        <v>30</v>
      </c>
      <c r="F11" s="37" t="s">
        <v>49</v>
      </c>
      <c r="G11" s="39" t="s">
        <v>23</v>
      </c>
      <c r="H11" s="37" t="s">
        <v>49</v>
      </c>
      <c r="W11" s="40">
        <f>W9*23100/1000</f>
        <v>36036</v>
      </c>
      <c r="X11" s="40">
        <f>X9*23108/1000</f>
        <v>37203.879999999997</v>
      </c>
      <c r="Y11" s="40">
        <f>Y9*23108/1000</f>
        <v>37203.879999999997</v>
      </c>
      <c r="Z11" s="40">
        <f>Z9*Z4/1000</f>
        <v>37271.5</v>
      </c>
      <c r="AA11" s="40">
        <f>AA9*AA4/1000</f>
        <v>37271.5</v>
      </c>
      <c r="AB11" s="40">
        <v>37826</v>
      </c>
      <c r="AC11" s="40">
        <v>37826</v>
      </c>
      <c r="AD11" s="40">
        <v>35948.725752789389</v>
      </c>
      <c r="AE11" s="40">
        <v>35948.725752789389</v>
      </c>
      <c r="AF11" s="40">
        <v>35948.725752789389</v>
      </c>
      <c r="AG11" s="40">
        <v>35948.725752789389</v>
      </c>
      <c r="AH11" s="40">
        <v>35948.725752789389</v>
      </c>
      <c r="AI11" s="40">
        <v>35948.725752789389</v>
      </c>
      <c r="AJ11" s="40">
        <v>37626.350439123809</v>
      </c>
      <c r="AK11" s="40">
        <v>37626.350439123809</v>
      </c>
      <c r="AL11" s="40">
        <v>37626</v>
      </c>
      <c r="AM11" s="40">
        <v>37626</v>
      </c>
      <c r="AN11" s="40">
        <v>37626</v>
      </c>
      <c r="AO11" s="40">
        <v>37626</v>
      </c>
      <c r="AP11" s="40">
        <v>37626</v>
      </c>
      <c r="AQ11" s="40">
        <v>37626</v>
      </c>
      <c r="AR11" s="40">
        <v>37626</v>
      </c>
      <c r="AS11" s="40">
        <v>37626</v>
      </c>
      <c r="AT11" s="40">
        <v>37626</v>
      </c>
      <c r="AU11" s="40">
        <v>37626</v>
      </c>
      <c r="AV11" s="40">
        <v>37626</v>
      </c>
      <c r="AW11" s="40">
        <v>37626</v>
      </c>
      <c r="AX11" s="40">
        <v>37626</v>
      </c>
      <c r="AY11" s="40">
        <v>37626</v>
      </c>
      <c r="AZ11" s="40">
        <v>37626</v>
      </c>
      <c r="BA11" s="40">
        <v>37626</v>
      </c>
      <c r="BB11" s="40">
        <v>37626</v>
      </c>
      <c r="BC11" s="40">
        <v>37626</v>
      </c>
      <c r="BD11" s="40">
        <v>37626</v>
      </c>
      <c r="BE11" s="40">
        <v>37626</v>
      </c>
      <c r="BF11" s="40">
        <v>37626</v>
      </c>
      <c r="BG11" s="40">
        <v>37626</v>
      </c>
      <c r="BH11" s="40">
        <v>37626</v>
      </c>
      <c r="BI11" s="40">
        <v>37626</v>
      </c>
      <c r="BJ11" s="40">
        <v>37626</v>
      </c>
      <c r="BK11" s="40">
        <v>37626</v>
      </c>
      <c r="BL11" s="40">
        <v>37626</v>
      </c>
      <c r="BM11" s="40">
        <v>37626</v>
      </c>
      <c r="BN11" s="40">
        <v>37626</v>
      </c>
      <c r="BO11" s="40">
        <v>37626</v>
      </c>
      <c r="BP11" s="40">
        <v>37626</v>
      </c>
      <c r="BQ11" s="40">
        <v>37626</v>
      </c>
      <c r="BR11" s="40">
        <v>37626</v>
      </c>
      <c r="BS11" s="40">
        <v>37626</v>
      </c>
      <c r="BT11" s="40">
        <v>37626</v>
      </c>
      <c r="BU11" s="40">
        <v>37626</v>
      </c>
      <c r="BV11" s="40">
        <v>37626</v>
      </c>
      <c r="BW11" s="40">
        <v>37626</v>
      </c>
      <c r="BX11" s="40">
        <v>37626</v>
      </c>
      <c r="BY11" s="40">
        <v>37626</v>
      </c>
      <c r="BZ11" s="151"/>
      <c r="CA11" s="38" t="s">
        <v>30</v>
      </c>
      <c r="CC11" s="37" t="s">
        <v>49</v>
      </c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>
        <v>35948.725752789389</v>
      </c>
      <c r="CU11" s="40">
        <v>35948.725752789389</v>
      </c>
      <c r="CV11" s="40">
        <v>35948.725752789389</v>
      </c>
      <c r="CW11" s="40">
        <v>35948.725752789389</v>
      </c>
      <c r="CX11" s="40">
        <v>37626</v>
      </c>
      <c r="CY11" s="40">
        <v>37626</v>
      </c>
      <c r="CZ11" s="40">
        <v>37626</v>
      </c>
      <c r="DA11" s="40">
        <v>37626</v>
      </c>
      <c r="DB11" s="40">
        <v>37626</v>
      </c>
      <c r="DC11" s="40">
        <v>37626</v>
      </c>
      <c r="DD11" s="40">
        <v>37626</v>
      </c>
      <c r="DE11" s="40">
        <v>37626</v>
      </c>
      <c r="DF11" s="40">
        <v>37626</v>
      </c>
      <c r="DG11" s="40">
        <v>37626</v>
      </c>
      <c r="DH11" s="40">
        <v>37626</v>
      </c>
      <c r="DI11" s="40">
        <v>37626</v>
      </c>
      <c r="DJ11" s="40">
        <v>37626</v>
      </c>
      <c r="DK11" s="40">
        <v>37626</v>
      </c>
      <c r="DL11" s="40">
        <v>37626</v>
      </c>
      <c r="DM11" s="40">
        <v>37626</v>
      </c>
      <c r="DN11" s="40">
        <v>37626</v>
      </c>
      <c r="DO11" s="40">
        <v>37626</v>
      </c>
      <c r="DP11" s="40">
        <v>37626</v>
      </c>
      <c r="DQ11" s="40">
        <v>37626</v>
      </c>
      <c r="DR11" s="40">
        <v>37626</v>
      </c>
      <c r="DS11" s="40">
        <f t="shared" ref="DS11:DX11" si="86">DS9*DS4/1000</f>
        <v>36720</v>
      </c>
      <c r="DT11" s="40">
        <f t="shared" si="86"/>
        <v>36720</v>
      </c>
      <c r="DU11" s="40">
        <f t="shared" si="86"/>
        <v>36720</v>
      </c>
      <c r="DV11" s="40">
        <f t="shared" si="86"/>
        <v>36720</v>
      </c>
      <c r="DW11" s="40">
        <f t="shared" si="86"/>
        <v>36720</v>
      </c>
      <c r="DX11" s="40">
        <f t="shared" si="86"/>
        <v>36720</v>
      </c>
      <c r="DY11" s="40">
        <f t="shared" ref="DY11:EE11" si="87">DY9*DY4/1000</f>
        <v>36720</v>
      </c>
      <c r="DZ11" s="40">
        <f t="shared" si="87"/>
        <v>36720</v>
      </c>
      <c r="EA11" s="40">
        <f t="shared" si="87"/>
        <v>36720</v>
      </c>
      <c r="EB11" s="40">
        <f t="shared" si="87"/>
        <v>36720</v>
      </c>
      <c r="EC11" s="40">
        <f t="shared" si="87"/>
        <v>34800</v>
      </c>
      <c r="ED11" s="40">
        <f t="shared" si="87"/>
        <v>34800</v>
      </c>
      <c r="EE11" s="40">
        <f t="shared" si="87"/>
        <v>34800</v>
      </c>
      <c r="EF11" s="40">
        <f t="shared" ref="EF11:EK11" si="88">EF9*EF4/1000</f>
        <v>34800</v>
      </c>
      <c r="EG11" s="40">
        <f t="shared" si="88"/>
        <v>34800</v>
      </c>
      <c r="EH11" s="40">
        <f t="shared" si="88"/>
        <v>33600</v>
      </c>
      <c r="EI11" s="40">
        <f t="shared" si="88"/>
        <v>33600</v>
      </c>
      <c r="EJ11" s="40">
        <f t="shared" si="88"/>
        <v>33600</v>
      </c>
      <c r="EK11" s="40">
        <f t="shared" si="88"/>
        <v>33600</v>
      </c>
      <c r="EL11" s="40">
        <f>EL9*EL4/1000</f>
        <v>33600</v>
      </c>
      <c r="EM11" s="40">
        <f t="shared" ref="EM11:ER11" si="89">EM9*EM4/1000</f>
        <v>33600</v>
      </c>
      <c r="EN11" s="40">
        <f t="shared" si="89"/>
        <v>33600</v>
      </c>
      <c r="EO11" s="40">
        <f t="shared" si="89"/>
        <v>33600</v>
      </c>
      <c r="EP11" s="40">
        <f t="shared" si="89"/>
        <v>33600</v>
      </c>
      <c r="EQ11" s="40">
        <f t="shared" si="89"/>
        <v>33600</v>
      </c>
      <c r="ER11" s="40">
        <f t="shared" si="89"/>
        <v>33600</v>
      </c>
      <c r="ES11" s="40">
        <f t="shared" ref="ES11:EY11" si="90">ES9*ES4/1000</f>
        <v>33600</v>
      </c>
      <c r="ET11" s="40">
        <f t="shared" si="90"/>
        <v>33600</v>
      </c>
      <c r="EU11" s="40">
        <f t="shared" si="90"/>
        <v>33600</v>
      </c>
      <c r="EV11" s="40">
        <f t="shared" si="90"/>
        <v>33600</v>
      </c>
      <c r="EW11" s="40">
        <f t="shared" si="90"/>
        <v>33600</v>
      </c>
      <c r="EX11" s="40">
        <f t="shared" si="90"/>
        <v>33600</v>
      </c>
      <c r="EY11" s="40">
        <f t="shared" si="90"/>
        <v>33600</v>
      </c>
      <c r="EZ11" s="40">
        <f t="shared" ref="EZ11:FA11" si="91">EZ9*EZ4/1000</f>
        <v>33600</v>
      </c>
      <c r="FA11" s="40">
        <f t="shared" si="91"/>
        <v>33600</v>
      </c>
      <c r="FB11" s="40">
        <f t="shared" ref="FB11:FC11" si="92">FB9*FB4/1000</f>
        <v>33600</v>
      </c>
      <c r="FC11" s="40">
        <f t="shared" si="92"/>
        <v>33600</v>
      </c>
      <c r="FD11" s="40">
        <f t="shared" ref="FD11:FE11" si="93">FD9*FD4/1000</f>
        <v>33600</v>
      </c>
      <c r="FE11" s="40">
        <f t="shared" si="93"/>
        <v>33600</v>
      </c>
      <c r="FF11" s="40">
        <f t="shared" ref="FF11:FG11" si="94">FF9*FF4/1000</f>
        <v>33600</v>
      </c>
      <c r="FG11" s="40">
        <f t="shared" si="94"/>
        <v>33600</v>
      </c>
      <c r="FH11" s="40">
        <f t="shared" ref="FH11:FI11" si="95">FH9*FH4/1000</f>
        <v>0</v>
      </c>
      <c r="FI11" s="40">
        <f t="shared" si="95"/>
        <v>0</v>
      </c>
      <c r="FJ11" s="40">
        <f t="shared" ref="FJ11:FK11" si="96">FJ9*FJ4/1000</f>
        <v>0</v>
      </c>
      <c r="FK11" s="40">
        <f t="shared" si="96"/>
        <v>0</v>
      </c>
      <c r="FL11" s="40">
        <f t="shared" ref="FL11:FM11" si="97">FL9*FL4/1000</f>
        <v>0</v>
      </c>
      <c r="FM11" s="40">
        <f t="shared" si="97"/>
        <v>0</v>
      </c>
      <c r="FN11" s="40">
        <f t="shared" ref="FN11:FO11" si="98">FN9*FN4/1000</f>
        <v>0</v>
      </c>
      <c r="FO11" s="40">
        <f t="shared" si="98"/>
        <v>0</v>
      </c>
      <c r="FP11" s="40">
        <f t="shared" ref="FP11:FQ11" si="99">FP9*FP4/1000</f>
        <v>0</v>
      </c>
      <c r="FQ11" s="40">
        <f t="shared" si="99"/>
        <v>0</v>
      </c>
      <c r="FR11" s="40">
        <f t="shared" ref="FR11:FT11" si="100">FR9*FR4/1000</f>
        <v>0</v>
      </c>
      <c r="FS11" s="40">
        <f t="shared" si="100"/>
        <v>0</v>
      </c>
      <c r="FT11" s="40">
        <f t="shared" si="100"/>
        <v>0</v>
      </c>
      <c r="FU11" s="40">
        <f t="shared" ref="FU11:FV11" si="101">FU9*FU4/1000</f>
        <v>0</v>
      </c>
      <c r="FV11" s="40">
        <f t="shared" si="101"/>
        <v>0</v>
      </c>
      <c r="FW11" s="40">
        <f t="shared" ref="FW11:FX11" si="102">FW9*FW4/1000</f>
        <v>0</v>
      </c>
      <c r="FX11" s="40">
        <f t="shared" si="102"/>
        <v>0</v>
      </c>
      <c r="FY11" s="40">
        <f t="shared" ref="FY11:FZ11" si="103">FY9*FY4/1000</f>
        <v>0</v>
      </c>
      <c r="FZ11" s="40">
        <f t="shared" si="103"/>
        <v>0</v>
      </c>
      <c r="GA11" s="40">
        <f t="shared" ref="GA11:GB11" si="104">GA9*GA4/1000</f>
        <v>0</v>
      </c>
      <c r="GB11" s="40">
        <f t="shared" si="104"/>
        <v>0</v>
      </c>
      <c r="GC11" s="40">
        <f t="shared" ref="GC11:GD11" si="105">GC9*GC4/1000</f>
        <v>0</v>
      </c>
      <c r="GD11" s="40">
        <f t="shared" si="105"/>
        <v>0</v>
      </c>
      <c r="GE11" s="40">
        <f t="shared" ref="GE11:GF11" si="106">GE9*GE4/1000</f>
        <v>0</v>
      </c>
      <c r="GF11" s="40">
        <f t="shared" si="106"/>
        <v>0</v>
      </c>
      <c r="GG11" s="40">
        <f t="shared" ref="GG11:GH11" si="107">GG9*GG4/1000</f>
        <v>0</v>
      </c>
      <c r="GH11" s="40">
        <f t="shared" si="107"/>
        <v>0</v>
      </c>
      <c r="GI11" s="40">
        <f t="shared" ref="GI11:GJ11" si="108">GI9*GI4/1000</f>
        <v>0</v>
      </c>
      <c r="GJ11" s="40">
        <f t="shared" si="108"/>
        <v>0</v>
      </c>
      <c r="GK11" s="40">
        <f t="shared" ref="GK11:GL11" si="109">GK9*GK4/1000</f>
        <v>0</v>
      </c>
      <c r="GL11" s="40">
        <f t="shared" si="109"/>
        <v>0</v>
      </c>
      <c r="GM11" s="40">
        <f t="shared" ref="GM11:GN11" si="110">GM9*GM4/1000</f>
        <v>0</v>
      </c>
      <c r="GN11" s="40">
        <f t="shared" si="110"/>
        <v>0</v>
      </c>
      <c r="GO11" s="40">
        <f t="shared" ref="GO11:GP11" si="111">GO9*GO4/1000</f>
        <v>0</v>
      </c>
      <c r="GP11" s="40">
        <f t="shared" si="111"/>
        <v>0</v>
      </c>
      <c r="GQ11" s="40">
        <f t="shared" ref="GQ11:GR11" si="112">GQ9*GQ4/1000</f>
        <v>0</v>
      </c>
      <c r="GR11" s="40">
        <f t="shared" si="112"/>
        <v>0</v>
      </c>
      <c r="GS11" s="40">
        <f t="shared" ref="GS11:GT11" si="113">GS9*GS4/1000</f>
        <v>0</v>
      </c>
      <c r="GT11" s="40">
        <f t="shared" si="113"/>
        <v>0</v>
      </c>
      <c r="GU11" s="40">
        <f t="shared" ref="GU11:GY11" si="114">GU9*GU4/1000</f>
        <v>0</v>
      </c>
      <c r="GV11" s="40">
        <f t="shared" si="114"/>
        <v>0</v>
      </c>
      <c r="GW11" s="40">
        <f t="shared" si="114"/>
        <v>0</v>
      </c>
      <c r="GX11" s="40">
        <f t="shared" si="114"/>
        <v>0</v>
      </c>
      <c r="GY11" s="40">
        <f t="shared" si="114"/>
        <v>0</v>
      </c>
      <c r="GZ11" s="40">
        <f t="shared" ref="GZ11:HC11" si="115">GZ9*GZ4/1000</f>
        <v>0</v>
      </c>
      <c r="HA11" s="40">
        <f t="shared" si="115"/>
        <v>0</v>
      </c>
      <c r="HB11" s="40">
        <f t="shared" si="115"/>
        <v>0</v>
      </c>
      <c r="HC11" s="40">
        <f t="shared" si="115"/>
        <v>0</v>
      </c>
      <c r="HD11" s="40">
        <f t="shared" ref="HD11:HE11" si="116">HD9*HD4/1000</f>
        <v>2835</v>
      </c>
      <c r="HE11" s="40">
        <f t="shared" si="116"/>
        <v>0</v>
      </c>
      <c r="HF11" s="40">
        <f t="shared" ref="HF11:HG11" si="117">HF9*HF4/1000</f>
        <v>0</v>
      </c>
      <c r="HG11" s="40">
        <f t="shared" si="117"/>
        <v>0</v>
      </c>
      <c r="HH11" s="40">
        <f t="shared" ref="HH11:HI11" si="118">HH9*HH4/1000</f>
        <v>0</v>
      </c>
      <c r="HI11" s="40">
        <f t="shared" si="118"/>
        <v>0</v>
      </c>
      <c r="HJ11" s="40">
        <f t="shared" ref="HJ11:HK11" si="119">HJ9*HJ4/1000</f>
        <v>0</v>
      </c>
      <c r="HK11" s="40">
        <f t="shared" si="119"/>
        <v>0</v>
      </c>
      <c r="HL11" s="40">
        <f t="shared" ref="HL11:HO11" si="120">HL9*HL4/1000</f>
        <v>0</v>
      </c>
      <c r="HM11" s="40">
        <f t="shared" si="120"/>
        <v>0</v>
      </c>
      <c r="HN11" s="40">
        <f t="shared" si="120"/>
        <v>0</v>
      </c>
      <c r="HO11" s="40">
        <f t="shared" si="120"/>
        <v>0</v>
      </c>
      <c r="HP11" s="40">
        <f t="shared" ref="HP11:HS11" si="121">HP9*HP4/1000</f>
        <v>0</v>
      </c>
      <c r="HQ11" s="40">
        <f t="shared" si="121"/>
        <v>0</v>
      </c>
      <c r="HR11" s="40">
        <f t="shared" si="121"/>
        <v>0</v>
      </c>
      <c r="HS11" s="40">
        <f t="shared" si="121"/>
        <v>0</v>
      </c>
      <c r="HT11" s="40">
        <f t="shared" ref="HT11:HX11" si="122">HT9*HT4/1000</f>
        <v>0</v>
      </c>
      <c r="HU11" s="40">
        <f t="shared" si="122"/>
        <v>0</v>
      </c>
      <c r="HV11" s="40">
        <f t="shared" si="122"/>
        <v>0</v>
      </c>
      <c r="HW11" s="40">
        <f t="shared" si="122"/>
        <v>0</v>
      </c>
      <c r="HX11" s="40">
        <f t="shared" si="122"/>
        <v>0</v>
      </c>
      <c r="HY11" s="40">
        <f t="shared" ref="HY11:IB11" si="123">HY9*HY4/1000</f>
        <v>0</v>
      </c>
      <c r="HZ11" s="40">
        <f t="shared" si="123"/>
        <v>0</v>
      </c>
      <c r="IA11" s="40">
        <f t="shared" si="123"/>
        <v>0</v>
      </c>
      <c r="IB11" s="40">
        <f t="shared" si="123"/>
        <v>0</v>
      </c>
      <c r="IC11" s="40">
        <f t="shared" ref="IC11:IG11" si="124">IC9*IC4/1000</f>
        <v>0</v>
      </c>
      <c r="ID11" s="40">
        <f t="shared" si="124"/>
        <v>0</v>
      </c>
      <c r="IE11" s="40">
        <f t="shared" si="124"/>
        <v>0</v>
      </c>
      <c r="IF11" s="40">
        <f t="shared" si="124"/>
        <v>0</v>
      </c>
      <c r="IG11" s="40">
        <f t="shared" si="124"/>
        <v>0</v>
      </c>
      <c r="IH11" s="40">
        <f t="shared" ref="IH11:IK11" si="125">IH9*IH4/1000</f>
        <v>0</v>
      </c>
      <c r="II11" s="40">
        <f t="shared" si="125"/>
        <v>0</v>
      </c>
      <c r="IJ11" s="40">
        <f t="shared" si="125"/>
        <v>0</v>
      </c>
      <c r="IK11" s="40">
        <f t="shared" si="125"/>
        <v>0</v>
      </c>
      <c r="IL11" s="40">
        <f t="shared" ref="IL11:IO11" si="126">IL9*IL4/1000</f>
        <v>0</v>
      </c>
      <c r="IM11" s="40">
        <f t="shared" si="126"/>
        <v>0</v>
      </c>
      <c r="IN11" s="40">
        <f t="shared" si="126"/>
        <v>0</v>
      </c>
      <c r="IO11" s="40">
        <f t="shared" si="126"/>
        <v>0</v>
      </c>
      <c r="IP11" s="40">
        <f t="shared" ref="IP11:IT11" si="127">IP9*IP4/1000</f>
        <v>0</v>
      </c>
      <c r="IQ11" s="40">
        <f t="shared" si="127"/>
        <v>0</v>
      </c>
      <c r="IR11" s="40">
        <f t="shared" si="127"/>
        <v>0</v>
      </c>
      <c r="IS11" s="40">
        <f t="shared" si="127"/>
        <v>0</v>
      </c>
      <c r="IT11" s="40">
        <f t="shared" si="127"/>
        <v>0</v>
      </c>
      <c r="IU11" s="40">
        <f t="shared" ref="IU11:IX11" si="128">IU9*IU4/1000</f>
        <v>0</v>
      </c>
      <c r="IV11" s="40">
        <f t="shared" si="128"/>
        <v>0</v>
      </c>
      <c r="IW11" s="40">
        <f t="shared" si="128"/>
        <v>0</v>
      </c>
      <c r="IX11" s="40">
        <f t="shared" si="128"/>
        <v>0</v>
      </c>
      <c r="IY11" s="40">
        <f t="shared" ref="IY11:JB11" si="129">IY9*IY4/1000</f>
        <v>0</v>
      </c>
      <c r="IZ11" s="40">
        <f t="shared" si="129"/>
        <v>0</v>
      </c>
      <c r="JA11" s="40">
        <f t="shared" si="129"/>
        <v>0</v>
      </c>
      <c r="JB11" s="40">
        <f t="shared" si="129"/>
        <v>0</v>
      </c>
      <c r="JC11" s="40">
        <f t="shared" ref="JC11:JG11" si="130">JC9*JC4/1000</f>
        <v>2633.8</v>
      </c>
      <c r="JD11" s="40">
        <f t="shared" si="130"/>
        <v>0</v>
      </c>
      <c r="JE11" s="40">
        <f t="shared" si="130"/>
        <v>0</v>
      </c>
      <c r="JF11" s="40">
        <f t="shared" si="130"/>
        <v>0</v>
      </c>
      <c r="JG11" s="40">
        <f t="shared" si="130"/>
        <v>0</v>
      </c>
      <c r="JH11" s="40">
        <f t="shared" ref="JH11:JK11" si="131">JH9*JH4/1000</f>
        <v>0</v>
      </c>
      <c r="JI11" s="40">
        <f t="shared" si="131"/>
        <v>0</v>
      </c>
      <c r="JJ11" s="40">
        <f t="shared" si="131"/>
        <v>0</v>
      </c>
      <c r="JK11" s="40">
        <f t="shared" si="131"/>
        <v>0</v>
      </c>
      <c r="JL11" s="40">
        <f t="shared" ref="JL11:JO11" si="132">JL9*JL4/1000</f>
        <v>0</v>
      </c>
      <c r="JM11" s="40">
        <f t="shared" si="132"/>
        <v>0</v>
      </c>
      <c r="JN11" s="40">
        <f t="shared" si="132"/>
        <v>0</v>
      </c>
      <c r="JO11" s="40">
        <f t="shared" si="132"/>
        <v>0</v>
      </c>
    </row>
    <row r="12" spans="1:275" ht="14" hidden="1">
      <c r="A12" s="9"/>
      <c r="B12" s="11"/>
      <c r="C12" s="11"/>
      <c r="D12" s="17"/>
      <c r="E12" s="18"/>
      <c r="F12" s="18" t="s">
        <v>31</v>
      </c>
      <c r="G12" s="17"/>
      <c r="H12" s="18" t="s">
        <v>31</v>
      </c>
      <c r="I12" s="19">
        <f t="shared" ref="I12:Z12" si="133">1-I7/I9</f>
        <v>0.38066858186096098</v>
      </c>
      <c r="J12" s="19">
        <f t="shared" si="133"/>
        <v>0.38034733798727749</v>
      </c>
      <c r="K12" s="19">
        <f t="shared" si="133"/>
        <v>0.35031695467267154</v>
      </c>
      <c r="L12" s="19">
        <f t="shared" si="133"/>
        <v>0.35177351750603458</v>
      </c>
      <c r="M12" s="19">
        <f t="shared" si="133"/>
        <v>0.32191580183305746</v>
      </c>
      <c r="N12" s="19">
        <f t="shared" si="133"/>
        <v>0.32062755896952788</v>
      </c>
      <c r="O12" s="19">
        <f t="shared" si="133"/>
        <v>0.32006975782093539</v>
      </c>
      <c r="P12" s="19">
        <f t="shared" si="133"/>
        <v>0.32065689157351873</v>
      </c>
      <c r="Q12" s="19">
        <f t="shared" si="133"/>
        <v>0.32065689157351873</v>
      </c>
      <c r="R12" s="19">
        <f t="shared" si="133"/>
        <v>0.36401494819265767</v>
      </c>
      <c r="S12" s="19">
        <f t="shared" si="133"/>
        <v>0.36492130104762588</v>
      </c>
      <c r="T12" s="19">
        <f t="shared" si="133"/>
        <v>0.36409745079386069</v>
      </c>
      <c r="U12" s="19">
        <f t="shared" si="133"/>
        <v>0.36557884586103639</v>
      </c>
      <c r="V12" s="19">
        <f t="shared" si="133"/>
        <v>0.36360211385921859</v>
      </c>
      <c r="W12" s="19">
        <f t="shared" si="133"/>
        <v>0.37584053474654133</v>
      </c>
      <c r="X12" s="19">
        <f t="shared" si="133"/>
        <v>0.39522436907118286</v>
      </c>
      <c r="Y12" s="19">
        <f t="shared" si="133"/>
        <v>0.39522436907118286</v>
      </c>
      <c r="Z12" s="19">
        <f t="shared" si="133"/>
        <v>0.39632158619856994</v>
      </c>
      <c r="AA12" s="19">
        <f t="shared" ref="AA12:AF12" si="134">1-AA7/AA9</f>
        <v>0.39632158619856994</v>
      </c>
      <c r="AB12" s="19">
        <f t="shared" si="134"/>
        <v>0.39632158619856994</v>
      </c>
      <c r="AC12" s="19">
        <f t="shared" si="134"/>
        <v>0.39632158619856994</v>
      </c>
      <c r="AD12" s="19">
        <f t="shared" si="134"/>
        <v>0.37421777221526908</v>
      </c>
      <c r="AE12" s="19">
        <f t="shared" si="134"/>
        <v>0.37421777221526908</v>
      </c>
      <c r="AF12" s="19">
        <f t="shared" si="134"/>
        <v>0.37421777221526908</v>
      </c>
      <c r="AG12" s="19">
        <f>1-AG7/AG9</f>
        <v>0.37421777221526908</v>
      </c>
      <c r="AH12" s="19">
        <f>1-AH7/AH9</f>
        <v>0.37421777221526908</v>
      </c>
      <c r="AI12" s="19">
        <f>1-AI7/AI9</f>
        <v>0.37421777221526908</v>
      </c>
      <c r="AJ12" s="19">
        <f>1-AJ7/AJ9</f>
        <v>0.40219990435198472</v>
      </c>
      <c r="AK12" s="19">
        <f>1-AK7/AK9</f>
        <v>0.38891545778202885</v>
      </c>
      <c r="AL12" s="19">
        <f t="shared" ref="AL12:AQ12" si="135">1-AL7/AL9</f>
        <v>0.25595238095238093</v>
      </c>
      <c r="AM12" s="19">
        <f t="shared" si="135"/>
        <v>0.25595238095238093</v>
      </c>
      <c r="AN12" s="19">
        <f t="shared" si="135"/>
        <v>0.25595238095238093</v>
      </c>
      <c r="AO12" s="19">
        <f t="shared" si="135"/>
        <v>0.31917211328976025</v>
      </c>
      <c r="AP12" s="19">
        <f t="shared" si="135"/>
        <v>0.31917211328976025</v>
      </c>
      <c r="AQ12" s="19">
        <f t="shared" si="135"/>
        <v>0.31917211328976025</v>
      </c>
      <c r="AR12" s="19">
        <f t="shared" ref="AR12:AW12" si="136">1-AR7/AR9</f>
        <v>0.33908045977011492</v>
      </c>
      <c r="AS12" s="19">
        <f t="shared" si="136"/>
        <v>0.3303571428571429</v>
      </c>
      <c r="AT12" s="19">
        <f t="shared" si="136"/>
        <v>0.3303571428571429</v>
      </c>
      <c r="AU12" s="19">
        <f t="shared" si="136"/>
        <v>0.3303571428571429</v>
      </c>
      <c r="AV12" s="77">
        <f t="shared" si="136"/>
        <v>0.3303571428571429</v>
      </c>
      <c r="AW12" s="77">
        <f t="shared" si="136"/>
        <v>0.3303571428571429</v>
      </c>
      <c r="AX12" s="77" t="e">
        <f t="shared" ref="AX12:AY12" si="137">1-AX7/AX9</f>
        <v>#DIV/0!</v>
      </c>
      <c r="AY12" s="77" t="e">
        <f t="shared" si="137"/>
        <v>#DIV/0!</v>
      </c>
      <c r="AZ12" s="77" t="e">
        <f t="shared" ref="AZ12:BA12" si="138">1-AZ7/AZ9</f>
        <v>#DIV/0!</v>
      </c>
      <c r="BA12" s="77" t="e">
        <f t="shared" si="138"/>
        <v>#DIV/0!</v>
      </c>
      <c r="BB12" s="77" t="e">
        <f t="shared" ref="BB12:BC12" si="139">1-BB7/BB9</f>
        <v>#DIV/0!</v>
      </c>
      <c r="BC12" s="77" t="e">
        <f t="shared" si="139"/>
        <v>#DIV/0!</v>
      </c>
      <c r="BD12" s="77" t="e">
        <f t="shared" ref="BD12:BE12" si="140">1-BD7/BD9</f>
        <v>#DIV/0!</v>
      </c>
      <c r="BE12" s="77" t="e">
        <f t="shared" si="140"/>
        <v>#DIV/0!</v>
      </c>
      <c r="BF12" s="77" t="e">
        <f t="shared" ref="BF12:BG12" si="141">1-BF7/BF9</f>
        <v>#DIV/0!</v>
      </c>
      <c r="BG12" s="77" t="e">
        <f t="shared" si="141"/>
        <v>#DIV/0!</v>
      </c>
      <c r="BH12" s="77" t="e">
        <f t="shared" ref="BH12:BI12" si="142">1-BH7/BH9</f>
        <v>#DIV/0!</v>
      </c>
      <c r="BI12" s="77" t="e">
        <f t="shared" si="142"/>
        <v>#DIV/0!</v>
      </c>
      <c r="BJ12" s="77" t="e">
        <f t="shared" ref="BJ12:BK12" si="143">1-BJ7/BJ9</f>
        <v>#DIV/0!</v>
      </c>
      <c r="BK12" s="77" t="e">
        <f t="shared" si="143"/>
        <v>#DIV/0!</v>
      </c>
      <c r="BL12" s="77" t="e">
        <f t="shared" ref="BL12:BM12" si="144">1-BL7/BL9</f>
        <v>#DIV/0!</v>
      </c>
      <c r="BM12" s="77" t="e">
        <f t="shared" si="144"/>
        <v>#DIV/0!</v>
      </c>
      <c r="BN12" s="77" t="e">
        <f t="shared" ref="BN12:BO12" si="145">1-BN7/BN9</f>
        <v>#DIV/0!</v>
      </c>
      <c r="BO12" s="77" t="e">
        <f t="shared" si="145"/>
        <v>#DIV/0!</v>
      </c>
      <c r="BP12" s="77" t="e">
        <f t="shared" ref="BP12:BQ12" si="146">1-BP7/BP9</f>
        <v>#DIV/0!</v>
      </c>
      <c r="BQ12" s="77" t="e">
        <f t="shared" si="146"/>
        <v>#DIV/0!</v>
      </c>
      <c r="BR12" s="77" t="e">
        <f t="shared" ref="BR12:BS12" si="147">1-BR7/BR9</f>
        <v>#DIV/0!</v>
      </c>
      <c r="BS12" s="77" t="e">
        <f t="shared" si="147"/>
        <v>#DIV/0!</v>
      </c>
      <c r="BT12" s="77" t="e">
        <f t="shared" ref="BT12:BU12" si="148">1-BT7/BT9</f>
        <v>#DIV/0!</v>
      </c>
      <c r="BU12" s="77" t="e">
        <f t="shared" si="148"/>
        <v>#DIV/0!</v>
      </c>
      <c r="BV12" s="77" t="e">
        <f t="shared" ref="BV12:BW12" si="149">1-BV7/BV9</f>
        <v>#DIV/0!</v>
      </c>
      <c r="BW12" s="77" t="e">
        <f t="shared" si="149"/>
        <v>#DIV/0!</v>
      </c>
      <c r="BX12" s="77" t="e">
        <f t="shared" ref="BX12:BY12" si="150">1-BX7/BX9</f>
        <v>#DIV/0!</v>
      </c>
      <c r="BY12" s="77" t="e">
        <f t="shared" si="150"/>
        <v>#DIV/0!</v>
      </c>
      <c r="CA12" s="17"/>
      <c r="CB12" s="18"/>
      <c r="CC12" s="18" t="s">
        <v>31</v>
      </c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>
        <f t="shared" ref="CT12:DE12" si="151">1-CT7/CT9</f>
        <v>0.37421777221526908</v>
      </c>
      <c r="CU12" s="19">
        <f t="shared" si="151"/>
        <v>0.37421777221526908</v>
      </c>
      <c r="CV12" s="19">
        <f t="shared" si="151"/>
        <v>0.37421777221526908</v>
      </c>
      <c r="CW12" s="19">
        <f t="shared" si="151"/>
        <v>0.37421777221526908</v>
      </c>
      <c r="CX12" s="19">
        <f t="shared" si="151"/>
        <v>0.40219990435198472</v>
      </c>
      <c r="CY12" s="19">
        <f t="shared" si="151"/>
        <v>0.40219990435198472</v>
      </c>
      <c r="CZ12" s="19">
        <f t="shared" si="151"/>
        <v>0.40219990435198472</v>
      </c>
      <c r="DA12" s="19">
        <f t="shared" si="151"/>
        <v>0.40219990435198472</v>
      </c>
      <c r="DB12" s="19">
        <f t="shared" si="151"/>
        <v>0.40219990435198472</v>
      </c>
      <c r="DC12" s="19">
        <f t="shared" si="151"/>
        <v>0.38725490196078427</v>
      </c>
      <c r="DD12" s="19">
        <f t="shared" si="151"/>
        <v>0.38725490196078427</v>
      </c>
      <c r="DE12" s="19">
        <f t="shared" si="151"/>
        <v>0.3303571428571429</v>
      </c>
      <c r="DF12" s="19">
        <f t="shared" ref="DF12:DO12" si="152">1-DF7/DF9</f>
        <v>0.3303571428571429</v>
      </c>
      <c r="DG12" s="19">
        <f t="shared" si="152"/>
        <v>0.3303571428571429</v>
      </c>
      <c r="DH12" s="19">
        <f t="shared" si="152"/>
        <v>0.3303571428571429</v>
      </c>
      <c r="DI12" s="19">
        <f t="shared" si="152"/>
        <v>0.3303571428571429</v>
      </c>
      <c r="DJ12" s="19">
        <f t="shared" si="152"/>
        <v>0.3303571428571429</v>
      </c>
      <c r="DK12" s="19">
        <f t="shared" si="152"/>
        <v>0.3303571428571429</v>
      </c>
      <c r="DL12" s="19">
        <f t="shared" si="152"/>
        <v>0.3303571428571429</v>
      </c>
      <c r="DM12" s="19">
        <f t="shared" si="152"/>
        <v>0.3303571428571429</v>
      </c>
      <c r="DN12" s="19">
        <f t="shared" si="152"/>
        <v>0.3303571428571429</v>
      </c>
      <c r="DO12" s="19">
        <f t="shared" si="152"/>
        <v>0.3303571428571429</v>
      </c>
      <c r="DP12" s="19">
        <f t="shared" ref="DP12:DX12" si="153">1-DP7/DP9</f>
        <v>0.3303571428571429</v>
      </c>
      <c r="DQ12" s="19">
        <f t="shared" si="153"/>
        <v>0.3303571428571429</v>
      </c>
      <c r="DR12" s="19">
        <f t="shared" si="153"/>
        <v>0.3303571428571429</v>
      </c>
      <c r="DS12" s="19">
        <f t="shared" si="153"/>
        <v>0.38725490196078427</v>
      </c>
      <c r="DT12" s="19">
        <f t="shared" si="153"/>
        <v>0.38725490196078427</v>
      </c>
      <c r="DU12" s="19">
        <f t="shared" si="153"/>
        <v>0.38725490196078427</v>
      </c>
      <c r="DV12" s="19">
        <f t="shared" si="153"/>
        <v>0.38725490196078427</v>
      </c>
      <c r="DW12" s="19">
        <f t="shared" si="153"/>
        <v>0.38725490196078427</v>
      </c>
      <c r="DX12" s="19">
        <f t="shared" si="153"/>
        <v>0.38725490196078427</v>
      </c>
      <c r="DY12" s="19">
        <f t="shared" ref="DY12:EE12" si="154">1-DY7/DY9</f>
        <v>0.38725490196078427</v>
      </c>
      <c r="DZ12" s="19">
        <f t="shared" si="154"/>
        <v>0.38725490196078427</v>
      </c>
      <c r="EA12" s="19">
        <f t="shared" si="154"/>
        <v>0.38725490196078427</v>
      </c>
      <c r="EB12" s="19">
        <f t="shared" si="154"/>
        <v>0.38725490196078427</v>
      </c>
      <c r="EC12" s="19">
        <f t="shared" si="154"/>
        <v>0.35344827586206895</v>
      </c>
      <c r="ED12" s="19">
        <f t="shared" si="154"/>
        <v>0.33908045977011492</v>
      </c>
      <c r="EE12" s="19">
        <f t="shared" si="154"/>
        <v>0.33908045977011492</v>
      </c>
      <c r="EF12" s="19">
        <f t="shared" ref="EF12:EK12" si="155">1-EF7/EF9</f>
        <v>0.33908045977011492</v>
      </c>
      <c r="EG12" s="19">
        <f t="shared" si="155"/>
        <v>0.33908045977011492</v>
      </c>
      <c r="EH12" s="19">
        <f t="shared" si="155"/>
        <v>0.31547619047619047</v>
      </c>
      <c r="EI12" s="19">
        <f t="shared" si="155"/>
        <v>0.31547619047619047</v>
      </c>
      <c r="EJ12" s="19">
        <f t="shared" si="155"/>
        <v>0.3303571428571429</v>
      </c>
      <c r="EK12" s="19">
        <f t="shared" si="155"/>
        <v>0.3303571428571429</v>
      </c>
      <c r="EL12" s="19">
        <f>1-EL7/EL9</f>
        <v>0.3303571428571429</v>
      </c>
      <c r="EM12" s="77">
        <f t="shared" ref="EM12:ER12" si="156">1-EM7/EM9</f>
        <v>0.3303571428571429</v>
      </c>
      <c r="EN12" s="77">
        <f t="shared" si="156"/>
        <v>0.3303571428571429</v>
      </c>
      <c r="EO12" s="77">
        <f t="shared" si="156"/>
        <v>0.3303571428571429</v>
      </c>
      <c r="EP12" s="77">
        <f t="shared" si="156"/>
        <v>0.3303571428571429</v>
      </c>
      <c r="EQ12" s="77">
        <f t="shared" si="156"/>
        <v>0.3303571428571429</v>
      </c>
      <c r="ER12" s="77">
        <f t="shared" si="156"/>
        <v>0.3303571428571429</v>
      </c>
      <c r="ES12" s="77">
        <f t="shared" ref="ES12:EX12" si="157">1-ES7/ES9</f>
        <v>0.3303571428571429</v>
      </c>
      <c r="ET12" s="77">
        <f t="shared" si="157"/>
        <v>0.3303571428571429</v>
      </c>
      <c r="EU12" s="77">
        <f t="shared" si="157"/>
        <v>0.3303571428571429</v>
      </c>
      <c r="EV12" s="77">
        <f t="shared" si="157"/>
        <v>0.3303571428571429</v>
      </c>
      <c r="EW12" s="77">
        <f t="shared" si="157"/>
        <v>0.3303571428571429</v>
      </c>
      <c r="EX12" s="77">
        <f t="shared" si="157"/>
        <v>0.3303571428571429</v>
      </c>
      <c r="EY12" s="77">
        <f t="shared" ref="EY12:EZ12" si="158">1-EY7/EY9</f>
        <v>0.3303571428571429</v>
      </c>
      <c r="EZ12" s="77">
        <f t="shared" si="158"/>
        <v>0.3303571428571429</v>
      </c>
      <c r="FA12" s="77">
        <f t="shared" ref="FA12:FB12" si="159">1-FA7/FA9</f>
        <v>0.3303571428571429</v>
      </c>
      <c r="FB12" s="77">
        <f t="shared" si="159"/>
        <v>0.3303571428571429</v>
      </c>
      <c r="FC12" s="77">
        <f t="shared" ref="FC12:FD12" si="160">1-FC7/FC9</f>
        <v>0.3303571428571429</v>
      </c>
      <c r="FD12" s="77">
        <f t="shared" si="160"/>
        <v>0.3303571428571429</v>
      </c>
      <c r="FE12" s="77">
        <f t="shared" ref="FE12:FF12" si="161">1-FE7/FE9</f>
        <v>0.3303571428571429</v>
      </c>
      <c r="FF12" s="77">
        <f t="shared" si="161"/>
        <v>0.3303571428571429</v>
      </c>
      <c r="FG12" s="77">
        <f t="shared" ref="FG12:FH12" si="162">1-FG7/FG9</f>
        <v>0.3303571428571429</v>
      </c>
      <c r="FH12" s="77" t="e">
        <f t="shared" si="162"/>
        <v>#DIV/0!</v>
      </c>
      <c r="FI12" s="77" t="e">
        <f t="shared" ref="FI12:FJ12" si="163">1-FI7/FI9</f>
        <v>#DIV/0!</v>
      </c>
      <c r="FJ12" s="77" t="e">
        <f t="shared" si="163"/>
        <v>#DIV/0!</v>
      </c>
      <c r="FK12" s="77" t="e">
        <f t="shared" ref="FK12:FM12" si="164">1-FK7/FK9</f>
        <v>#DIV/0!</v>
      </c>
      <c r="FL12" s="77" t="e">
        <f t="shared" si="164"/>
        <v>#DIV/0!</v>
      </c>
      <c r="FM12" s="77" t="e">
        <f t="shared" si="164"/>
        <v>#DIV/0!</v>
      </c>
      <c r="FN12" s="77" t="e">
        <f t="shared" ref="FN12:FO12" si="165">1-FN7/FN9</f>
        <v>#DIV/0!</v>
      </c>
      <c r="FO12" s="77" t="e">
        <f t="shared" si="165"/>
        <v>#DIV/0!</v>
      </c>
      <c r="FP12" s="77" t="e">
        <f t="shared" ref="FP12:FQ12" si="166">1-FP7/FP9</f>
        <v>#DIV/0!</v>
      </c>
      <c r="FQ12" s="77" t="e">
        <f t="shared" si="166"/>
        <v>#DIV/0!</v>
      </c>
      <c r="FR12" s="77" t="e">
        <f t="shared" ref="FR12:FT12" si="167">1-FR7/FR9</f>
        <v>#DIV/0!</v>
      </c>
      <c r="FS12" s="77" t="e">
        <f t="shared" si="167"/>
        <v>#DIV/0!</v>
      </c>
      <c r="FT12" s="77" t="e">
        <f t="shared" si="167"/>
        <v>#DIV/0!</v>
      </c>
      <c r="FU12" s="77">
        <f t="shared" ref="FU12:FV12" si="168">1-FU7/FU9</f>
        <v>1</v>
      </c>
      <c r="FV12" s="77">
        <f t="shared" si="168"/>
        <v>1</v>
      </c>
      <c r="FW12" s="77">
        <f t="shared" ref="FW12:FX12" si="169">1-FW7/FW9</f>
        <v>1</v>
      </c>
      <c r="FX12" s="77">
        <f t="shared" si="169"/>
        <v>1</v>
      </c>
      <c r="FY12" s="77">
        <f t="shared" ref="FY12:FZ12" si="170">1-FY7/FY9</f>
        <v>1</v>
      </c>
      <c r="FZ12" s="77">
        <f t="shared" si="170"/>
        <v>1</v>
      </c>
      <c r="GA12" s="77">
        <f t="shared" ref="GA12:GB12" si="171">1-GA7/GA9</f>
        <v>1</v>
      </c>
      <c r="GB12" s="77">
        <f t="shared" si="171"/>
        <v>1</v>
      </c>
      <c r="GC12" s="77">
        <f t="shared" ref="GC12:GD12" si="172">1-GC7/GC9</f>
        <v>1</v>
      </c>
      <c r="GD12" s="77">
        <f t="shared" si="172"/>
        <v>1</v>
      </c>
      <c r="GE12" s="77">
        <f t="shared" ref="GE12:GF12" si="173">1-GE7/GE9</f>
        <v>1</v>
      </c>
      <c r="GF12" s="77">
        <f t="shared" si="173"/>
        <v>1</v>
      </c>
      <c r="GG12" s="77">
        <f t="shared" ref="GG12:GH12" si="174">1-GG7/GG9</f>
        <v>1</v>
      </c>
      <c r="GH12" s="77">
        <f t="shared" si="174"/>
        <v>1</v>
      </c>
      <c r="GI12" s="77">
        <f t="shared" ref="GI12:GJ12" si="175">1-GI7/GI9</f>
        <v>1</v>
      </c>
      <c r="GJ12" s="77">
        <f t="shared" si="175"/>
        <v>1</v>
      </c>
      <c r="GK12" s="77">
        <f t="shared" ref="GK12:GL12" si="176">1-GK7/GK9</f>
        <v>1</v>
      </c>
      <c r="GL12" s="77">
        <f t="shared" si="176"/>
        <v>1</v>
      </c>
      <c r="GM12" s="77">
        <f t="shared" ref="GM12:GN12" si="177">1-GM7/GM9</f>
        <v>1</v>
      </c>
      <c r="GN12" s="77">
        <f t="shared" si="177"/>
        <v>1</v>
      </c>
      <c r="GO12" s="77">
        <f t="shared" ref="GO12:GP12" si="178">1-GO7/GO9</f>
        <v>1</v>
      </c>
      <c r="GP12" s="77">
        <f t="shared" si="178"/>
        <v>1</v>
      </c>
      <c r="GQ12" s="77">
        <f t="shared" ref="GQ12:GR12" si="179">1-GQ7/GQ9</f>
        <v>1</v>
      </c>
      <c r="GR12" s="77">
        <f t="shared" si="179"/>
        <v>1</v>
      </c>
      <c r="GS12" s="77">
        <f t="shared" ref="GS12:GT12" si="180">1-GS7/GS9</f>
        <v>1</v>
      </c>
      <c r="GT12" s="77">
        <f t="shared" si="180"/>
        <v>1</v>
      </c>
      <c r="GU12" s="77">
        <f t="shared" ref="GU12:GY12" si="181">1-GU7/GU9</f>
        <v>1</v>
      </c>
      <c r="GV12" s="77">
        <f t="shared" si="181"/>
        <v>1</v>
      </c>
      <c r="GW12" s="77">
        <f t="shared" si="181"/>
        <v>1</v>
      </c>
      <c r="GX12" s="77">
        <f t="shared" si="181"/>
        <v>1</v>
      </c>
      <c r="GY12" s="77">
        <f t="shared" si="181"/>
        <v>1</v>
      </c>
      <c r="GZ12" s="77">
        <f t="shared" ref="GZ12:HC12" si="182">1-GZ7/GZ9</f>
        <v>1</v>
      </c>
      <c r="HA12" s="77">
        <f t="shared" si="182"/>
        <v>1</v>
      </c>
      <c r="HB12" s="77">
        <f t="shared" si="182"/>
        <v>1</v>
      </c>
      <c r="HC12" s="77">
        <f t="shared" si="182"/>
        <v>1</v>
      </c>
      <c r="HD12" s="77">
        <f t="shared" ref="HD12:HE12" si="183">1-HD7/HD9</f>
        <v>1</v>
      </c>
      <c r="HE12" s="77">
        <f t="shared" si="183"/>
        <v>1</v>
      </c>
      <c r="HF12" s="77">
        <f t="shared" ref="HF12:HG12" si="184">1-HF7/HF9</f>
        <v>1</v>
      </c>
      <c r="HG12" s="77">
        <f t="shared" si="184"/>
        <v>1</v>
      </c>
      <c r="HH12" s="77">
        <f t="shared" ref="HH12:HI12" si="185">1-HH7/HH9</f>
        <v>1</v>
      </c>
      <c r="HI12" s="77">
        <f t="shared" si="185"/>
        <v>1</v>
      </c>
      <c r="HJ12" s="77">
        <f t="shared" ref="HJ12:HK12" si="186">1-HJ7/HJ9</f>
        <v>1</v>
      </c>
      <c r="HK12" s="77">
        <f t="shared" si="186"/>
        <v>1</v>
      </c>
      <c r="HL12" s="77">
        <f t="shared" ref="HL12:HO12" si="187">1-HL7/HL9</f>
        <v>1</v>
      </c>
      <c r="HM12" s="77">
        <f t="shared" si="187"/>
        <v>1</v>
      </c>
      <c r="HN12" s="77">
        <f t="shared" si="187"/>
        <v>1</v>
      </c>
      <c r="HO12" s="77">
        <f t="shared" si="187"/>
        <v>1</v>
      </c>
      <c r="HP12" s="77">
        <f t="shared" ref="HP12:HS12" si="188">1-HP7/HP9</f>
        <v>1</v>
      </c>
      <c r="HQ12" s="77">
        <f t="shared" si="188"/>
        <v>1</v>
      </c>
      <c r="HR12" s="77">
        <f t="shared" si="188"/>
        <v>1</v>
      </c>
      <c r="HS12" s="77">
        <f t="shared" si="188"/>
        <v>1</v>
      </c>
      <c r="HT12" s="77">
        <f t="shared" ref="HT12:HX12" si="189">1-HT7/HT9</f>
        <v>1</v>
      </c>
      <c r="HU12" s="77">
        <f t="shared" si="189"/>
        <v>1</v>
      </c>
      <c r="HV12" s="77">
        <f t="shared" si="189"/>
        <v>1</v>
      </c>
      <c r="HW12" s="77">
        <f t="shared" si="189"/>
        <v>1</v>
      </c>
      <c r="HX12" s="77">
        <f t="shared" si="189"/>
        <v>1</v>
      </c>
      <c r="HY12" s="77">
        <f t="shared" ref="HY12:IB12" si="190">1-HY7/HY9</f>
        <v>1</v>
      </c>
      <c r="HZ12" s="77">
        <f t="shared" si="190"/>
        <v>1</v>
      </c>
      <c r="IA12" s="77">
        <f t="shared" si="190"/>
        <v>1</v>
      </c>
      <c r="IB12" s="77">
        <f t="shared" si="190"/>
        <v>1</v>
      </c>
      <c r="IC12" s="77">
        <f t="shared" ref="IC12:IG12" si="191">1-IC7/IC9</f>
        <v>1</v>
      </c>
      <c r="ID12" s="77">
        <f t="shared" si="191"/>
        <v>1</v>
      </c>
      <c r="IE12" s="77">
        <f t="shared" si="191"/>
        <v>1</v>
      </c>
      <c r="IF12" s="77">
        <f t="shared" si="191"/>
        <v>1</v>
      </c>
      <c r="IG12" s="77">
        <f t="shared" si="191"/>
        <v>1</v>
      </c>
      <c r="IH12" s="77">
        <f t="shared" ref="IH12:IK12" si="192">1-IH7/IH9</f>
        <v>1</v>
      </c>
      <c r="II12" s="77">
        <f t="shared" si="192"/>
        <v>1</v>
      </c>
      <c r="IJ12" s="77">
        <f t="shared" si="192"/>
        <v>1</v>
      </c>
      <c r="IK12" s="77">
        <f t="shared" si="192"/>
        <v>1</v>
      </c>
      <c r="IL12" s="77">
        <f t="shared" ref="IL12:IO12" si="193">1-IL7/IL9</f>
        <v>1</v>
      </c>
      <c r="IM12" s="77">
        <f t="shared" si="193"/>
        <v>1</v>
      </c>
      <c r="IN12" s="77">
        <f t="shared" si="193"/>
        <v>1</v>
      </c>
      <c r="IO12" s="77">
        <f t="shared" si="193"/>
        <v>1</v>
      </c>
      <c r="IP12" s="77">
        <f t="shared" ref="IP12:IT12" si="194">1-IP7/IP9</f>
        <v>1</v>
      </c>
      <c r="IQ12" s="77">
        <f t="shared" si="194"/>
        <v>1</v>
      </c>
      <c r="IR12" s="77">
        <f t="shared" si="194"/>
        <v>1</v>
      </c>
      <c r="IS12" s="77">
        <f t="shared" si="194"/>
        <v>1</v>
      </c>
      <c r="IT12" s="77">
        <f t="shared" si="194"/>
        <v>1</v>
      </c>
      <c r="IU12" s="77">
        <f t="shared" ref="IU12:IX12" si="195">1-IU7/IU9</f>
        <v>1</v>
      </c>
      <c r="IV12" s="77">
        <f t="shared" si="195"/>
        <v>1</v>
      </c>
      <c r="IW12" s="77">
        <f t="shared" si="195"/>
        <v>1</v>
      </c>
      <c r="IX12" s="77">
        <f t="shared" si="195"/>
        <v>1</v>
      </c>
      <c r="IY12" s="77">
        <f t="shared" ref="IY12:JB12" si="196">1-IY7/IY9</f>
        <v>1</v>
      </c>
      <c r="IZ12" s="77">
        <f t="shared" si="196"/>
        <v>1</v>
      </c>
      <c r="JA12" s="77">
        <f t="shared" si="196"/>
        <v>1</v>
      </c>
      <c r="JB12" s="77">
        <f t="shared" si="196"/>
        <v>1</v>
      </c>
      <c r="JC12" s="77">
        <f t="shared" ref="JC12:JG12" si="197">1-JC7/JC9</f>
        <v>1</v>
      </c>
      <c r="JD12" s="77">
        <f t="shared" si="197"/>
        <v>1</v>
      </c>
      <c r="JE12" s="77">
        <f t="shared" si="197"/>
        <v>1</v>
      </c>
      <c r="JF12" s="77">
        <f t="shared" si="197"/>
        <v>1</v>
      </c>
      <c r="JG12" s="77">
        <f t="shared" si="197"/>
        <v>1</v>
      </c>
      <c r="JH12" s="77">
        <f t="shared" ref="JH12:JK12" si="198">1-JH7/JH9</f>
        <v>1</v>
      </c>
      <c r="JI12" s="77">
        <f t="shared" si="198"/>
        <v>1</v>
      </c>
      <c r="JJ12" s="77">
        <f t="shared" si="198"/>
        <v>1</v>
      </c>
      <c r="JK12" s="77">
        <f t="shared" si="198"/>
        <v>1</v>
      </c>
      <c r="JL12" s="77">
        <f t="shared" ref="JL12:JO12" si="199">1-JL7/JL9</f>
        <v>1</v>
      </c>
      <c r="JM12" s="77">
        <f t="shared" si="199"/>
        <v>1</v>
      </c>
      <c r="JN12" s="77">
        <f t="shared" si="199"/>
        <v>1</v>
      </c>
      <c r="JO12" s="77">
        <f t="shared" si="199"/>
        <v>1</v>
      </c>
    </row>
    <row r="13" spans="1:275" ht="14" hidden="1">
      <c r="A13" s="26"/>
      <c r="B13" s="27" t="s">
        <v>46</v>
      </c>
      <c r="C13" s="27" t="s">
        <v>47</v>
      </c>
      <c r="D13" s="26" t="s">
        <v>48</v>
      </c>
      <c r="E13" s="27" t="s">
        <v>50</v>
      </c>
      <c r="F13" s="27" t="s">
        <v>51</v>
      </c>
      <c r="G13" s="28" t="s">
        <v>24</v>
      </c>
      <c r="H13" s="27" t="s">
        <v>73</v>
      </c>
      <c r="I13" s="28">
        <f t="shared" ref="I13:Z13" si="200">I9+20</f>
        <v>1450</v>
      </c>
      <c r="J13" s="28">
        <f t="shared" si="200"/>
        <v>1450</v>
      </c>
      <c r="K13" s="28">
        <f t="shared" si="200"/>
        <v>1450</v>
      </c>
      <c r="L13" s="28">
        <f t="shared" si="200"/>
        <v>1450</v>
      </c>
      <c r="M13" s="28">
        <f t="shared" si="200"/>
        <v>1450</v>
      </c>
      <c r="N13" s="28">
        <f t="shared" si="200"/>
        <v>1450</v>
      </c>
      <c r="O13" s="28">
        <f t="shared" si="200"/>
        <v>1450</v>
      </c>
      <c r="P13" s="28">
        <f t="shared" si="200"/>
        <v>1450</v>
      </c>
      <c r="Q13" s="28">
        <f t="shared" si="200"/>
        <v>1450</v>
      </c>
      <c r="R13" s="28">
        <f t="shared" si="200"/>
        <v>1550</v>
      </c>
      <c r="S13" s="28">
        <f t="shared" si="200"/>
        <v>1550</v>
      </c>
      <c r="T13" s="28">
        <f t="shared" si="200"/>
        <v>1550</v>
      </c>
      <c r="U13" s="28">
        <f t="shared" si="200"/>
        <v>1550</v>
      </c>
      <c r="V13" s="28">
        <f t="shared" si="200"/>
        <v>1550</v>
      </c>
      <c r="W13" s="28">
        <f t="shared" si="200"/>
        <v>1580</v>
      </c>
      <c r="X13" s="28">
        <f t="shared" si="200"/>
        <v>1630</v>
      </c>
      <c r="Y13" s="28">
        <f t="shared" si="200"/>
        <v>1630</v>
      </c>
      <c r="Z13" s="28">
        <f t="shared" si="200"/>
        <v>1630</v>
      </c>
      <c r="AA13" s="28">
        <f>AA9+20</f>
        <v>1630</v>
      </c>
      <c r="AB13" s="28">
        <f>AB9+20</f>
        <v>1630</v>
      </c>
      <c r="AC13" s="28">
        <f>AC9+20</f>
        <v>1630</v>
      </c>
      <c r="AD13" s="28">
        <f t="shared" ref="AD13:AK13" si="201">AD9+40</f>
        <v>1570</v>
      </c>
      <c r="AE13" s="28">
        <f t="shared" si="201"/>
        <v>1570</v>
      </c>
      <c r="AF13" s="28">
        <f t="shared" si="201"/>
        <v>1570</v>
      </c>
      <c r="AG13" s="28">
        <f t="shared" si="201"/>
        <v>1570</v>
      </c>
      <c r="AH13" s="28">
        <f t="shared" si="201"/>
        <v>1570</v>
      </c>
      <c r="AI13" s="28">
        <f t="shared" si="201"/>
        <v>1570</v>
      </c>
      <c r="AJ13" s="28">
        <f t="shared" si="201"/>
        <v>1570</v>
      </c>
      <c r="AK13" s="28">
        <f t="shared" si="201"/>
        <v>1570</v>
      </c>
      <c r="AL13" s="28">
        <f t="shared" ref="AL13:AR13" si="202">AL9+40</f>
        <v>1440</v>
      </c>
      <c r="AM13" s="28">
        <f t="shared" si="202"/>
        <v>1440</v>
      </c>
      <c r="AN13" s="28">
        <f t="shared" si="202"/>
        <v>1440</v>
      </c>
      <c r="AO13" s="28">
        <f t="shared" si="202"/>
        <v>1570</v>
      </c>
      <c r="AP13" s="28">
        <f t="shared" si="202"/>
        <v>1570</v>
      </c>
      <c r="AQ13" s="28">
        <f t="shared" si="202"/>
        <v>1570</v>
      </c>
      <c r="AR13" s="28">
        <f t="shared" si="202"/>
        <v>1490</v>
      </c>
      <c r="AS13" s="28">
        <f t="shared" ref="AS13:AX13" si="203">AS9+40</f>
        <v>1440</v>
      </c>
      <c r="AT13" s="28">
        <f t="shared" si="203"/>
        <v>1440</v>
      </c>
      <c r="AU13" s="28">
        <f t="shared" si="203"/>
        <v>1440</v>
      </c>
      <c r="AV13" s="28">
        <f t="shared" si="203"/>
        <v>1440</v>
      </c>
      <c r="AW13" s="28">
        <f t="shared" si="203"/>
        <v>1440</v>
      </c>
      <c r="AX13" s="28">
        <f t="shared" si="203"/>
        <v>1440</v>
      </c>
      <c r="AY13" s="28">
        <f t="shared" ref="AY13:AZ13" si="204">AY9+40</f>
        <v>1440</v>
      </c>
      <c r="AZ13" s="28">
        <f t="shared" si="204"/>
        <v>1440</v>
      </c>
      <c r="BA13" s="28">
        <f t="shared" ref="BA13:BB13" si="205">BA9+40</f>
        <v>1440</v>
      </c>
      <c r="BB13" s="28">
        <f t="shared" si="205"/>
        <v>1440</v>
      </c>
      <c r="BC13" s="28">
        <f t="shared" ref="BC13:BD13" si="206">BC9+40</f>
        <v>1440</v>
      </c>
      <c r="BD13" s="28">
        <f t="shared" si="206"/>
        <v>1440</v>
      </c>
      <c r="BE13" s="28">
        <f t="shared" ref="BE13:BF13" si="207">BE9+40</f>
        <v>1440</v>
      </c>
      <c r="BF13" s="28">
        <f t="shared" si="207"/>
        <v>1440</v>
      </c>
      <c r="BG13" s="28">
        <f t="shared" ref="BG13:BL13" si="208">BG9+40</f>
        <v>1440</v>
      </c>
      <c r="BH13" s="28">
        <f t="shared" si="208"/>
        <v>1440</v>
      </c>
      <c r="BI13" s="28">
        <f t="shared" si="208"/>
        <v>1440</v>
      </c>
      <c r="BJ13" s="28">
        <f t="shared" si="208"/>
        <v>1440</v>
      </c>
      <c r="BK13" s="28">
        <f t="shared" si="208"/>
        <v>1440</v>
      </c>
      <c r="BL13" s="28">
        <f t="shared" si="208"/>
        <v>1390</v>
      </c>
      <c r="BM13" s="28">
        <f t="shared" ref="BM13:BN13" si="209">BM9+40</f>
        <v>1390</v>
      </c>
      <c r="BN13" s="28">
        <f t="shared" si="209"/>
        <v>1390</v>
      </c>
      <c r="BO13" s="28">
        <f t="shared" ref="BO13:BP13" si="210">BO9+40</f>
        <v>1390</v>
      </c>
      <c r="BP13" s="28">
        <f t="shared" si="210"/>
        <v>1390</v>
      </c>
      <c r="BQ13" s="28">
        <f t="shared" ref="BQ13:BR13" si="211">BQ9+40</f>
        <v>1370</v>
      </c>
      <c r="BR13" s="28">
        <f t="shared" si="211"/>
        <v>1350</v>
      </c>
      <c r="BS13" s="28">
        <f t="shared" ref="BS13:BT13" si="212">BS9+40</f>
        <v>1350</v>
      </c>
      <c r="BT13" s="28">
        <f t="shared" si="212"/>
        <v>1340</v>
      </c>
      <c r="BU13" s="28">
        <f t="shared" ref="BU13:BV13" si="213">BU9+40</f>
        <v>1340</v>
      </c>
      <c r="BV13" s="28">
        <f t="shared" si="213"/>
        <v>1340</v>
      </c>
      <c r="BW13" s="28">
        <f t="shared" ref="BW13:BX13" si="214">BW9+40</f>
        <v>1340</v>
      </c>
      <c r="BX13" s="28">
        <f t="shared" si="214"/>
        <v>1340</v>
      </c>
      <c r="BY13" s="28">
        <f t="shared" ref="BY13" si="215">BY9+40</f>
        <v>40</v>
      </c>
      <c r="BZ13" s="152"/>
      <c r="CA13" s="26" t="s">
        <v>48</v>
      </c>
      <c r="CB13" s="27" t="s">
        <v>50</v>
      </c>
      <c r="CC13" s="27" t="s">
        <v>73</v>
      </c>
      <c r="CD13" s="28">
        <v>1630</v>
      </c>
      <c r="CE13" s="28">
        <v>1630</v>
      </c>
      <c r="CF13" s="28">
        <v>1630</v>
      </c>
      <c r="CG13" s="28">
        <v>1630</v>
      </c>
      <c r="CH13" s="28">
        <v>1630</v>
      </c>
      <c r="CI13" s="28">
        <v>1630</v>
      </c>
      <c r="CJ13" s="28">
        <v>1630</v>
      </c>
      <c r="CK13" s="28">
        <v>1630</v>
      </c>
      <c r="CL13" s="28">
        <v>1630</v>
      </c>
      <c r="CM13" s="28">
        <v>1630</v>
      </c>
      <c r="CN13" s="28">
        <v>1630</v>
      </c>
      <c r="CO13" s="28">
        <v>1630</v>
      </c>
      <c r="CP13" s="28">
        <v>1570</v>
      </c>
      <c r="CQ13" s="28">
        <v>1570</v>
      </c>
      <c r="CR13" s="28">
        <v>1570</v>
      </c>
      <c r="CS13" s="28">
        <v>1570</v>
      </c>
      <c r="CT13" s="28">
        <f t="shared" ref="CT13:DE13" si="216">CT9+40</f>
        <v>1570</v>
      </c>
      <c r="CU13" s="28">
        <f t="shared" si="216"/>
        <v>1570</v>
      </c>
      <c r="CV13" s="28">
        <f t="shared" si="216"/>
        <v>1570</v>
      </c>
      <c r="CW13" s="28">
        <f t="shared" si="216"/>
        <v>1570</v>
      </c>
      <c r="CX13" s="28">
        <f t="shared" si="216"/>
        <v>1570</v>
      </c>
      <c r="CY13" s="28">
        <f t="shared" si="216"/>
        <v>1570</v>
      </c>
      <c r="CZ13" s="28">
        <f t="shared" si="216"/>
        <v>1570</v>
      </c>
      <c r="DA13" s="28">
        <f t="shared" si="216"/>
        <v>1570</v>
      </c>
      <c r="DB13" s="28">
        <f t="shared" si="216"/>
        <v>1570</v>
      </c>
      <c r="DC13" s="28">
        <f t="shared" si="216"/>
        <v>1570</v>
      </c>
      <c r="DD13" s="28">
        <f t="shared" si="216"/>
        <v>1570</v>
      </c>
      <c r="DE13" s="28">
        <f t="shared" si="216"/>
        <v>1440</v>
      </c>
      <c r="DF13" s="28">
        <f>DF9+40</f>
        <v>1440</v>
      </c>
      <c r="DG13" s="28">
        <f>DG9+25</f>
        <v>1425</v>
      </c>
      <c r="DH13" s="28">
        <f t="shared" ref="DH13:EH13" si="217">DH9+25</f>
        <v>1425</v>
      </c>
      <c r="DI13" s="28">
        <f t="shared" si="217"/>
        <v>1425</v>
      </c>
      <c r="DJ13" s="28">
        <f t="shared" si="217"/>
        <v>1425</v>
      </c>
      <c r="DK13" s="28">
        <f t="shared" si="217"/>
        <v>1425</v>
      </c>
      <c r="DL13" s="28">
        <f t="shared" si="217"/>
        <v>1425</v>
      </c>
      <c r="DM13" s="28">
        <f t="shared" si="217"/>
        <v>1425</v>
      </c>
      <c r="DN13" s="28">
        <f t="shared" si="217"/>
        <v>1425</v>
      </c>
      <c r="DO13" s="28">
        <f t="shared" si="217"/>
        <v>1425</v>
      </c>
      <c r="DP13" s="28">
        <f t="shared" si="217"/>
        <v>1425</v>
      </c>
      <c r="DQ13" s="28">
        <f t="shared" si="217"/>
        <v>1425</v>
      </c>
      <c r="DR13" s="28">
        <f t="shared" si="217"/>
        <v>1425</v>
      </c>
      <c r="DS13" s="28">
        <f t="shared" si="217"/>
        <v>1555</v>
      </c>
      <c r="DT13" s="28">
        <f t="shared" si="217"/>
        <v>1555</v>
      </c>
      <c r="DU13" s="28">
        <f t="shared" si="217"/>
        <v>1555</v>
      </c>
      <c r="DV13" s="28">
        <f t="shared" si="217"/>
        <v>1555</v>
      </c>
      <c r="DW13" s="28">
        <f t="shared" si="217"/>
        <v>1555</v>
      </c>
      <c r="DX13" s="28">
        <f t="shared" si="217"/>
        <v>1555</v>
      </c>
      <c r="DY13" s="28">
        <f t="shared" si="217"/>
        <v>1555</v>
      </c>
      <c r="DZ13" s="28">
        <f t="shared" si="217"/>
        <v>1555</v>
      </c>
      <c r="EA13" s="28">
        <f t="shared" si="217"/>
        <v>1555</v>
      </c>
      <c r="EB13" s="28">
        <f t="shared" si="217"/>
        <v>1555</v>
      </c>
      <c r="EC13" s="28">
        <f t="shared" si="217"/>
        <v>1475</v>
      </c>
      <c r="ED13" s="28">
        <f t="shared" si="217"/>
        <v>1475</v>
      </c>
      <c r="EE13" s="28">
        <f t="shared" si="217"/>
        <v>1475</v>
      </c>
      <c r="EF13" s="28">
        <f t="shared" si="217"/>
        <v>1475</v>
      </c>
      <c r="EG13" s="28">
        <f t="shared" si="217"/>
        <v>1475</v>
      </c>
      <c r="EH13" s="28">
        <f t="shared" si="217"/>
        <v>1425</v>
      </c>
      <c r="EI13" s="28">
        <f>EI9+25</f>
        <v>1425</v>
      </c>
      <c r="EJ13" s="28">
        <f>EJ9+25</f>
        <v>1425</v>
      </c>
      <c r="EK13" s="28">
        <f>EK9+25</f>
        <v>1425</v>
      </c>
      <c r="EL13" s="28">
        <f>EL9+25</f>
        <v>1425</v>
      </c>
      <c r="EM13" s="28">
        <f t="shared" ref="EM13:ER13" si="218">EM9+25</f>
        <v>1425</v>
      </c>
      <c r="EN13" s="28">
        <f t="shared" si="218"/>
        <v>1425</v>
      </c>
      <c r="EO13" s="28">
        <f t="shared" si="218"/>
        <v>1425</v>
      </c>
      <c r="EP13" s="28">
        <f t="shared" si="218"/>
        <v>1425</v>
      </c>
      <c r="EQ13" s="28">
        <f t="shared" si="218"/>
        <v>1425</v>
      </c>
      <c r="ER13" s="28">
        <f t="shared" si="218"/>
        <v>1425</v>
      </c>
      <c r="ES13" s="28">
        <f t="shared" ref="ES13:EX13" si="219">ES9+25</f>
        <v>1425</v>
      </c>
      <c r="ET13" s="28">
        <f t="shared" si="219"/>
        <v>1425</v>
      </c>
      <c r="EU13" s="28">
        <f t="shared" si="219"/>
        <v>1425</v>
      </c>
      <c r="EV13" s="28">
        <f t="shared" si="219"/>
        <v>1425</v>
      </c>
      <c r="EW13" s="28">
        <f t="shared" si="219"/>
        <v>1425</v>
      </c>
      <c r="EX13" s="28">
        <f t="shared" si="219"/>
        <v>1425</v>
      </c>
      <c r="EY13" s="28">
        <f t="shared" ref="EY13:EZ13" si="220">EY9+25</f>
        <v>1425</v>
      </c>
      <c r="EZ13" s="28">
        <f t="shared" si="220"/>
        <v>1425</v>
      </c>
      <c r="FA13" s="28">
        <f t="shared" ref="FA13:FB13" si="221">FA9+25</f>
        <v>1425</v>
      </c>
      <c r="FB13" s="28">
        <f t="shared" si="221"/>
        <v>1425</v>
      </c>
      <c r="FC13" s="28">
        <f t="shared" ref="FC13:FD13" si="222">FC9+25</f>
        <v>1425</v>
      </c>
      <c r="FD13" s="28">
        <f t="shared" si="222"/>
        <v>1425</v>
      </c>
      <c r="FE13" s="28">
        <f t="shared" ref="FE13:FF13" si="223">FE9+25</f>
        <v>1425</v>
      </c>
      <c r="FF13" s="28">
        <f t="shared" si="223"/>
        <v>1425</v>
      </c>
      <c r="FG13" s="28">
        <f t="shared" ref="FG13:FH13" si="224">FG9+25</f>
        <v>1425</v>
      </c>
      <c r="FH13" s="28">
        <f t="shared" si="224"/>
        <v>1425</v>
      </c>
      <c r="FI13" s="28">
        <f t="shared" ref="FI13:FJ13" si="225">FI9+25</f>
        <v>1425</v>
      </c>
      <c r="FJ13" s="28">
        <f t="shared" si="225"/>
        <v>1425</v>
      </c>
      <c r="FK13" s="28">
        <f t="shared" ref="FK13:FM13" si="226">FK9+25</f>
        <v>1425</v>
      </c>
      <c r="FL13" s="28">
        <f t="shared" si="226"/>
        <v>1425</v>
      </c>
      <c r="FM13" s="28">
        <f t="shared" si="226"/>
        <v>1425</v>
      </c>
      <c r="FN13" s="28">
        <f t="shared" ref="FN13:FP13" si="227">FN9+25</f>
        <v>1425</v>
      </c>
      <c r="FO13" s="28">
        <f t="shared" si="227"/>
        <v>1425</v>
      </c>
      <c r="FP13" s="28">
        <f t="shared" si="227"/>
        <v>1425</v>
      </c>
      <c r="FQ13" s="28">
        <f t="shared" ref="FQ13:FR13" si="228">FQ9+25</f>
        <v>1425</v>
      </c>
      <c r="FR13" s="28">
        <f t="shared" si="228"/>
        <v>1425</v>
      </c>
      <c r="FS13" s="28">
        <f t="shared" ref="FS13:FT13" si="229">FS9+25</f>
        <v>1425</v>
      </c>
      <c r="FT13" s="28">
        <f t="shared" si="229"/>
        <v>1425</v>
      </c>
      <c r="FU13" s="28">
        <f t="shared" ref="FU13:FV13" si="230">FU9+25</f>
        <v>1425</v>
      </c>
      <c r="FV13" s="28">
        <f t="shared" si="230"/>
        <v>1425</v>
      </c>
      <c r="FW13" s="28">
        <f t="shared" ref="FW13:FX13" si="231">FW9+25</f>
        <v>1425</v>
      </c>
      <c r="FX13" s="28">
        <f t="shared" si="231"/>
        <v>1425</v>
      </c>
      <c r="FY13" s="28">
        <f t="shared" ref="FY13:FZ13" si="232">FY9+25</f>
        <v>1425</v>
      </c>
      <c r="FZ13" s="28">
        <f t="shared" si="232"/>
        <v>1425</v>
      </c>
      <c r="GA13" s="28">
        <f t="shared" ref="GA13:GB13" si="233">GA9+25</f>
        <v>1425</v>
      </c>
      <c r="GB13" s="28">
        <f t="shared" si="233"/>
        <v>1425</v>
      </c>
      <c r="GC13" s="28">
        <f t="shared" ref="GC13:GD13" si="234">GC9+25</f>
        <v>1425</v>
      </c>
      <c r="GD13" s="28">
        <f t="shared" si="234"/>
        <v>1425</v>
      </c>
      <c r="GE13" s="28">
        <f t="shared" ref="GE13:GF13" si="235">GE9+25</f>
        <v>1425</v>
      </c>
      <c r="GF13" s="28">
        <f t="shared" si="235"/>
        <v>1425</v>
      </c>
      <c r="GG13" s="28">
        <f t="shared" ref="GG13:GH13" si="236">GG9+25</f>
        <v>1425</v>
      </c>
      <c r="GH13" s="28">
        <f t="shared" si="236"/>
        <v>1425</v>
      </c>
      <c r="GI13" s="28">
        <f t="shared" ref="GI13:GJ13" si="237">GI9+25</f>
        <v>1425</v>
      </c>
      <c r="GJ13" s="28">
        <f t="shared" si="237"/>
        <v>1425</v>
      </c>
      <c r="GK13" s="28">
        <f t="shared" ref="GK13:GL13" si="238">GK9+25</f>
        <v>1425</v>
      </c>
      <c r="GL13" s="28">
        <f t="shared" si="238"/>
        <v>1425</v>
      </c>
      <c r="GM13" s="28">
        <f t="shared" ref="GM13:GN13" si="239">GM9+25</f>
        <v>1425</v>
      </c>
      <c r="GN13" s="28">
        <f t="shared" si="239"/>
        <v>1425</v>
      </c>
      <c r="GO13" s="28">
        <f t="shared" ref="GO13:GP13" si="240">GO9+25</f>
        <v>1425</v>
      </c>
      <c r="GP13" s="28">
        <f t="shared" si="240"/>
        <v>1425</v>
      </c>
      <c r="GQ13" s="28">
        <f t="shared" ref="GQ13:GR13" si="241">GQ9+25</f>
        <v>1425</v>
      </c>
      <c r="GR13" s="28">
        <f t="shared" si="241"/>
        <v>1425</v>
      </c>
      <c r="GS13" s="28">
        <f t="shared" ref="GS13:GT13" si="242">GS9+25</f>
        <v>1425</v>
      </c>
      <c r="GT13" s="28">
        <f t="shared" si="242"/>
        <v>1425</v>
      </c>
      <c r="GU13" s="28">
        <f t="shared" ref="GU13:GY13" si="243">GU9+25</f>
        <v>1425</v>
      </c>
      <c r="GV13" s="28">
        <f t="shared" si="243"/>
        <v>1425</v>
      </c>
      <c r="GW13" s="28">
        <f t="shared" si="243"/>
        <v>1425</v>
      </c>
      <c r="GX13" s="28">
        <f t="shared" si="243"/>
        <v>1425</v>
      </c>
      <c r="GY13" s="28">
        <f t="shared" si="243"/>
        <v>1425</v>
      </c>
      <c r="GZ13" s="28">
        <f t="shared" ref="GZ13:HC13" si="244">GZ9+25</f>
        <v>1425</v>
      </c>
      <c r="HA13" s="28">
        <f t="shared" si="244"/>
        <v>1425</v>
      </c>
      <c r="HB13" s="28">
        <f t="shared" si="244"/>
        <v>1425</v>
      </c>
      <c r="HC13" s="28">
        <f t="shared" si="244"/>
        <v>1425</v>
      </c>
      <c r="HD13" s="28">
        <f t="shared" ref="HD13:HE13" si="245">HD9+25</f>
        <v>1425</v>
      </c>
      <c r="HE13" s="28">
        <f t="shared" si="245"/>
        <v>1425</v>
      </c>
      <c r="HF13" s="28">
        <f t="shared" ref="HF13:HG13" si="246">HF9+25</f>
        <v>1425</v>
      </c>
      <c r="HG13" s="28">
        <f t="shared" si="246"/>
        <v>1425</v>
      </c>
      <c r="HH13" s="28">
        <f t="shared" ref="HH13:HI13" si="247">HH9+25</f>
        <v>1425</v>
      </c>
      <c r="HI13" s="28">
        <f t="shared" si="247"/>
        <v>1425</v>
      </c>
      <c r="HJ13" s="28">
        <f t="shared" ref="HJ13:HK13" si="248">HJ9+25</f>
        <v>1425</v>
      </c>
      <c r="HK13" s="28">
        <f t="shared" si="248"/>
        <v>1425</v>
      </c>
      <c r="HL13" s="28">
        <f t="shared" ref="HL13:HO13" si="249">HL9+25</f>
        <v>1375</v>
      </c>
      <c r="HM13" s="28">
        <f t="shared" si="249"/>
        <v>1375</v>
      </c>
      <c r="HN13" s="28">
        <f t="shared" si="249"/>
        <v>1375</v>
      </c>
      <c r="HO13" s="28">
        <f t="shared" si="249"/>
        <v>1375</v>
      </c>
      <c r="HP13" s="28">
        <f t="shared" ref="HP13:HS13" si="250">HP9+25</f>
        <v>1375</v>
      </c>
      <c r="HQ13" s="28">
        <f t="shared" si="250"/>
        <v>1375</v>
      </c>
      <c r="HR13" s="28">
        <f t="shared" si="250"/>
        <v>1375</v>
      </c>
      <c r="HS13" s="28">
        <f t="shared" si="250"/>
        <v>1375</v>
      </c>
      <c r="HT13" s="28">
        <f t="shared" ref="HT13:HX13" si="251">HT9+25</f>
        <v>1375</v>
      </c>
      <c r="HU13" s="28">
        <f t="shared" si="251"/>
        <v>1375</v>
      </c>
      <c r="HV13" s="28">
        <f t="shared" si="251"/>
        <v>1375</v>
      </c>
      <c r="HW13" s="28">
        <f t="shared" si="251"/>
        <v>1375</v>
      </c>
      <c r="HX13" s="28">
        <f t="shared" si="251"/>
        <v>1375</v>
      </c>
      <c r="HY13" s="28">
        <f t="shared" ref="HY13:IB13" si="252">HY9+25</f>
        <v>1375</v>
      </c>
      <c r="HZ13" s="28">
        <f t="shared" si="252"/>
        <v>1375</v>
      </c>
      <c r="IA13" s="28">
        <f t="shared" si="252"/>
        <v>1375</v>
      </c>
      <c r="IB13" s="28">
        <f t="shared" si="252"/>
        <v>1375</v>
      </c>
      <c r="IC13" s="28">
        <f t="shared" ref="IC13:IG13" si="253">IC9+25</f>
        <v>1375</v>
      </c>
      <c r="ID13" s="28">
        <f t="shared" si="253"/>
        <v>1375</v>
      </c>
      <c r="IE13" s="28">
        <f t="shared" si="253"/>
        <v>1375</v>
      </c>
      <c r="IF13" s="28">
        <f t="shared" si="253"/>
        <v>1375</v>
      </c>
      <c r="IG13" s="28">
        <f t="shared" si="253"/>
        <v>1375</v>
      </c>
      <c r="IH13" s="28">
        <f t="shared" ref="IH13:IK13" si="254">IH9+25</f>
        <v>1355</v>
      </c>
      <c r="II13" s="28">
        <f t="shared" si="254"/>
        <v>1355</v>
      </c>
      <c r="IJ13" s="28">
        <f t="shared" si="254"/>
        <v>1355</v>
      </c>
      <c r="IK13" s="28">
        <f t="shared" si="254"/>
        <v>1355</v>
      </c>
      <c r="IL13" s="28">
        <f t="shared" ref="IL13:IO13" si="255">IL9+25</f>
        <v>1335</v>
      </c>
      <c r="IM13" s="28">
        <f t="shared" si="255"/>
        <v>1335</v>
      </c>
      <c r="IN13" s="28">
        <f t="shared" si="255"/>
        <v>1335</v>
      </c>
      <c r="IO13" s="28">
        <f t="shared" si="255"/>
        <v>1335</v>
      </c>
      <c r="IP13" s="28">
        <f t="shared" ref="IP13:IT13" si="256">IP9+25</f>
        <v>1335</v>
      </c>
      <c r="IQ13" s="28">
        <f t="shared" si="256"/>
        <v>1335</v>
      </c>
      <c r="IR13" s="28">
        <f t="shared" si="256"/>
        <v>1335</v>
      </c>
      <c r="IS13" s="28">
        <f t="shared" si="256"/>
        <v>1335</v>
      </c>
      <c r="IT13" s="28">
        <f t="shared" si="256"/>
        <v>1335</v>
      </c>
      <c r="IU13" s="28">
        <f t="shared" ref="IU13:IX13" si="257">IU9+25</f>
        <v>1325</v>
      </c>
      <c r="IV13" s="28">
        <f t="shared" si="257"/>
        <v>1325</v>
      </c>
      <c r="IW13" s="28">
        <f t="shared" si="257"/>
        <v>1325</v>
      </c>
      <c r="IX13" s="28">
        <f t="shared" si="257"/>
        <v>1325</v>
      </c>
      <c r="IY13" s="28">
        <f t="shared" ref="IY13:JB13" si="258">IY9+25</f>
        <v>1325</v>
      </c>
      <c r="IZ13" s="28">
        <f t="shared" si="258"/>
        <v>1325</v>
      </c>
      <c r="JA13" s="28">
        <f t="shared" si="258"/>
        <v>1325</v>
      </c>
      <c r="JB13" s="28">
        <f t="shared" si="258"/>
        <v>1325</v>
      </c>
      <c r="JC13" s="28">
        <f t="shared" ref="JC13:JG13" si="259">JC9+25</f>
        <v>1325</v>
      </c>
      <c r="JD13" s="28">
        <f t="shared" si="259"/>
        <v>1325</v>
      </c>
      <c r="JE13" s="28">
        <f t="shared" si="259"/>
        <v>1325</v>
      </c>
      <c r="JF13" s="28">
        <f t="shared" si="259"/>
        <v>1325</v>
      </c>
      <c r="JG13" s="28">
        <f t="shared" si="259"/>
        <v>1325</v>
      </c>
      <c r="JH13" s="28">
        <f t="shared" ref="JH13:JK13" si="260">JH9+25</f>
        <v>1325</v>
      </c>
      <c r="JI13" s="28">
        <f t="shared" si="260"/>
        <v>1325</v>
      </c>
      <c r="JJ13" s="28">
        <f t="shared" si="260"/>
        <v>1325</v>
      </c>
      <c r="JK13" s="28">
        <f t="shared" si="260"/>
        <v>1325</v>
      </c>
      <c r="JL13" s="28">
        <f t="shared" ref="JL13:JO13" si="261">JL9+25</f>
        <v>1325</v>
      </c>
      <c r="JM13" s="28">
        <f t="shared" si="261"/>
        <v>1325</v>
      </c>
      <c r="JN13" s="28">
        <f t="shared" si="261"/>
        <v>1375</v>
      </c>
      <c r="JO13" s="28">
        <f t="shared" si="261"/>
        <v>1375</v>
      </c>
    </row>
    <row r="14" spans="1:275" ht="12.65" hidden="1" customHeight="1">
      <c r="A14" s="20"/>
      <c r="B14" s="21"/>
      <c r="C14" s="21"/>
      <c r="D14" s="38" t="s">
        <v>30</v>
      </c>
      <c r="E14" s="37"/>
      <c r="F14" s="37" t="s">
        <v>52</v>
      </c>
      <c r="G14" s="39" t="s">
        <v>23</v>
      </c>
      <c r="H14" s="37" t="s">
        <v>52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40">
        <f>W13*23100/1000</f>
        <v>36498</v>
      </c>
      <c r="X14" s="40">
        <f>X13*23108/1000</f>
        <v>37666.04</v>
      </c>
      <c r="Y14" s="40">
        <f>Y13*23108/1000</f>
        <v>37666.04</v>
      </c>
      <c r="Z14" s="40">
        <f>Z13*Z4/1000</f>
        <v>37734.5</v>
      </c>
      <c r="AA14" s="40"/>
      <c r="AB14" s="40"/>
      <c r="AC14" s="40">
        <f t="shared" ref="AC14:AH14" si="262">AC13*AC4/1000</f>
        <v>37734.5</v>
      </c>
      <c r="AD14" s="40">
        <f t="shared" si="262"/>
        <v>36895</v>
      </c>
      <c r="AE14" s="40">
        <f t="shared" si="262"/>
        <v>36895</v>
      </c>
      <c r="AF14" s="40">
        <f t="shared" si="262"/>
        <v>36895</v>
      </c>
      <c r="AG14" s="40">
        <f t="shared" si="262"/>
        <v>36895</v>
      </c>
      <c r="AH14" s="40">
        <f t="shared" si="262"/>
        <v>36895</v>
      </c>
      <c r="AI14" s="40">
        <f>AI13*AI4/1000</f>
        <v>36895</v>
      </c>
      <c r="AJ14" s="40">
        <f>AJ13*AJ4/1000</f>
        <v>38622</v>
      </c>
      <c r="AK14" s="40">
        <f>AK13*AK4/1000</f>
        <v>38622</v>
      </c>
      <c r="AL14" s="40">
        <f>AL13*AL4/1000</f>
        <v>34560</v>
      </c>
      <c r="AM14" s="40">
        <f>AM13*AM4/1000</f>
        <v>34560</v>
      </c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CA14" s="38" t="s">
        <v>30</v>
      </c>
      <c r="CB14" s="37"/>
      <c r="CC14" s="37" t="s">
        <v>52</v>
      </c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>
        <f t="shared" ref="CT14:DE14" si="263">CT13*CT4/1000</f>
        <v>36895</v>
      </c>
      <c r="CU14" s="40">
        <f t="shared" si="263"/>
        <v>36895</v>
      </c>
      <c r="CV14" s="40">
        <f t="shared" si="263"/>
        <v>36895</v>
      </c>
      <c r="CW14" s="40">
        <f t="shared" si="263"/>
        <v>36895</v>
      </c>
      <c r="CX14" s="40">
        <f t="shared" si="263"/>
        <v>38622</v>
      </c>
      <c r="CY14" s="40">
        <f t="shared" si="263"/>
        <v>38622</v>
      </c>
      <c r="CZ14" s="40">
        <f t="shared" si="263"/>
        <v>38622</v>
      </c>
      <c r="DA14" s="40">
        <f t="shared" si="263"/>
        <v>38622</v>
      </c>
      <c r="DB14" s="40">
        <f t="shared" si="263"/>
        <v>38622</v>
      </c>
      <c r="DC14" s="40">
        <f t="shared" si="263"/>
        <v>37680</v>
      </c>
      <c r="DD14" s="40">
        <f t="shared" si="263"/>
        <v>37680</v>
      </c>
      <c r="DE14" s="40">
        <f t="shared" si="263"/>
        <v>34560</v>
      </c>
      <c r="DF14" s="40">
        <f t="shared" ref="DF14:DO14" si="264">DF13*DF4/1000</f>
        <v>34560</v>
      </c>
      <c r="DG14" s="40">
        <f t="shared" si="264"/>
        <v>34200</v>
      </c>
      <c r="DH14" s="40">
        <f t="shared" si="264"/>
        <v>34200</v>
      </c>
      <c r="DI14" s="40">
        <f t="shared" si="264"/>
        <v>34200</v>
      </c>
      <c r="DJ14" s="40">
        <f t="shared" si="264"/>
        <v>34200</v>
      </c>
      <c r="DK14" s="40">
        <f t="shared" si="264"/>
        <v>34200</v>
      </c>
      <c r="DL14" s="40">
        <f t="shared" si="264"/>
        <v>34200</v>
      </c>
      <c r="DM14" s="40">
        <f t="shared" si="264"/>
        <v>34200</v>
      </c>
      <c r="DN14" s="40">
        <f t="shared" si="264"/>
        <v>34200</v>
      </c>
      <c r="DO14" s="40">
        <f t="shared" si="264"/>
        <v>34200</v>
      </c>
      <c r="DP14" s="40">
        <f>DP13*DP4/1000</f>
        <v>34200</v>
      </c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</row>
    <row r="15" spans="1:275" ht="14.15" hidden="1" customHeight="1">
      <c r="A15" s="29"/>
      <c r="B15" s="30"/>
      <c r="C15" s="30"/>
      <c r="D15" s="4" t="s">
        <v>37</v>
      </c>
      <c r="E15" s="8" t="s">
        <v>53</v>
      </c>
      <c r="F15" s="8" t="s">
        <v>54</v>
      </c>
      <c r="G15" s="10" t="s">
        <v>24</v>
      </c>
      <c r="H15" s="8" t="s">
        <v>54</v>
      </c>
      <c r="I15" s="10">
        <v>1470</v>
      </c>
      <c r="J15" s="10">
        <v>1480</v>
      </c>
      <c r="K15" s="10">
        <v>1480</v>
      </c>
      <c r="L15" s="10">
        <v>1595</v>
      </c>
      <c r="M15" s="10">
        <v>1595</v>
      </c>
      <c r="N15" s="10">
        <v>1595</v>
      </c>
      <c r="O15" s="10">
        <v>1595</v>
      </c>
      <c r="P15" s="10">
        <v>1595</v>
      </c>
      <c r="Q15" s="10">
        <v>1595</v>
      </c>
      <c r="R15" s="10">
        <v>1595</v>
      </c>
      <c r="S15" s="10">
        <v>1595</v>
      </c>
      <c r="T15" s="10">
        <v>1660</v>
      </c>
      <c r="U15" s="10">
        <v>1675</v>
      </c>
      <c r="V15" s="10">
        <v>1675</v>
      </c>
      <c r="W15" s="10">
        <v>1675</v>
      </c>
      <c r="X15" s="10">
        <v>1675</v>
      </c>
      <c r="Y15" s="42">
        <v>1650</v>
      </c>
      <c r="Z15" s="42">
        <v>1735</v>
      </c>
      <c r="AA15" s="42"/>
      <c r="AB15" s="42"/>
      <c r="AC15" s="42">
        <v>1735</v>
      </c>
      <c r="AD15" s="42">
        <v>1735</v>
      </c>
      <c r="AE15" s="42">
        <v>1735</v>
      </c>
      <c r="AF15" s="42">
        <v>1735</v>
      </c>
      <c r="AG15" s="42">
        <v>1735</v>
      </c>
      <c r="AH15" s="42">
        <v>1735</v>
      </c>
      <c r="AI15" s="42">
        <v>1735</v>
      </c>
      <c r="AJ15" s="42">
        <v>1735</v>
      </c>
      <c r="AK15" s="42">
        <v>1735</v>
      </c>
      <c r="AL15" s="42">
        <v>1735</v>
      </c>
      <c r="AM15" s="42">
        <v>1735</v>
      </c>
      <c r="AN15" s="42"/>
      <c r="AO15" s="42"/>
      <c r="AP15" s="42"/>
      <c r="AQ15" s="42"/>
      <c r="AR15" s="42"/>
      <c r="AS15" s="42"/>
      <c r="AT15" s="42"/>
      <c r="AU15" s="42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53"/>
      <c r="CA15" s="4" t="s">
        <v>37</v>
      </c>
      <c r="CB15" s="8" t="s">
        <v>53</v>
      </c>
      <c r="CC15" s="8" t="s">
        <v>54</v>
      </c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>
        <v>1735</v>
      </c>
      <c r="CU15" s="42">
        <v>1735</v>
      </c>
      <c r="CV15" s="42">
        <v>1735</v>
      </c>
      <c r="CW15" s="42">
        <v>1735</v>
      </c>
      <c r="CX15" s="42">
        <v>1735</v>
      </c>
      <c r="CY15" s="42">
        <v>1735</v>
      </c>
      <c r="CZ15" s="42">
        <v>1735</v>
      </c>
      <c r="DA15" s="42">
        <v>1735</v>
      </c>
      <c r="DB15" s="42">
        <v>1735</v>
      </c>
      <c r="DC15" s="42">
        <v>1735</v>
      </c>
      <c r="DD15" s="42">
        <v>1735</v>
      </c>
      <c r="DE15" s="42">
        <v>1735</v>
      </c>
      <c r="DF15" s="42">
        <v>1735</v>
      </c>
      <c r="DG15" s="42">
        <v>1735</v>
      </c>
      <c r="DH15" s="42">
        <v>1735</v>
      </c>
      <c r="DI15" s="42">
        <v>1735</v>
      </c>
      <c r="DJ15" s="42">
        <v>1735</v>
      </c>
      <c r="DK15" s="42">
        <v>1735</v>
      </c>
      <c r="DL15" s="42">
        <v>1735</v>
      </c>
      <c r="DM15" s="42">
        <v>1735</v>
      </c>
      <c r="DN15" s="42">
        <v>1735</v>
      </c>
      <c r="DO15" s="42">
        <v>1735</v>
      </c>
      <c r="DP15" s="42">
        <v>1735</v>
      </c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  <c r="IW15" s="145"/>
      <c r="IX15" s="145"/>
      <c r="IY15" s="145"/>
      <c r="IZ15" s="145"/>
      <c r="JA15" s="145"/>
      <c r="JB15" s="145"/>
      <c r="JC15" s="145"/>
      <c r="JD15" s="145"/>
      <c r="JE15" s="145"/>
      <c r="JF15" s="145"/>
      <c r="JG15" s="145"/>
      <c r="JH15" s="145"/>
      <c r="JI15" s="145"/>
      <c r="JJ15" s="145"/>
      <c r="JK15" s="145"/>
      <c r="JL15" s="145"/>
      <c r="JM15" s="145"/>
      <c r="JN15" s="145"/>
      <c r="JO15" s="145"/>
    </row>
    <row r="16" spans="1:275" s="65" customFormat="1" ht="14" hidden="1">
      <c r="A16" s="54">
        <v>9</v>
      </c>
      <c r="B16" s="55"/>
      <c r="C16" s="55"/>
      <c r="D16" s="106" t="s">
        <v>37</v>
      </c>
      <c r="E16" s="54" t="s">
        <v>38</v>
      </c>
      <c r="F16" s="55" t="s">
        <v>39</v>
      </c>
      <c r="G16" s="56" t="s">
        <v>24</v>
      </c>
      <c r="H16" s="97" t="s">
        <v>37</v>
      </c>
      <c r="I16" s="56"/>
      <c r="J16" s="56"/>
      <c r="K16" s="56"/>
      <c r="L16" s="56"/>
      <c r="M16" s="56"/>
      <c r="N16" s="56"/>
      <c r="O16" s="56"/>
      <c r="P16" s="56">
        <v>1300</v>
      </c>
      <c r="Q16" s="56">
        <v>1300</v>
      </c>
      <c r="R16" s="56">
        <v>1350</v>
      </c>
      <c r="S16" s="56"/>
      <c r="T16" s="56">
        <v>1279</v>
      </c>
      <c r="U16" s="56">
        <v>1313</v>
      </c>
      <c r="V16" s="56">
        <v>1302</v>
      </c>
      <c r="W16" s="56">
        <v>1360</v>
      </c>
      <c r="X16" s="56">
        <v>1397</v>
      </c>
      <c r="Y16" s="56">
        <v>1425</v>
      </c>
      <c r="Z16" s="56">
        <v>1493</v>
      </c>
      <c r="AA16" s="56">
        <v>1473</v>
      </c>
      <c r="AB16" s="56">
        <v>1474</v>
      </c>
      <c r="AC16" s="56">
        <v>1486</v>
      </c>
      <c r="AD16" s="56">
        <f>(1407+1550)/2</f>
        <v>1478.5</v>
      </c>
      <c r="AE16" s="56">
        <v>1480</v>
      </c>
      <c r="AF16" s="56">
        <v>1461</v>
      </c>
      <c r="AG16" s="56">
        <v>1461</v>
      </c>
      <c r="AH16" s="56">
        <v>1444</v>
      </c>
      <c r="AI16" s="56">
        <v>1431.5</v>
      </c>
      <c r="AJ16" s="56">
        <v>1431.5</v>
      </c>
      <c r="AK16" s="56">
        <f>+SUM(DB16:DF16)/5</f>
        <v>1350.5</v>
      </c>
      <c r="AL16" s="56">
        <f>+SUM(DG16:DJ16)/4</f>
        <v>1261.125</v>
      </c>
      <c r="AM16" s="56">
        <f>+SUM(DK16:DN16)/4</f>
        <v>1247.5</v>
      </c>
      <c r="AN16" s="56">
        <f>+SUM(DO16:DR16)/COUNT(DO16:DR16)</f>
        <v>1236.875</v>
      </c>
      <c r="AO16" s="56">
        <f>+SUM(DS16:DV16)/COUNT(DS16:DV16)</f>
        <v>1208.75</v>
      </c>
      <c r="AP16" s="56">
        <f>+SUM(DW16:EA16)/COUNT(DW16:EA16)</f>
        <v>1207.4000000000001</v>
      </c>
      <c r="AQ16" s="56">
        <f>+SUM(EB16:EE16)/COUNT(EB16:EE16)</f>
        <v>1115.375</v>
      </c>
      <c r="AR16" s="56">
        <f>+SUM(EF16:EI16)/COUNT(EF16:EI16)</f>
        <v>1105</v>
      </c>
      <c r="AS16" s="56">
        <f>+SUM(EJ16:EN16)/COUNT(EJ16:EN16)</f>
        <v>1085</v>
      </c>
      <c r="AT16" s="56">
        <f>+SUM(EO16:ER16)/COUNT(EO16:ER16)</f>
        <v>1083.75</v>
      </c>
      <c r="AU16" s="56">
        <f>+SUM(ES16:EV16)/COUNT(ES16:EV16)</f>
        <v>1080</v>
      </c>
      <c r="AV16" s="100">
        <f>+SUM(EW16:EZ16)/COUNT(EW16:EZ16)</f>
        <v>1080</v>
      </c>
      <c r="AW16" s="100">
        <f>+SUM(FA16:FE16)/COUNT(FA16:FE16)</f>
        <v>1080</v>
      </c>
      <c r="AX16" s="100">
        <f>+SUM(FF16:FH16)/COUNT(FF16:FH16)</f>
        <v>1113.3333333333333</v>
      </c>
      <c r="AY16" s="100">
        <f>+SUM(FJ16:FL16)/COUNT(FJ16:FL16)</f>
        <v>1153</v>
      </c>
      <c r="AZ16" s="100">
        <f>+SUM(FM16:FP16)/COUNT(FM16:FP16)</f>
        <v>1209.625</v>
      </c>
      <c r="BA16" s="100">
        <f>+SUM(FQ16:FT16)/COUNT(FQ16:FT16)</f>
        <v>1201.125</v>
      </c>
      <c r="BB16" s="100">
        <f>+SUM(FU16:FY16)/COUNT(FU16:FY16)</f>
        <v>1188</v>
      </c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52"/>
      <c r="CA16" s="54" t="s">
        <v>37</v>
      </c>
      <c r="CB16" s="54" t="s">
        <v>38</v>
      </c>
      <c r="CC16" s="97" t="s">
        <v>37</v>
      </c>
      <c r="CD16" s="56">
        <f>+(1435+1550)/2</f>
        <v>1492.5</v>
      </c>
      <c r="CE16" s="56">
        <f>+(1409+1550)/2</f>
        <v>1479.5</v>
      </c>
      <c r="CF16" s="56">
        <f>+(1394+1550)/2</f>
        <v>1472</v>
      </c>
      <c r="CG16" s="56">
        <f>+(1396+1550)/2</f>
        <v>1473</v>
      </c>
      <c r="CH16" s="56">
        <f>+(1398+1550)/2</f>
        <v>1474</v>
      </c>
      <c r="CI16" s="56">
        <f>+(1398+1550)/2</f>
        <v>1474</v>
      </c>
      <c r="CJ16" s="56">
        <f>+(1402+1550)/2</f>
        <v>1476</v>
      </c>
      <c r="CK16" s="56">
        <f>+(1402+1550)/2</f>
        <v>1476</v>
      </c>
      <c r="CL16" s="56">
        <f>+(1407+1550)/2</f>
        <v>1478.5</v>
      </c>
      <c r="CM16" s="56">
        <f>+(1408+1550)/2</f>
        <v>1479</v>
      </c>
      <c r="CN16" s="56">
        <f>+(1421+1550)/2</f>
        <v>1485.5</v>
      </c>
      <c r="CO16" s="56">
        <f>+(1411+1550)/2</f>
        <v>1480.5</v>
      </c>
      <c r="CP16" s="56">
        <f>+(1412+1550)/2</f>
        <v>1481</v>
      </c>
      <c r="CQ16" s="56">
        <f>+(1407+1550)/2</f>
        <v>1478.5</v>
      </c>
      <c r="CR16" s="56">
        <f>+(1416+1550)/2</f>
        <v>1483</v>
      </c>
      <c r="CS16" s="56">
        <f>+(1410+1550)/2</f>
        <v>1480</v>
      </c>
      <c r="CT16" s="56">
        <v>1461</v>
      </c>
      <c r="CU16" s="56">
        <v>1461</v>
      </c>
      <c r="CV16" s="56">
        <v>1444</v>
      </c>
      <c r="CW16" s="56">
        <v>1431.5</v>
      </c>
      <c r="CX16" s="56">
        <v>1431.5</v>
      </c>
      <c r="CY16" s="56">
        <f>+(1363+1474)/2</f>
        <v>1418.5</v>
      </c>
      <c r="CZ16" s="56">
        <v>1389</v>
      </c>
      <c r="DA16" s="56">
        <f>+(1300+1465)/2</f>
        <v>1382.5</v>
      </c>
      <c r="DB16" s="56">
        <f>+(1300+1465)/2</f>
        <v>1382.5</v>
      </c>
      <c r="DC16" s="56">
        <f>+(1300+1465)/2</f>
        <v>1382.5</v>
      </c>
      <c r="DD16" s="56">
        <f>+(1250+1400)/2</f>
        <v>1325</v>
      </c>
      <c r="DE16" s="56">
        <f>+(1250+1400)/2</f>
        <v>1325</v>
      </c>
      <c r="DF16" s="56">
        <f>+(1250+1425)/2</f>
        <v>1337.5</v>
      </c>
      <c r="DG16" s="56">
        <f>+(1250+1425)/2</f>
        <v>1337.5</v>
      </c>
      <c r="DH16" s="56">
        <f>+(1100+1345)/2</f>
        <v>1222.5</v>
      </c>
      <c r="DI16" s="56">
        <f>+(1100+1356)/2</f>
        <v>1228</v>
      </c>
      <c r="DJ16" s="56">
        <f>+(1100+1413)/2</f>
        <v>1256.5</v>
      </c>
      <c r="DK16" s="56">
        <f>+(1100+1408)/2</f>
        <v>1254</v>
      </c>
      <c r="DL16" s="56">
        <f>+(1100+1398)/2</f>
        <v>1249</v>
      </c>
      <c r="DM16" s="56">
        <f>+(1100+1387)/2</f>
        <v>1243.5</v>
      </c>
      <c r="DN16" s="56">
        <f>+(1100+1387)/2</f>
        <v>1243.5</v>
      </c>
      <c r="DO16" s="56">
        <f>+(1100+1387)/2</f>
        <v>1243.5</v>
      </c>
      <c r="DP16" s="56">
        <f>+(1100+1367)/2</f>
        <v>1233.5</v>
      </c>
      <c r="DQ16" s="56">
        <f>+(1100+1366)/2</f>
        <v>1233</v>
      </c>
      <c r="DR16" s="56">
        <f>+(1100+1375)/2</f>
        <v>1237.5</v>
      </c>
      <c r="DS16" s="56">
        <f>+(1100+1375)/2</f>
        <v>1237.5</v>
      </c>
      <c r="DT16" s="56">
        <f>+(1100+1279)/2</f>
        <v>1189.5</v>
      </c>
      <c r="DU16" s="56">
        <f>+(1100+1279)/2</f>
        <v>1189.5</v>
      </c>
      <c r="DV16" s="56">
        <f>+(1150+1287)/2</f>
        <v>1218.5</v>
      </c>
      <c r="DW16" s="56">
        <f>+(1150+1299)/2</f>
        <v>1224.5</v>
      </c>
      <c r="DX16" s="56">
        <f>+(1150+1293)/2</f>
        <v>1221.5</v>
      </c>
      <c r="DY16" s="56">
        <f>+(1110+1286)/2</f>
        <v>1198</v>
      </c>
      <c r="DZ16" s="56">
        <f>+(1110+1283)/2</f>
        <v>1196.5</v>
      </c>
      <c r="EA16" s="56">
        <f>+(1110+1283)/2</f>
        <v>1196.5</v>
      </c>
      <c r="EB16" s="56">
        <f>+(1060+1233)/2</f>
        <v>1146.5</v>
      </c>
      <c r="EC16" s="56">
        <f t="shared" ref="EC16:EI16" si="265">+(1060+1150)/2</f>
        <v>1105</v>
      </c>
      <c r="ED16" s="56">
        <f t="shared" si="265"/>
        <v>1105</v>
      </c>
      <c r="EE16" s="56">
        <f t="shared" si="265"/>
        <v>1105</v>
      </c>
      <c r="EF16" s="56">
        <f t="shared" si="265"/>
        <v>1105</v>
      </c>
      <c r="EG16" s="56">
        <f t="shared" si="265"/>
        <v>1105</v>
      </c>
      <c r="EH16" s="56">
        <f t="shared" si="265"/>
        <v>1105</v>
      </c>
      <c r="EI16" s="56">
        <f t="shared" si="265"/>
        <v>1105</v>
      </c>
      <c r="EJ16" s="56">
        <f>+(1060+1110)/2</f>
        <v>1085</v>
      </c>
      <c r="EK16" s="56">
        <f>+(1060+1110)/2</f>
        <v>1085</v>
      </c>
      <c r="EL16" s="56">
        <f>+(1060+1110)/2</f>
        <v>1085</v>
      </c>
      <c r="EM16" s="100">
        <v>1085</v>
      </c>
      <c r="EN16" s="100">
        <v>1085</v>
      </c>
      <c r="EO16" s="100">
        <v>1085</v>
      </c>
      <c r="EP16" s="100">
        <v>1085</v>
      </c>
      <c r="EQ16" s="100">
        <v>1085</v>
      </c>
      <c r="ER16" s="100">
        <v>1080</v>
      </c>
      <c r="ES16" s="100">
        <v>1080</v>
      </c>
      <c r="ET16" s="100">
        <v>1080</v>
      </c>
      <c r="EU16" s="100">
        <v>1080</v>
      </c>
      <c r="EV16" s="100">
        <v>1080</v>
      </c>
      <c r="EW16" s="100">
        <v>1080</v>
      </c>
      <c r="EX16" s="100">
        <v>1080</v>
      </c>
      <c r="EY16" s="100">
        <v>1080</v>
      </c>
      <c r="EZ16" s="100">
        <v>1080</v>
      </c>
      <c r="FA16" s="100">
        <v>1080</v>
      </c>
      <c r="FB16" s="100">
        <v>1080</v>
      </c>
      <c r="FC16" s="100">
        <v>1080</v>
      </c>
      <c r="FD16" s="100">
        <v>1080</v>
      </c>
      <c r="FE16" s="100">
        <v>1080</v>
      </c>
      <c r="FF16" s="100">
        <v>1080</v>
      </c>
      <c r="FG16" s="100">
        <v>1130</v>
      </c>
      <c r="FH16" s="100">
        <v>1130</v>
      </c>
      <c r="FI16" s="100">
        <v>1130</v>
      </c>
      <c r="FJ16" s="100">
        <v>1130</v>
      </c>
      <c r="FK16" s="100">
        <v>1130</v>
      </c>
      <c r="FL16" s="100">
        <v>1199</v>
      </c>
      <c r="FM16" s="100">
        <v>1211</v>
      </c>
      <c r="FN16" s="100">
        <v>1214</v>
      </c>
      <c r="FO16" s="100">
        <v>1208</v>
      </c>
      <c r="FP16" s="100">
        <v>1205.5</v>
      </c>
      <c r="FQ16" s="100">
        <v>1205.5</v>
      </c>
      <c r="FR16" s="100">
        <v>1205.5</v>
      </c>
      <c r="FS16" s="100">
        <v>1205.5</v>
      </c>
      <c r="FT16" s="100">
        <v>1188</v>
      </c>
      <c r="FU16" s="100">
        <v>1188</v>
      </c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  <c r="IX16" s="100"/>
      <c r="IY16" s="100"/>
      <c r="IZ16" s="100"/>
      <c r="JA16" s="100"/>
      <c r="JB16" s="100"/>
      <c r="JC16" s="100"/>
      <c r="JD16" s="100"/>
      <c r="JE16" s="100"/>
      <c r="JF16" s="100"/>
      <c r="JG16" s="100"/>
      <c r="JH16" s="100"/>
      <c r="JI16" s="100"/>
      <c r="JJ16" s="100"/>
      <c r="JK16" s="100"/>
      <c r="JL16" s="100"/>
      <c r="JM16" s="100"/>
      <c r="JN16" s="100"/>
      <c r="JO16" s="100"/>
    </row>
    <row r="17" spans="1:275" s="65" customFormat="1" ht="14" hidden="1">
      <c r="A17" s="54">
        <v>9</v>
      </c>
      <c r="B17" s="55"/>
      <c r="C17" s="55"/>
      <c r="D17" s="54" t="s">
        <v>37</v>
      </c>
      <c r="E17" s="54" t="s">
        <v>38</v>
      </c>
      <c r="F17" s="55" t="s">
        <v>40</v>
      </c>
      <c r="G17" s="56" t="s">
        <v>24</v>
      </c>
      <c r="H17" s="55" t="s">
        <v>40</v>
      </c>
      <c r="I17" s="56"/>
      <c r="J17" s="56"/>
      <c r="K17" s="56"/>
      <c r="L17" s="56"/>
      <c r="M17" s="56"/>
      <c r="N17" s="56"/>
      <c r="O17" s="56"/>
      <c r="P17" s="56">
        <v>1400</v>
      </c>
      <c r="Q17" s="56">
        <v>1500</v>
      </c>
      <c r="R17" s="56">
        <v>1500</v>
      </c>
      <c r="S17" s="56"/>
      <c r="T17" s="56">
        <v>1389</v>
      </c>
      <c r="U17" s="56">
        <v>1450</v>
      </c>
      <c r="V17" s="56">
        <v>1454</v>
      </c>
      <c r="W17" s="56">
        <v>1530</v>
      </c>
      <c r="X17" s="56">
        <v>1570</v>
      </c>
      <c r="Y17" s="56">
        <v>1555</v>
      </c>
      <c r="Z17" s="56">
        <v>1550</v>
      </c>
      <c r="AA17" s="56">
        <v>1550</v>
      </c>
      <c r="AB17" s="56">
        <v>1550</v>
      </c>
      <c r="AC17" s="56">
        <v>1550</v>
      </c>
      <c r="AD17" s="56">
        <v>1550</v>
      </c>
      <c r="AE17" s="56">
        <v>1550</v>
      </c>
      <c r="AF17" s="56">
        <v>1533</v>
      </c>
      <c r="AG17" s="56">
        <v>1507</v>
      </c>
      <c r="AH17" s="56">
        <v>1507</v>
      </c>
      <c r="AI17" s="56">
        <v>1491</v>
      </c>
      <c r="AJ17" s="56">
        <v>1491</v>
      </c>
      <c r="AK17" s="56">
        <f>+SUM(DB17:DF17)/5</f>
        <v>1431</v>
      </c>
      <c r="AL17" s="56">
        <f>+SUM(DG17:DJ17)/4</f>
        <v>1384.75</v>
      </c>
      <c r="AM17" s="56">
        <f>+SUM(DK17:DN17)/4</f>
        <v>1395</v>
      </c>
      <c r="AN17" s="56">
        <f>+SUM(DO17:DR17)/COUNT(DO17:DR17)</f>
        <v>1373.75</v>
      </c>
      <c r="AO17" s="56">
        <f>+SUM(DS17:DV17)/COUNT(DS17:DV17)</f>
        <v>1305</v>
      </c>
      <c r="AP17" s="56">
        <f>+SUM(DW17:EA17)/COUNT(DW17:EA17)</f>
        <v>1288.8</v>
      </c>
      <c r="AQ17" s="56">
        <f>+SUM(EB17:EE17)/COUNT(EB17:EE17)</f>
        <v>1170.75</v>
      </c>
      <c r="AR17" s="56">
        <f>+SUM(EF17:EI17)/COUNT(EF17:EI17)</f>
        <v>1150</v>
      </c>
      <c r="AS17" s="56">
        <f>+SUM(EJ17:EN17)/COUNT(EJ17:EN17)</f>
        <v>1110</v>
      </c>
      <c r="AT17" s="56">
        <f>+SUM(EO17:ER17)/COUNT(EO17:ER17)</f>
        <v>1107.5</v>
      </c>
      <c r="AU17" s="56">
        <f>+SUM(ES17:EV17)/COUNT(ES17:EV17)</f>
        <v>1100</v>
      </c>
      <c r="AV17" s="100">
        <f t="shared" ref="AV17:AV20" si="266">+SUM(EW17:EZ17)/COUNT(EW17:EZ17)</f>
        <v>1100</v>
      </c>
      <c r="AW17" s="100">
        <f t="shared" ref="AW17:AW20" si="267">+SUM(FA17:FE17)/COUNT(FA17:FE17)</f>
        <v>1100</v>
      </c>
      <c r="AX17" s="100">
        <f>+SUM(FF17:FH17)/COUNT(FF17:FH17)</f>
        <v>1166.6666666666667</v>
      </c>
      <c r="AY17" s="100">
        <f t="shared" ref="AY17:AY20" si="268">+SUM(FJ17:FL17)/COUNT(FJ17:FL17)</f>
        <v>1223</v>
      </c>
      <c r="AZ17" s="100">
        <f t="shared" ref="AZ17:AZ20" si="269">+SUM(FM17:FP17)/COUNT(FM17:FP17)</f>
        <v>1268.5</v>
      </c>
      <c r="BA17" s="100">
        <f t="shared" ref="BA17:BA20" si="270">+SUM(FQ17:FT17)/COUNT(FQ17:FT17)</f>
        <v>1252.25</v>
      </c>
      <c r="BB17" s="100">
        <f t="shared" ref="BB17:BB20" si="271">+SUM(FU17:FY17)/COUNT(FU17:FY17)</f>
        <v>1226</v>
      </c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61"/>
      <c r="CA17" s="54" t="s">
        <v>37</v>
      </c>
      <c r="CB17" s="54" t="s">
        <v>38</v>
      </c>
      <c r="CC17" s="55" t="s">
        <v>40</v>
      </c>
      <c r="CD17" s="56">
        <v>1550</v>
      </c>
      <c r="CE17" s="56">
        <v>1550</v>
      </c>
      <c r="CF17" s="56">
        <v>1550</v>
      </c>
      <c r="CG17" s="56">
        <v>1550</v>
      </c>
      <c r="CH17" s="56">
        <v>1550</v>
      </c>
      <c r="CI17" s="56">
        <v>1550</v>
      </c>
      <c r="CJ17" s="56">
        <v>1550</v>
      </c>
      <c r="CK17" s="56">
        <v>1550</v>
      </c>
      <c r="CL17" s="56">
        <v>1550</v>
      </c>
      <c r="CM17" s="56">
        <v>1550</v>
      </c>
      <c r="CN17" s="56">
        <v>1550</v>
      </c>
      <c r="CO17" s="56">
        <v>1550</v>
      </c>
      <c r="CP17" s="56">
        <v>1550</v>
      </c>
      <c r="CQ17" s="56">
        <v>1550</v>
      </c>
      <c r="CR17" s="56">
        <v>1550</v>
      </c>
      <c r="CS17" s="56">
        <v>1550</v>
      </c>
      <c r="CT17" s="56">
        <v>1533</v>
      </c>
      <c r="CU17" s="56">
        <v>1507</v>
      </c>
      <c r="CV17" s="56">
        <v>1507</v>
      </c>
      <c r="CW17" s="56">
        <v>1491</v>
      </c>
      <c r="CX17" s="56">
        <v>1491</v>
      </c>
      <c r="CY17" s="56">
        <v>1474</v>
      </c>
      <c r="CZ17" s="56">
        <v>1478</v>
      </c>
      <c r="DA17" s="56">
        <v>1465</v>
      </c>
      <c r="DB17" s="56">
        <v>1465</v>
      </c>
      <c r="DC17" s="56">
        <v>1465</v>
      </c>
      <c r="DD17" s="56">
        <v>1400</v>
      </c>
      <c r="DE17" s="56">
        <v>1400</v>
      </c>
      <c r="DF17" s="56">
        <v>1425</v>
      </c>
      <c r="DG17" s="56">
        <v>1425</v>
      </c>
      <c r="DH17" s="56">
        <v>1345</v>
      </c>
      <c r="DI17" s="56">
        <v>1356</v>
      </c>
      <c r="DJ17" s="56">
        <v>1413</v>
      </c>
      <c r="DK17" s="56">
        <v>1408</v>
      </c>
      <c r="DL17" s="56">
        <v>1398</v>
      </c>
      <c r="DM17" s="56">
        <v>1387</v>
      </c>
      <c r="DN17" s="56">
        <v>1387</v>
      </c>
      <c r="DO17" s="56">
        <v>1387</v>
      </c>
      <c r="DP17" s="56">
        <v>1367</v>
      </c>
      <c r="DQ17" s="56">
        <v>1366</v>
      </c>
      <c r="DR17" s="56">
        <v>1375</v>
      </c>
      <c r="DS17" s="56">
        <v>1375</v>
      </c>
      <c r="DT17" s="56">
        <v>1279</v>
      </c>
      <c r="DU17" s="56">
        <v>1279</v>
      </c>
      <c r="DV17" s="56">
        <v>1287</v>
      </c>
      <c r="DW17" s="56">
        <v>1299</v>
      </c>
      <c r="DX17" s="56">
        <v>1293</v>
      </c>
      <c r="DY17" s="56">
        <v>1286</v>
      </c>
      <c r="DZ17" s="56">
        <v>1283</v>
      </c>
      <c r="EA17" s="56">
        <v>1283</v>
      </c>
      <c r="EB17" s="56">
        <v>1233</v>
      </c>
      <c r="EC17" s="56">
        <v>1150</v>
      </c>
      <c r="ED17" s="56">
        <v>1150</v>
      </c>
      <c r="EE17" s="56">
        <v>1150</v>
      </c>
      <c r="EF17" s="56">
        <v>1150</v>
      </c>
      <c r="EG17" s="56">
        <v>1150</v>
      </c>
      <c r="EH17" s="56">
        <v>1150</v>
      </c>
      <c r="EI17" s="56">
        <v>1150</v>
      </c>
      <c r="EJ17" s="56">
        <v>1110</v>
      </c>
      <c r="EK17" s="56">
        <v>1110</v>
      </c>
      <c r="EL17" s="56">
        <v>1110</v>
      </c>
      <c r="EM17" s="100">
        <v>1110</v>
      </c>
      <c r="EN17" s="100">
        <v>1110</v>
      </c>
      <c r="EO17" s="100">
        <v>1110</v>
      </c>
      <c r="EP17" s="100">
        <v>1110</v>
      </c>
      <c r="EQ17" s="100">
        <v>1110</v>
      </c>
      <c r="ER17" s="100">
        <v>1100</v>
      </c>
      <c r="ES17" s="100">
        <v>1100</v>
      </c>
      <c r="ET17" s="100">
        <v>1100</v>
      </c>
      <c r="EU17" s="100">
        <v>1100</v>
      </c>
      <c r="EV17" s="100">
        <v>1100</v>
      </c>
      <c r="EW17" s="100">
        <v>1100</v>
      </c>
      <c r="EX17" s="100">
        <v>1100</v>
      </c>
      <c r="EY17" s="100">
        <v>1100</v>
      </c>
      <c r="EZ17" s="100">
        <v>1100</v>
      </c>
      <c r="FA17" s="100">
        <v>1100</v>
      </c>
      <c r="FB17" s="100">
        <v>1100</v>
      </c>
      <c r="FC17" s="100">
        <v>1100</v>
      </c>
      <c r="FD17" s="100">
        <v>1100</v>
      </c>
      <c r="FE17" s="100">
        <v>1100</v>
      </c>
      <c r="FF17" s="100">
        <v>1100</v>
      </c>
      <c r="FG17" s="100">
        <v>1200</v>
      </c>
      <c r="FH17" s="100">
        <v>1200</v>
      </c>
      <c r="FI17" s="100">
        <v>1200</v>
      </c>
      <c r="FJ17" s="100">
        <v>1200</v>
      </c>
      <c r="FK17" s="100">
        <v>1200</v>
      </c>
      <c r="FL17" s="100">
        <v>1269</v>
      </c>
      <c r="FM17" s="100">
        <v>1269</v>
      </c>
      <c r="FN17" s="100">
        <v>1278</v>
      </c>
      <c r="FO17" s="100">
        <v>1266</v>
      </c>
      <c r="FP17" s="100">
        <v>1261</v>
      </c>
      <c r="FQ17" s="100">
        <v>1261</v>
      </c>
      <c r="FR17" s="100">
        <v>1261</v>
      </c>
      <c r="FS17" s="100">
        <v>1261</v>
      </c>
      <c r="FT17" s="100">
        <v>1226</v>
      </c>
      <c r="FU17" s="100">
        <v>1226</v>
      </c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  <c r="IX17" s="100"/>
      <c r="IY17" s="100"/>
      <c r="IZ17" s="100"/>
      <c r="JA17" s="100"/>
      <c r="JB17" s="100"/>
      <c r="JC17" s="100"/>
      <c r="JD17" s="100"/>
      <c r="JE17" s="100"/>
      <c r="JF17" s="100"/>
      <c r="JG17" s="100"/>
      <c r="JH17" s="100"/>
      <c r="JI17" s="100"/>
      <c r="JJ17" s="100"/>
      <c r="JK17" s="100"/>
      <c r="JL17" s="100"/>
      <c r="JM17" s="100"/>
      <c r="JN17" s="100"/>
      <c r="JO17" s="100"/>
    </row>
    <row r="18" spans="1:275" s="65" customFormat="1" ht="14">
      <c r="A18" s="54"/>
      <c r="B18" s="55"/>
      <c r="C18" s="55"/>
      <c r="D18" s="54"/>
      <c r="E18" s="54"/>
      <c r="F18" s="97" t="s">
        <v>96</v>
      </c>
      <c r="G18" s="56"/>
      <c r="H18" s="97" t="s">
        <v>96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>
        <v>1575</v>
      </c>
      <c r="V18" s="56">
        <v>1575</v>
      </c>
      <c r="W18" s="56">
        <v>1575</v>
      </c>
      <c r="X18" s="56">
        <v>1575</v>
      </c>
      <c r="Y18" s="56">
        <v>1560</v>
      </c>
      <c r="Z18" s="56">
        <v>1655</v>
      </c>
      <c r="AA18" s="56">
        <v>1655</v>
      </c>
      <c r="AB18" s="56">
        <v>1655</v>
      </c>
      <c r="AC18" s="56">
        <v>1645</v>
      </c>
      <c r="AD18" s="56">
        <v>1645</v>
      </c>
      <c r="AE18" s="56">
        <v>1655</v>
      </c>
      <c r="AF18" s="56">
        <v>1624</v>
      </c>
      <c r="AG18" s="56">
        <v>1624</v>
      </c>
      <c r="AH18" s="56">
        <v>1624</v>
      </c>
      <c r="AI18" s="56">
        <v>1624</v>
      </c>
      <c r="AJ18" s="56">
        <v>1624</v>
      </c>
      <c r="AK18" s="56">
        <f>AK19+100</f>
        <v>1593.4</v>
      </c>
      <c r="AL18" s="56">
        <f>AL19+100</f>
        <v>1534.75</v>
      </c>
      <c r="AM18" s="56">
        <f>AM19+100</f>
        <v>1522</v>
      </c>
      <c r="AN18" s="56">
        <f>AN19+100</f>
        <v>1522</v>
      </c>
      <c r="AO18" s="56">
        <f>AO19+100</f>
        <v>1522</v>
      </c>
      <c r="AP18" s="56">
        <f>+SUM(DW18:EA18)/COUNT(DW18:EA18)</f>
        <v>1516.8</v>
      </c>
      <c r="AQ18" s="56">
        <f>+SUM(EB18:EE18)/COUNT(EB18:EE18)</f>
        <v>1496</v>
      </c>
      <c r="AR18" s="56">
        <f>+SUM(EF18:EI18)/COUNT(EF18:EI18)</f>
        <v>1496</v>
      </c>
      <c r="AS18" s="56">
        <f>+SUM(EJ18:EN18)/COUNT(EJ18:EN18)</f>
        <v>1496</v>
      </c>
      <c r="AT18" s="56">
        <f>+SUM(EO18:ER18)/COUNT(EO18:ER18)</f>
        <v>1496</v>
      </c>
      <c r="AU18" s="56">
        <f>+SUM(ES18:EV18)/COUNT(ES18:EV18)</f>
        <v>1477.25</v>
      </c>
      <c r="AV18" s="100">
        <f t="shared" si="266"/>
        <v>1471</v>
      </c>
      <c r="AW18" s="100">
        <f t="shared" si="267"/>
        <v>1460.6</v>
      </c>
      <c r="AX18" s="100">
        <f t="shared" ref="AX18:AX20" si="272">+SUM(FF18:FH18)/COUNT(FF18:FH18)</f>
        <v>1422</v>
      </c>
      <c r="AY18" s="100">
        <f t="shared" si="268"/>
        <v>1404.6666666666667</v>
      </c>
      <c r="AZ18" s="100">
        <f t="shared" si="269"/>
        <v>1396</v>
      </c>
      <c r="BA18" s="100">
        <f t="shared" si="270"/>
        <v>1406</v>
      </c>
      <c r="BB18" s="100">
        <f t="shared" si="271"/>
        <v>1406</v>
      </c>
      <c r="BC18" s="100">
        <f t="shared" ref="BC18:BC19" si="273">+SUM(FZ18:GC18)/COUNT(FZ18:GC18)</f>
        <v>1398.5</v>
      </c>
      <c r="BD18" s="100">
        <f t="shared" ref="BD18:BD19" si="274">+SUM(GD18:GG18)/COUNT(GD18:GG18)</f>
        <v>1396</v>
      </c>
      <c r="BE18" s="100">
        <f>+SUM(GH18:GL18)/COUNT(GH18:GL18)</f>
        <v>1416</v>
      </c>
      <c r="BF18" s="100">
        <f>+SUM(GM18:GP18)/COUNT(GM18:GP18)</f>
        <v>1437</v>
      </c>
      <c r="BG18" s="100">
        <f t="shared" ref="BG18:BG19" si="275">+SUM(GQ18:GT18)/COUNT(GQ18:GT18)</f>
        <v>1437</v>
      </c>
      <c r="BH18" s="100">
        <f>+SUM(GU18:GY18)/COUNT(GU18:GY18)</f>
        <v>1435.2</v>
      </c>
      <c r="BI18" s="100">
        <f t="shared" ref="BI18:BI19" si="276">+SUM(GY18:HC18)/COUNT(GY18:HC18)</f>
        <v>1434</v>
      </c>
      <c r="BJ18" s="100">
        <f>+SUM(HD18:HG18)/COUNT(HD18:HG18)</f>
        <v>1424.25</v>
      </c>
      <c r="BK18" s="100">
        <f>+SUM(HH18:HK18)/COUNT(HH18:HK18)</f>
        <v>1414.5</v>
      </c>
      <c r="BL18" s="100">
        <f>+SUM(HL18:HO18)/COUNT(HL18:HO18)</f>
        <v>1405.5</v>
      </c>
      <c r="BM18" s="100">
        <f>+SUM(HP18:HS18)/COUNT(HP18:HS18)</f>
        <v>1398</v>
      </c>
      <c r="BN18" s="100">
        <f>+SUM(HT18:HX18)/COUNT(HT18:HX18)</f>
        <v>1398</v>
      </c>
      <c r="BO18" s="100">
        <f>+SUM(HY18:IB18)/COUNT(HY18:IB18)</f>
        <v>1398</v>
      </c>
      <c r="BP18" s="100">
        <f>+SUM(IC18:IG18)/COUNT(IC18:IG18)</f>
        <v>1398</v>
      </c>
      <c r="BQ18" s="100">
        <f>+SUM(IH18:IK18)/COUNT(IH18:IK18)</f>
        <v>1279</v>
      </c>
      <c r="BR18" s="100">
        <f>+SUM(IL18:IO18)/COUNT(IL18:IO18)</f>
        <v>1160</v>
      </c>
      <c r="BS18" s="100">
        <f>+SUM(IP18:IT18)/COUNT(IP18:IT18)</f>
        <v>1160</v>
      </c>
      <c r="BT18" s="100">
        <f>+SUM(IU18:IX18)/COUNT(IU18:IX18)</f>
        <v>1160</v>
      </c>
      <c r="BU18" s="100">
        <f>+SUM(IY18:JB18)/COUNT(IY18:JB18)</f>
        <v>1170</v>
      </c>
      <c r="BV18" s="100">
        <f>+SUM(JC18:JG18)/COUNT(JC18:JG18)</f>
        <v>1158</v>
      </c>
      <c r="BW18" s="100">
        <v>1150</v>
      </c>
      <c r="BX18" s="100">
        <f t="shared" ref="BX18:BX19" si="277">+SUM(JL18:JO18)/COUNT(JL18:JO18)</f>
        <v>1170</v>
      </c>
      <c r="BY18" s="100"/>
      <c r="BZ18" s="61"/>
      <c r="CA18" s="54" t="s">
        <v>41</v>
      </c>
      <c r="CB18" s="55" t="s">
        <v>55</v>
      </c>
      <c r="CC18" s="97" t="s">
        <v>96</v>
      </c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>
        <f>DC19+100</f>
        <v>1624</v>
      </c>
      <c r="DD18" s="56">
        <f t="shared" ref="DD18:DX18" si="278">DD19+100</f>
        <v>1573</v>
      </c>
      <c r="DE18" s="56">
        <f t="shared" si="278"/>
        <v>1573</v>
      </c>
      <c r="DF18" s="56">
        <f t="shared" si="278"/>
        <v>1573</v>
      </c>
      <c r="DG18" s="56">
        <f t="shared" si="278"/>
        <v>1573</v>
      </c>
      <c r="DH18" s="56">
        <f t="shared" si="278"/>
        <v>1522</v>
      </c>
      <c r="DI18" s="56">
        <f t="shared" si="278"/>
        <v>1522</v>
      </c>
      <c r="DJ18" s="56">
        <f t="shared" si="278"/>
        <v>1522</v>
      </c>
      <c r="DK18" s="56">
        <f t="shared" si="278"/>
        <v>1522</v>
      </c>
      <c r="DL18" s="56">
        <f t="shared" si="278"/>
        <v>1522</v>
      </c>
      <c r="DM18" s="56">
        <f t="shared" si="278"/>
        <v>1522</v>
      </c>
      <c r="DN18" s="56">
        <f t="shared" si="278"/>
        <v>1522</v>
      </c>
      <c r="DO18" s="56">
        <f t="shared" si="278"/>
        <v>1522</v>
      </c>
      <c r="DP18" s="56">
        <f t="shared" si="278"/>
        <v>1522</v>
      </c>
      <c r="DQ18" s="56">
        <f t="shared" si="278"/>
        <v>1522</v>
      </c>
      <c r="DR18" s="56">
        <f t="shared" si="278"/>
        <v>1522</v>
      </c>
      <c r="DS18" s="56">
        <f t="shared" si="278"/>
        <v>1522</v>
      </c>
      <c r="DT18" s="56">
        <f t="shared" si="278"/>
        <v>1522</v>
      </c>
      <c r="DU18" s="56">
        <f t="shared" si="278"/>
        <v>1522</v>
      </c>
      <c r="DV18" s="56">
        <f t="shared" si="278"/>
        <v>1522</v>
      </c>
      <c r="DW18" s="56">
        <f t="shared" si="278"/>
        <v>1522</v>
      </c>
      <c r="DX18" s="56">
        <f t="shared" si="278"/>
        <v>1522</v>
      </c>
      <c r="DY18" s="56">
        <f>DY19+100</f>
        <v>1522</v>
      </c>
      <c r="DZ18" s="56">
        <f>DZ19+100</f>
        <v>1522</v>
      </c>
      <c r="EA18" s="56">
        <v>1496</v>
      </c>
      <c r="EB18" s="56">
        <v>1496</v>
      </c>
      <c r="EC18" s="56">
        <v>1496</v>
      </c>
      <c r="ED18" s="56">
        <v>1496</v>
      </c>
      <c r="EE18" s="56">
        <v>1496</v>
      </c>
      <c r="EF18" s="56">
        <v>1496</v>
      </c>
      <c r="EG18" s="56">
        <v>1496</v>
      </c>
      <c r="EH18" s="56">
        <v>1496</v>
      </c>
      <c r="EI18" s="56">
        <v>1496</v>
      </c>
      <c r="EJ18" s="56">
        <v>1496</v>
      </c>
      <c r="EK18" s="56">
        <v>1496</v>
      </c>
      <c r="EL18" s="56">
        <v>1496</v>
      </c>
      <c r="EM18" s="100">
        <v>1496</v>
      </c>
      <c r="EN18" s="100">
        <v>1496</v>
      </c>
      <c r="EO18" s="100">
        <v>1496</v>
      </c>
      <c r="EP18" s="100">
        <v>1496</v>
      </c>
      <c r="EQ18" s="100">
        <v>1496</v>
      </c>
      <c r="ER18" s="100">
        <v>1496</v>
      </c>
      <c r="ES18" s="100">
        <v>1496</v>
      </c>
      <c r="ET18" s="100">
        <v>1471</v>
      </c>
      <c r="EU18" s="100">
        <v>1471</v>
      </c>
      <c r="EV18" s="100">
        <v>1471</v>
      </c>
      <c r="EW18" s="100">
        <v>1471</v>
      </c>
      <c r="EX18" s="100">
        <v>1471</v>
      </c>
      <c r="EY18" s="100">
        <v>1471</v>
      </c>
      <c r="EZ18" s="100">
        <v>1471</v>
      </c>
      <c r="FA18" s="100">
        <v>1471</v>
      </c>
      <c r="FB18" s="100">
        <v>1458</v>
      </c>
      <c r="FC18" s="100">
        <v>1458</v>
      </c>
      <c r="FD18" s="100">
        <v>1458</v>
      </c>
      <c r="FE18" s="100">
        <v>1458</v>
      </c>
      <c r="FF18" s="100">
        <v>1422</v>
      </c>
      <c r="FG18" s="100">
        <v>1422</v>
      </c>
      <c r="FH18" s="100">
        <v>1422</v>
      </c>
      <c r="FI18" s="100">
        <v>1422</v>
      </c>
      <c r="FJ18" s="100">
        <v>1422</v>
      </c>
      <c r="FK18" s="100">
        <v>1396</v>
      </c>
      <c r="FL18" s="100">
        <v>1396</v>
      </c>
      <c r="FM18" s="100">
        <v>1396</v>
      </c>
      <c r="FN18" s="100">
        <v>1396</v>
      </c>
      <c r="FO18" s="100">
        <v>1396</v>
      </c>
      <c r="FP18" s="100">
        <v>1396</v>
      </c>
      <c r="FQ18" s="100">
        <v>1406</v>
      </c>
      <c r="FR18" s="100">
        <v>1406</v>
      </c>
      <c r="FS18" s="100">
        <v>1406</v>
      </c>
      <c r="FT18" s="100">
        <v>1406</v>
      </c>
      <c r="FU18" s="100">
        <v>1406</v>
      </c>
      <c r="FV18" s="100">
        <v>1406</v>
      </c>
      <c r="FW18" s="100">
        <v>1406</v>
      </c>
      <c r="FX18" s="100">
        <v>1406</v>
      </c>
      <c r="FY18" s="100">
        <v>1406</v>
      </c>
      <c r="FZ18" s="100">
        <v>1406</v>
      </c>
      <c r="GA18" s="100">
        <v>1396</v>
      </c>
      <c r="GB18" s="100">
        <v>1396</v>
      </c>
      <c r="GC18" s="100">
        <v>1396</v>
      </c>
      <c r="GD18" s="100">
        <v>1396</v>
      </c>
      <c r="GE18" s="100">
        <v>1396</v>
      </c>
      <c r="GF18" s="100">
        <v>1396</v>
      </c>
      <c r="GG18" s="100">
        <v>1396</v>
      </c>
      <c r="GH18" s="100">
        <v>1416</v>
      </c>
      <c r="GI18" s="100">
        <v>1416</v>
      </c>
      <c r="GJ18" s="100">
        <v>1416</v>
      </c>
      <c r="GK18" s="100">
        <v>1416</v>
      </c>
      <c r="GL18" s="100">
        <v>1416</v>
      </c>
      <c r="GM18" s="100">
        <v>1437</v>
      </c>
      <c r="GN18" s="100">
        <v>1437</v>
      </c>
      <c r="GO18" s="100">
        <v>1437</v>
      </c>
      <c r="GP18" s="100">
        <v>1437</v>
      </c>
      <c r="GQ18" s="100">
        <v>1437</v>
      </c>
      <c r="GR18" s="100">
        <v>1437</v>
      </c>
      <c r="GS18" s="100">
        <v>1437</v>
      </c>
      <c r="GT18" s="100">
        <v>1437</v>
      </c>
      <c r="GU18" s="100">
        <v>1437</v>
      </c>
      <c r="GV18" s="100">
        <v>1437</v>
      </c>
      <c r="GW18" s="100">
        <v>1434</v>
      </c>
      <c r="GX18" s="100">
        <v>1434</v>
      </c>
      <c r="GY18" s="100">
        <v>1434</v>
      </c>
      <c r="GZ18" s="100">
        <v>1434</v>
      </c>
      <c r="HA18" s="100">
        <v>1434</v>
      </c>
      <c r="HB18" s="100">
        <v>1434</v>
      </c>
      <c r="HC18" s="100">
        <v>1434</v>
      </c>
      <c r="HD18" s="100">
        <v>1434</v>
      </c>
      <c r="HE18" s="100">
        <v>1421</v>
      </c>
      <c r="HF18" s="100">
        <v>1421</v>
      </c>
      <c r="HG18" s="100">
        <v>1421</v>
      </c>
      <c r="HH18" s="100">
        <v>1421</v>
      </c>
      <c r="HI18" s="100">
        <v>1421</v>
      </c>
      <c r="HJ18" s="100">
        <v>1408</v>
      </c>
      <c r="HK18" s="100">
        <v>1408</v>
      </c>
      <c r="HL18" s="100">
        <v>1408</v>
      </c>
      <c r="HM18" s="100">
        <v>1408</v>
      </c>
      <c r="HN18" s="100">
        <v>1408</v>
      </c>
      <c r="HO18" s="100">
        <v>1398</v>
      </c>
      <c r="HP18" s="100">
        <v>1398</v>
      </c>
      <c r="HQ18" s="100">
        <v>1398</v>
      </c>
      <c r="HR18" s="100">
        <v>1398</v>
      </c>
      <c r="HS18" s="100">
        <v>1398</v>
      </c>
      <c r="HT18" s="100">
        <v>1398</v>
      </c>
      <c r="HU18" s="100">
        <v>1398</v>
      </c>
      <c r="HV18" s="100">
        <v>1398</v>
      </c>
      <c r="HW18" s="100">
        <v>1398</v>
      </c>
      <c r="HX18" s="100">
        <v>1398</v>
      </c>
      <c r="HY18" s="100">
        <v>1398</v>
      </c>
      <c r="HZ18" s="100">
        <v>1398</v>
      </c>
      <c r="IA18" s="100">
        <v>1398</v>
      </c>
      <c r="IB18" s="100">
        <v>1398</v>
      </c>
      <c r="IC18" s="100">
        <v>1398</v>
      </c>
      <c r="ID18" s="100">
        <v>1398</v>
      </c>
      <c r="IE18" s="100">
        <v>1398</v>
      </c>
      <c r="IF18" s="100">
        <v>1398</v>
      </c>
      <c r="IG18" s="100">
        <v>1398</v>
      </c>
      <c r="IH18" s="100">
        <v>1398</v>
      </c>
      <c r="II18" s="100">
        <v>1398</v>
      </c>
      <c r="IJ18" s="100">
        <v>1160</v>
      </c>
      <c r="IK18" s="100">
        <v>1160</v>
      </c>
      <c r="IL18" s="100">
        <v>1160</v>
      </c>
      <c r="IM18" s="100">
        <v>1160</v>
      </c>
      <c r="IN18" s="100">
        <v>1160</v>
      </c>
      <c r="IO18" s="56">
        <v>1160</v>
      </c>
      <c r="IP18" s="56">
        <v>1160</v>
      </c>
      <c r="IQ18" s="56">
        <v>1160</v>
      </c>
      <c r="IR18" s="56">
        <v>1160</v>
      </c>
      <c r="IS18" s="56">
        <v>1160</v>
      </c>
      <c r="IT18" s="56">
        <v>1160</v>
      </c>
      <c r="IU18" s="56">
        <v>1160</v>
      </c>
      <c r="IV18" s="56">
        <v>1160</v>
      </c>
      <c r="IW18" s="56">
        <v>1160</v>
      </c>
      <c r="IX18" s="56">
        <v>1160</v>
      </c>
      <c r="IY18" s="100">
        <v>1170</v>
      </c>
      <c r="IZ18" s="100">
        <v>1170</v>
      </c>
      <c r="JA18" s="100">
        <v>1170</v>
      </c>
      <c r="JB18" s="100">
        <v>1170</v>
      </c>
      <c r="JC18" s="100">
        <v>1170</v>
      </c>
      <c r="JD18" s="100">
        <v>1170</v>
      </c>
      <c r="JE18" s="100">
        <v>1150</v>
      </c>
      <c r="JF18" s="100">
        <v>1150</v>
      </c>
      <c r="JG18" s="100">
        <v>1150</v>
      </c>
      <c r="JH18" s="100">
        <v>1150</v>
      </c>
      <c r="JI18" s="100">
        <v>1150</v>
      </c>
      <c r="JJ18" s="100">
        <v>1150</v>
      </c>
      <c r="JK18" s="100">
        <v>1150</v>
      </c>
      <c r="JL18" s="100">
        <v>1170</v>
      </c>
      <c r="JM18" s="100">
        <v>1170</v>
      </c>
      <c r="JN18" s="100">
        <v>1170</v>
      </c>
      <c r="JO18" s="100">
        <v>1170</v>
      </c>
    </row>
    <row r="19" spans="1:275" s="65" customFormat="1" ht="14">
      <c r="A19" s="54"/>
      <c r="B19" s="55"/>
      <c r="C19" s="55"/>
      <c r="D19" s="54" t="s">
        <v>41</v>
      </c>
      <c r="E19" s="55" t="s">
        <v>55</v>
      </c>
      <c r="F19" s="55" t="s">
        <v>98</v>
      </c>
      <c r="G19" s="56" t="s">
        <v>24</v>
      </c>
      <c r="H19" s="97" t="s">
        <v>56</v>
      </c>
      <c r="I19" s="56">
        <f>I15-100</f>
        <v>1370</v>
      </c>
      <c r="J19" s="56">
        <f t="shared" ref="J19:T19" si="279">J15-100</f>
        <v>1380</v>
      </c>
      <c r="K19" s="56">
        <f t="shared" si="279"/>
        <v>1380</v>
      </c>
      <c r="L19" s="56">
        <f t="shared" si="279"/>
        <v>1495</v>
      </c>
      <c r="M19" s="56">
        <f t="shared" si="279"/>
        <v>1495</v>
      </c>
      <c r="N19" s="56">
        <f t="shared" si="279"/>
        <v>1495</v>
      </c>
      <c r="O19" s="56">
        <f t="shared" si="279"/>
        <v>1495</v>
      </c>
      <c r="P19" s="56">
        <f t="shared" si="279"/>
        <v>1495</v>
      </c>
      <c r="Q19" s="56">
        <f t="shared" si="279"/>
        <v>1495</v>
      </c>
      <c r="R19" s="56">
        <f t="shared" si="279"/>
        <v>1495</v>
      </c>
      <c r="S19" s="56">
        <f t="shared" si="279"/>
        <v>1495</v>
      </c>
      <c r="T19" s="56">
        <f t="shared" si="279"/>
        <v>1560</v>
      </c>
      <c r="U19" s="56">
        <f>U18-100</f>
        <v>1475</v>
      </c>
      <c r="V19" s="56">
        <f t="shared" ref="V19:AJ19" si="280">V18-100</f>
        <v>1475</v>
      </c>
      <c r="W19" s="56">
        <f t="shared" si="280"/>
        <v>1475</v>
      </c>
      <c r="X19" s="56">
        <f t="shared" si="280"/>
        <v>1475</v>
      </c>
      <c r="Y19" s="56">
        <f t="shared" si="280"/>
        <v>1460</v>
      </c>
      <c r="Z19" s="56">
        <f t="shared" si="280"/>
        <v>1555</v>
      </c>
      <c r="AA19" s="56">
        <f t="shared" si="280"/>
        <v>1555</v>
      </c>
      <c r="AB19" s="56">
        <f t="shared" si="280"/>
        <v>1555</v>
      </c>
      <c r="AC19" s="56">
        <f t="shared" si="280"/>
        <v>1545</v>
      </c>
      <c r="AD19" s="56">
        <f t="shared" si="280"/>
        <v>1545</v>
      </c>
      <c r="AE19" s="56">
        <f t="shared" si="280"/>
        <v>1555</v>
      </c>
      <c r="AF19" s="56">
        <f t="shared" si="280"/>
        <v>1524</v>
      </c>
      <c r="AG19" s="56">
        <f t="shared" si="280"/>
        <v>1524</v>
      </c>
      <c r="AH19" s="56">
        <f t="shared" si="280"/>
        <v>1524</v>
      </c>
      <c r="AI19" s="56">
        <f t="shared" si="280"/>
        <v>1524</v>
      </c>
      <c r="AJ19" s="56">
        <f t="shared" si="280"/>
        <v>1524</v>
      </c>
      <c r="AK19" s="56">
        <f>+SUM(DB19:DF19)/5</f>
        <v>1493.4</v>
      </c>
      <c r="AL19" s="56">
        <f>+SUM(DG19:DJ19)/4</f>
        <v>1434.75</v>
      </c>
      <c r="AM19" s="56">
        <f>+SUM(DK19:DN19)/4</f>
        <v>1422</v>
      </c>
      <c r="AN19" s="56">
        <f>+SUM(DO19:DR19)/COUNT(DO19:DR19)</f>
        <v>1422</v>
      </c>
      <c r="AO19" s="56">
        <f>+SUM(DS19:DV19)/COUNT(DS19:DV19)</f>
        <v>1422</v>
      </c>
      <c r="AP19" s="56">
        <f>+SUM(DW19:EA19)/COUNT(DW19:EA19)</f>
        <v>1416.8</v>
      </c>
      <c r="AQ19" s="56">
        <f>+SUM(EB19:EE19)/COUNT(EB19:EE19)</f>
        <v>1396</v>
      </c>
      <c r="AR19" s="56">
        <f>+SUM(EF19:EI19)/COUNT(EF19:EI19)</f>
        <v>1396</v>
      </c>
      <c r="AS19" s="56">
        <f>+SUM(EJ19:EN19)/COUNT(EJ19:EN19)</f>
        <v>1396</v>
      </c>
      <c r="AT19" s="56">
        <f>+SUM(EO19:ER19)/COUNT(EO19:ER19)</f>
        <v>1396</v>
      </c>
      <c r="AU19" s="56">
        <f>+SUM(ES19:EV19)/COUNT(ES19:EV19)</f>
        <v>1377.25</v>
      </c>
      <c r="AV19" s="100">
        <f t="shared" si="266"/>
        <v>1371</v>
      </c>
      <c r="AW19" s="100">
        <f t="shared" si="267"/>
        <v>1360.6</v>
      </c>
      <c r="AX19" s="100">
        <f t="shared" si="272"/>
        <v>1322</v>
      </c>
      <c r="AY19" s="100">
        <f t="shared" si="268"/>
        <v>1304.6666666666667</v>
      </c>
      <c r="AZ19" s="100">
        <f t="shared" si="269"/>
        <v>1296</v>
      </c>
      <c r="BA19" s="100">
        <f t="shared" si="270"/>
        <v>1306</v>
      </c>
      <c r="BB19" s="100">
        <f t="shared" si="271"/>
        <v>1306</v>
      </c>
      <c r="BC19" s="100">
        <f t="shared" si="273"/>
        <v>1298.5</v>
      </c>
      <c r="BD19" s="100">
        <f t="shared" si="274"/>
        <v>1296</v>
      </c>
      <c r="BE19" s="100">
        <f t="shared" ref="BE19:BE20" si="281">+SUM(GH19:GL19)/COUNT(GH19:GL19)</f>
        <v>1316</v>
      </c>
      <c r="BF19" s="100">
        <f t="shared" ref="BF19:BF20" si="282">+SUM(GM19:GP19)/COUNT(GM19:GP19)</f>
        <v>1337</v>
      </c>
      <c r="BG19" s="100">
        <f t="shared" si="275"/>
        <v>1337</v>
      </c>
      <c r="BH19" s="100">
        <f t="shared" ref="BH19:BH20" si="283">+SUM(GU19:GY19)/COUNT(GU19:GY19)</f>
        <v>1335.2</v>
      </c>
      <c r="BI19" s="100">
        <f t="shared" si="276"/>
        <v>1334</v>
      </c>
      <c r="BJ19" s="100">
        <f t="shared" ref="BJ19:BJ20" si="284">+SUM(HD19:HG19)/COUNT(HD19:HG19)</f>
        <v>1324.25</v>
      </c>
      <c r="BK19" s="100">
        <f t="shared" ref="BK19:BK20" si="285">+SUM(HH19:HK19)/COUNT(HH19:HK19)</f>
        <v>1314.5</v>
      </c>
      <c r="BL19" s="100">
        <f t="shared" ref="BL19:BL20" si="286">+SUM(HL19:HO19)/COUNT(HL19:HO19)</f>
        <v>1305.5</v>
      </c>
      <c r="BM19" s="100">
        <f t="shared" ref="BM19:BM20" si="287">+SUM(HP19:HS19)/COUNT(HP19:HS19)</f>
        <v>1298</v>
      </c>
      <c r="BN19" s="100">
        <f t="shared" ref="BN19:BN20" si="288">+SUM(HT19:HX19)/COUNT(HT19:HX19)</f>
        <v>1298</v>
      </c>
      <c r="BO19" s="100">
        <f t="shared" ref="BO19:BO20" si="289">+SUM(HY19:IB19)/COUNT(HY19:IB19)</f>
        <v>1298</v>
      </c>
      <c r="BP19" s="100">
        <f t="shared" ref="BP19:BP20" si="290">+SUM(IC19:IG19)/COUNT(IC19:IG19)</f>
        <v>1298</v>
      </c>
      <c r="BQ19" s="100">
        <f t="shared" ref="BQ19:BQ20" si="291">+SUM(IH19:IK19)/COUNT(IH19:IK19)</f>
        <v>1179</v>
      </c>
      <c r="BR19" s="100">
        <f t="shared" ref="BR19:BR20" si="292">+SUM(IL19:IO19)/COUNT(IL19:IO19)</f>
        <v>1060</v>
      </c>
      <c r="BS19" s="100">
        <f t="shared" ref="BS19:BS20" si="293">+SUM(IP19:IT19)/COUNT(IP19:IT19)</f>
        <v>1060</v>
      </c>
      <c r="BT19" s="100">
        <f t="shared" ref="BT19:BT20" si="294">+SUM(IU19:IX19)/COUNT(IU19:IX19)</f>
        <v>1060</v>
      </c>
      <c r="BU19" s="100">
        <f t="shared" ref="BU19:BU20" si="295">+SUM(IY19:JB19)/COUNT(IY19:JB19)</f>
        <v>1070</v>
      </c>
      <c r="BV19" s="100">
        <f t="shared" ref="BV19:BV20" si="296">+SUM(JC19:JG19)/COUNT(JC19:JG19)</f>
        <v>1058</v>
      </c>
      <c r="BW19" s="100">
        <v>1050</v>
      </c>
      <c r="BX19" s="100">
        <f t="shared" si="277"/>
        <v>1070</v>
      </c>
      <c r="BY19" s="100"/>
      <c r="BZ19" s="153"/>
      <c r="CA19" s="54" t="s">
        <v>41</v>
      </c>
      <c r="CB19" s="55" t="s">
        <v>55</v>
      </c>
      <c r="CC19" s="55" t="s">
        <v>98</v>
      </c>
      <c r="CD19" s="56">
        <v>1655</v>
      </c>
      <c r="CE19" s="56">
        <v>1655</v>
      </c>
      <c r="CF19" s="56">
        <v>1655</v>
      </c>
      <c r="CG19" s="56">
        <v>1655</v>
      </c>
      <c r="CH19" s="56">
        <v>1655</v>
      </c>
      <c r="CI19" s="56">
        <v>1655</v>
      </c>
      <c r="CJ19" s="56">
        <v>1655</v>
      </c>
      <c r="CK19" s="56">
        <v>1655</v>
      </c>
      <c r="CL19" s="56">
        <v>1645</v>
      </c>
      <c r="CM19" s="56">
        <v>1645</v>
      </c>
      <c r="CN19" s="56">
        <v>1645</v>
      </c>
      <c r="CO19" s="56">
        <v>1645</v>
      </c>
      <c r="CP19" s="56">
        <v>1655</v>
      </c>
      <c r="CQ19" s="56">
        <v>1655</v>
      </c>
      <c r="CR19" s="56">
        <v>1655</v>
      </c>
      <c r="CS19" s="56">
        <v>1655</v>
      </c>
      <c r="CT19" s="56">
        <v>1624</v>
      </c>
      <c r="CU19" s="56">
        <v>1624</v>
      </c>
      <c r="CV19" s="56">
        <v>1624</v>
      </c>
      <c r="CW19" s="56">
        <v>1624</v>
      </c>
      <c r="CX19" s="56">
        <v>1624</v>
      </c>
      <c r="CY19" s="56">
        <f>1624-100</f>
        <v>1524</v>
      </c>
      <c r="CZ19" s="56">
        <f>1624-100</f>
        <v>1524</v>
      </c>
      <c r="DA19" s="56">
        <f>1624-100</f>
        <v>1524</v>
      </c>
      <c r="DB19" s="56">
        <f>1624-100</f>
        <v>1524</v>
      </c>
      <c r="DC19" s="56">
        <f>1624-100</f>
        <v>1524</v>
      </c>
      <c r="DD19" s="56">
        <f>1573-100</f>
        <v>1473</v>
      </c>
      <c r="DE19" s="56">
        <f>1573-100</f>
        <v>1473</v>
      </c>
      <c r="DF19" s="56">
        <f>1573-100</f>
        <v>1473</v>
      </c>
      <c r="DG19" s="56">
        <f>1573-100</f>
        <v>1473</v>
      </c>
      <c r="DH19" s="56">
        <f t="shared" ref="DH19:DX19" si="297">1522-100</f>
        <v>1422</v>
      </c>
      <c r="DI19" s="56">
        <f t="shared" si="297"/>
        <v>1422</v>
      </c>
      <c r="DJ19" s="56">
        <f t="shared" si="297"/>
        <v>1422</v>
      </c>
      <c r="DK19" s="56">
        <f t="shared" si="297"/>
        <v>1422</v>
      </c>
      <c r="DL19" s="56">
        <f t="shared" si="297"/>
        <v>1422</v>
      </c>
      <c r="DM19" s="56">
        <f t="shared" si="297"/>
        <v>1422</v>
      </c>
      <c r="DN19" s="56">
        <f t="shared" si="297"/>
        <v>1422</v>
      </c>
      <c r="DO19" s="56">
        <f t="shared" si="297"/>
        <v>1422</v>
      </c>
      <c r="DP19" s="56">
        <f t="shared" si="297"/>
        <v>1422</v>
      </c>
      <c r="DQ19" s="56">
        <f t="shared" si="297"/>
        <v>1422</v>
      </c>
      <c r="DR19" s="56">
        <f t="shared" si="297"/>
        <v>1422</v>
      </c>
      <c r="DS19" s="56">
        <f t="shared" si="297"/>
        <v>1422</v>
      </c>
      <c r="DT19" s="56">
        <f t="shared" si="297"/>
        <v>1422</v>
      </c>
      <c r="DU19" s="56">
        <f t="shared" si="297"/>
        <v>1422</v>
      </c>
      <c r="DV19" s="56">
        <f t="shared" si="297"/>
        <v>1422</v>
      </c>
      <c r="DW19" s="56">
        <f t="shared" si="297"/>
        <v>1422</v>
      </c>
      <c r="DX19" s="56">
        <f t="shared" si="297"/>
        <v>1422</v>
      </c>
      <c r="DY19" s="56">
        <f>1522-100</f>
        <v>1422</v>
      </c>
      <c r="DZ19" s="56">
        <f>1522-100</f>
        <v>1422</v>
      </c>
      <c r="EA19" s="56">
        <v>1396</v>
      </c>
      <c r="EB19" s="56">
        <v>1396</v>
      </c>
      <c r="EC19" s="56">
        <v>1396</v>
      </c>
      <c r="ED19" s="56">
        <v>1396</v>
      </c>
      <c r="EE19" s="56">
        <f t="shared" ref="EE19:EJ19" si="298">EE18-100</f>
        <v>1396</v>
      </c>
      <c r="EF19" s="56">
        <f t="shared" si="298"/>
        <v>1396</v>
      </c>
      <c r="EG19" s="56">
        <f t="shared" si="298"/>
        <v>1396</v>
      </c>
      <c r="EH19" s="56">
        <f t="shared" si="298"/>
        <v>1396</v>
      </c>
      <c r="EI19" s="56">
        <f t="shared" si="298"/>
        <v>1396</v>
      </c>
      <c r="EJ19" s="56">
        <f t="shared" si="298"/>
        <v>1396</v>
      </c>
      <c r="EK19" s="56">
        <f>EK18-100</f>
        <v>1396</v>
      </c>
      <c r="EL19" s="56">
        <f>EL18-100</f>
        <v>1396</v>
      </c>
      <c r="EM19" s="100">
        <f t="shared" ref="EM19:ER19" si="299">EM18-100</f>
        <v>1396</v>
      </c>
      <c r="EN19" s="100">
        <f t="shared" si="299"/>
        <v>1396</v>
      </c>
      <c r="EO19" s="100">
        <f t="shared" si="299"/>
        <v>1396</v>
      </c>
      <c r="EP19" s="100">
        <f t="shared" si="299"/>
        <v>1396</v>
      </c>
      <c r="EQ19" s="100">
        <f t="shared" si="299"/>
        <v>1396</v>
      </c>
      <c r="ER19" s="100">
        <f t="shared" si="299"/>
        <v>1396</v>
      </c>
      <c r="ES19" s="100">
        <f t="shared" ref="ES19:EY19" si="300">ES18-100</f>
        <v>1396</v>
      </c>
      <c r="ET19" s="100">
        <f t="shared" si="300"/>
        <v>1371</v>
      </c>
      <c r="EU19" s="100">
        <f t="shared" si="300"/>
        <v>1371</v>
      </c>
      <c r="EV19" s="100">
        <f t="shared" si="300"/>
        <v>1371</v>
      </c>
      <c r="EW19" s="100">
        <f t="shared" si="300"/>
        <v>1371</v>
      </c>
      <c r="EX19" s="100">
        <f t="shared" si="300"/>
        <v>1371</v>
      </c>
      <c r="EY19" s="100">
        <f t="shared" si="300"/>
        <v>1371</v>
      </c>
      <c r="EZ19" s="100">
        <f t="shared" ref="EZ19:FA19" si="301">EZ18-100</f>
        <v>1371</v>
      </c>
      <c r="FA19" s="100">
        <f t="shared" si="301"/>
        <v>1371</v>
      </c>
      <c r="FB19" s="100">
        <f t="shared" ref="FB19:FC19" si="302">FB18-100</f>
        <v>1358</v>
      </c>
      <c r="FC19" s="100">
        <f t="shared" si="302"/>
        <v>1358</v>
      </c>
      <c r="FD19" s="100">
        <f t="shared" ref="FD19:FE19" si="303">FD18-100</f>
        <v>1358</v>
      </c>
      <c r="FE19" s="100">
        <f t="shared" si="303"/>
        <v>1358</v>
      </c>
      <c r="FF19" s="100">
        <f t="shared" ref="FF19:FG19" si="304">FF18-100</f>
        <v>1322</v>
      </c>
      <c r="FG19" s="100">
        <f t="shared" si="304"/>
        <v>1322</v>
      </c>
      <c r="FH19" s="100">
        <f t="shared" ref="FH19:FI19" si="305">FH18-100</f>
        <v>1322</v>
      </c>
      <c r="FI19" s="100">
        <f t="shared" si="305"/>
        <v>1322</v>
      </c>
      <c r="FJ19" s="100">
        <f t="shared" ref="FJ19:FK19" si="306">FJ18-100</f>
        <v>1322</v>
      </c>
      <c r="FK19" s="100">
        <f t="shared" si="306"/>
        <v>1296</v>
      </c>
      <c r="FL19" s="100">
        <f t="shared" ref="FL19:FM19" si="307">FL18-100</f>
        <v>1296</v>
      </c>
      <c r="FM19" s="100">
        <f t="shared" si="307"/>
        <v>1296</v>
      </c>
      <c r="FN19" s="100">
        <f t="shared" ref="FN19:FO19" si="308">FN18-100</f>
        <v>1296</v>
      </c>
      <c r="FO19" s="100">
        <f t="shared" si="308"/>
        <v>1296</v>
      </c>
      <c r="FP19" s="100">
        <f t="shared" ref="FP19:FQ19" si="309">FP18-100</f>
        <v>1296</v>
      </c>
      <c r="FQ19" s="100">
        <f t="shared" si="309"/>
        <v>1306</v>
      </c>
      <c r="FR19" s="100">
        <f t="shared" ref="FR19:FT19" si="310">FR18-100</f>
        <v>1306</v>
      </c>
      <c r="FS19" s="100">
        <f t="shared" si="310"/>
        <v>1306</v>
      </c>
      <c r="FT19" s="100">
        <f t="shared" si="310"/>
        <v>1306</v>
      </c>
      <c r="FU19" s="100">
        <f t="shared" ref="FU19:FV19" si="311">FU18-100</f>
        <v>1306</v>
      </c>
      <c r="FV19" s="100">
        <f t="shared" si="311"/>
        <v>1306</v>
      </c>
      <c r="FW19" s="100">
        <f t="shared" ref="FW19:FX19" si="312">FW18-100</f>
        <v>1306</v>
      </c>
      <c r="FX19" s="100">
        <f t="shared" si="312"/>
        <v>1306</v>
      </c>
      <c r="FY19" s="100">
        <f t="shared" ref="FY19:FZ19" si="313">FY18-100</f>
        <v>1306</v>
      </c>
      <c r="FZ19" s="100">
        <f t="shared" si="313"/>
        <v>1306</v>
      </c>
      <c r="GA19" s="100">
        <f t="shared" ref="GA19:GB19" si="314">GA18-100</f>
        <v>1296</v>
      </c>
      <c r="GB19" s="100">
        <f t="shared" si="314"/>
        <v>1296</v>
      </c>
      <c r="GC19" s="100">
        <f t="shared" ref="GC19:GF19" si="315">GC18-100</f>
        <v>1296</v>
      </c>
      <c r="GD19" s="100">
        <f t="shared" si="315"/>
        <v>1296</v>
      </c>
      <c r="GE19" s="100">
        <f t="shared" si="315"/>
        <v>1296</v>
      </c>
      <c r="GF19" s="100">
        <f t="shared" si="315"/>
        <v>1296</v>
      </c>
      <c r="GG19" s="100">
        <f t="shared" ref="GG19:GH19" si="316">GG18-100</f>
        <v>1296</v>
      </c>
      <c r="GH19" s="100">
        <f t="shared" si="316"/>
        <v>1316</v>
      </c>
      <c r="GI19" s="100">
        <f t="shared" ref="GI19:GJ19" si="317">GI18-100</f>
        <v>1316</v>
      </c>
      <c r="GJ19" s="100">
        <f t="shared" si="317"/>
        <v>1316</v>
      </c>
      <c r="GK19" s="100">
        <f t="shared" ref="GK19:GL19" si="318">GK18-100</f>
        <v>1316</v>
      </c>
      <c r="GL19" s="100">
        <f t="shared" si="318"/>
        <v>1316</v>
      </c>
      <c r="GM19" s="100">
        <f t="shared" ref="GM19:GN19" si="319">GM18-100</f>
        <v>1337</v>
      </c>
      <c r="GN19" s="100">
        <f t="shared" si="319"/>
        <v>1337</v>
      </c>
      <c r="GO19" s="100">
        <f t="shared" ref="GO19:GP19" si="320">GO18-100</f>
        <v>1337</v>
      </c>
      <c r="GP19" s="100">
        <f t="shared" si="320"/>
        <v>1337</v>
      </c>
      <c r="GQ19" s="100">
        <f t="shared" ref="GQ19:GR19" si="321">GQ18-100</f>
        <v>1337</v>
      </c>
      <c r="GR19" s="100">
        <f t="shared" si="321"/>
        <v>1337</v>
      </c>
      <c r="GS19" s="100">
        <f t="shared" ref="GS19:GT19" si="322">GS18-100</f>
        <v>1337</v>
      </c>
      <c r="GT19" s="100">
        <f t="shared" si="322"/>
        <v>1337</v>
      </c>
      <c r="GU19" s="100">
        <f t="shared" ref="GU19:GY19" si="323">GU18-100</f>
        <v>1337</v>
      </c>
      <c r="GV19" s="100">
        <f t="shared" si="323"/>
        <v>1337</v>
      </c>
      <c r="GW19" s="100">
        <f t="shared" si="323"/>
        <v>1334</v>
      </c>
      <c r="GX19" s="100">
        <f t="shared" si="323"/>
        <v>1334</v>
      </c>
      <c r="GY19" s="100">
        <f t="shared" si="323"/>
        <v>1334</v>
      </c>
      <c r="GZ19" s="100">
        <f t="shared" ref="GZ19:HC19" si="324">GZ18-100</f>
        <v>1334</v>
      </c>
      <c r="HA19" s="100">
        <f t="shared" si="324"/>
        <v>1334</v>
      </c>
      <c r="HB19" s="100">
        <f t="shared" si="324"/>
        <v>1334</v>
      </c>
      <c r="HC19" s="100">
        <f t="shared" si="324"/>
        <v>1334</v>
      </c>
      <c r="HD19" s="100">
        <f t="shared" ref="HD19:HE19" si="325">HD18-100</f>
        <v>1334</v>
      </c>
      <c r="HE19" s="100">
        <f t="shared" si="325"/>
        <v>1321</v>
      </c>
      <c r="HF19" s="100">
        <f t="shared" ref="HF19:HG19" si="326">HF18-100</f>
        <v>1321</v>
      </c>
      <c r="HG19" s="100">
        <f t="shared" si="326"/>
        <v>1321</v>
      </c>
      <c r="HH19" s="100">
        <f t="shared" ref="HH19:HI19" si="327">HH18-100</f>
        <v>1321</v>
      </c>
      <c r="HI19" s="100">
        <f t="shared" si="327"/>
        <v>1321</v>
      </c>
      <c r="HJ19" s="100">
        <f t="shared" ref="HJ19:HK19" si="328">HJ18-100</f>
        <v>1308</v>
      </c>
      <c r="HK19" s="100">
        <f t="shared" si="328"/>
        <v>1308</v>
      </c>
      <c r="HL19" s="100">
        <f t="shared" ref="HL19:HM19" si="329">HL18-100</f>
        <v>1308</v>
      </c>
      <c r="HM19" s="100">
        <f t="shared" si="329"/>
        <v>1308</v>
      </c>
      <c r="HN19" s="100">
        <f t="shared" ref="HN19:HO19" si="330">HN18-100</f>
        <v>1308</v>
      </c>
      <c r="HO19" s="100">
        <f t="shared" si="330"/>
        <v>1298</v>
      </c>
      <c r="HP19" s="100">
        <f t="shared" ref="HP19:HQ19" si="331">HP18-100</f>
        <v>1298</v>
      </c>
      <c r="HQ19" s="100">
        <f t="shared" si="331"/>
        <v>1298</v>
      </c>
      <c r="HR19" s="100">
        <f t="shared" ref="HR19:HT19" si="332">HR18-100</f>
        <v>1298</v>
      </c>
      <c r="HS19" s="100">
        <f t="shared" si="332"/>
        <v>1298</v>
      </c>
      <c r="HT19" s="100">
        <f t="shared" si="332"/>
        <v>1298</v>
      </c>
      <c r="HU19" s="100">
        <f t="shared" ref="HU19:HV19" si="333">HU18-100</f>
        <v>1298</v>
      </c>
      <c r="HV19" s="100">
        <f t="shared" si="333"/>
        <v>1298</v>
      </c>
      <c r="HW19" s="100">
        <f t="shared" ref="HW19:HX19" si="334">HW18-100</f>
        <v>1298</v>
      </c>
      <c r="HX19" s="100">
        <f t="shared" si="334"/>
        <v>1298</v>
      </c>
      <c r="HY19" s="100">
        <f t="shared" ref="HY19:HZ19" si="335">HY18-100</f>
        <v>1298</v>
      </c>
      <c r="HZ19" s="100">
        <f t="shared" si="335"/>
        <v>1298</v>
      </c>
      <c r="IA19" s="100">
        <f t="shared" ref="IA19:IB19" si="336">IA18-100</f>
        <v>1298</v>
      </c>
      <c r="IB19" s="100">
        <f t="shared" si="336"/>
        <v>1298</v>
      </c>
      <c r="IC19" s="100">
        <f t="shared" ref="IC19:ID19" si="337">IC18-100</f>
        <v>1298</v>
      </c>
      <c r="ID19" s="100">
        <f t="shared" si="337"/>
        <v>1298</v>
      </c>
      <c r="IE19" s="100">
        <f t="shared" ref="IE19:IF19" si="338">IE18-100</f>
        <v>1298</v>
      </c>
      <c r="IF19" s="100">
        <f t="shared" si="338"/>
        <v>1298</v>
      </c>
      <c r="IG19" s="100">
        <f t="shared" ref="IG19" si="339">IG18-100</f>
        <v>1298</v>
      </c>
      <c r="IH19" s="100">
        <f t="shared" ref="IH19:IK19" si="340">IH18-100</f>
        <v>1298</v>
      </c>
      <c r="II19" s="100">
        <f t="shared" si="340"/>
        <v>1298</v>
      </c>
      <c r="IJ19" s="100">
        <f t="shared" si="340"/>
        <v>1060</v>
      </c>
      <c r="IK19" s="100">
        <f t="shared" si="340"/>
        <v>1060</v>
      </c>
      <c r="IL19" s="100">
        <f t="shared" ref="IL19:IM19" si="341">IL18-100</f>
        <v>1060</v>
      </c>
      <c r="IM19" s="100">
        <f t="shared" si="341"/>
        <v>1060</v>
      </c>
      <c r="IN19" s="100">
        <f t="shared" ref="IN19" si="342">IN18-100</f>
        <v>1060</v>
      </c>
      <c r="IO19" s="56">
        <f t="shared" ref="IO19:IP19" si="343">IO18-100</f>
        <v>1060</v>
      </c>
      <c r="IP19" s="56">
        <f t="shared" si="343"/>
        <v>1060</v>
      </c>
      <c r="IQ19" s="56">
        <f t="shared" ref="IQ19:IR19" si="344">IQ18-100</f>
        <v>1060</v>
      </c>
      <c r="IR19" s="56">
        <f t="shared" si="344"/>
        <v>1060</v>
      </c>
      <c r="IS19" s="56">
        <f t="shared" ref="IS19:IT19" si="345">IS18-100</f>
        <v>1060</v>
      </c>
      <c r="IT19" s="56">
        <f t="shared" si="345"/>
        <v>1060</v>
      </c>
      <c r="IU19" s="56">
        <f t="shared" ref="IU19:IV19" si="346">IU18-100</f>
        <v>1060</v>
      </c>
      <c r="IV19" s="56">
        <f t="shared" si="346"/>
        <v>1060</v>
      </c>
      <c r="IW19" s="56">
        <f t="shared" ref="IW19:IY19" si="347">IW18-100</f>
        <v>1060</v>
      </c>
      <c r="IX19" s="56">
        <f t="shared" si="347"/>
        <v>1060</v>
      </c>
      <c r="IY19" s="56">
        <f t="shared" si="347"/>
        <v>1070</v>
      </c>
      <c r="IZ19" s="56">
        <f t="shared" ref="IZ19:JA19" si="348">IZ18-100</f>
        <v>1070</v>
      </c>
      <c r="JA19" s="56">
        <f t="shared" si="348"/>
        <v>1070</v>
      </c>
      <c r="JB19" s="56">
        <f t="shared" ref="JB19" si="349">JB18-100</f>
        <v>1070</v>
      </c>
      <c r="JC19" s="56">
        <f t="shared" ref="JC19:JE19" si="350">JC18-100</f>
        <v>1070</v>
      </c>
      <c r="JD19" s="56">
        <f t="shared" si="350"/>
        <v>1070</v>
      </c>
      <c r="JE19" s="56">
        <f t="shared" si="350"/>
        <v>1050</v>
      </c>
      <c r="JF19" s="56">
        <f t="shared" ref="JF19:JK19" si="351">JF18-100</f>
        <v>1050</v>
      </c>
      <c r="JG19" s="56">
        <f t="shared" si="351"/>
        <v>1050</v>
      </c>
      <c r="JH19" s="56">
        <f t="shared" si="351"/>
        <v>1050</v>
      </c>
      <c r="JI19" s="56">
        <f t="shared" si="351"/>
        <v>1050</v>
      </c>
      <c r="JJ19" s="56">
        <f t="shared" si="351"/>
        <v>1050</v>
      </c>
      <c r="JK19" s="56">
        <f t="shared" si="351"/>
        <v>1050</v>
      </c>
      <c r="JL19" s="56">
        <f t="shared" ref="JL19:JM19" si="352">JL18-100</f>
        <v>1070</v>
      </c>
      <c r="JM19" s="56">
        <f t="shared" si="352"/>
        <v>1070</v>
      </c>
      <c r="JN19" s="56">
        <f t="shared" ref="JN19:JO19" si="353">JN18-100</f>
        <v>1070</v>
      </c>
      <c r="JO19" s="56">
        <f t="shared" si="353"/>
        <v>1070</v>
      </c>
    </row>
    <row r="20" spans="1:275" s="65" customFormat="1" ht="14">
      <c r="D20" s="54" t="s">
        <v>41</v>
      </c>
      <c r="F20" s="55" t="s">
        <v>130</v>
      </c>
      <c r="G20" s="56" t="s">
        <v>24</v>
      </c>
      <c r="H20" s="97" t="s">
        <v>130</v>
      </c>
      <c r="S20" s="56">
        <v>1260</v>
      </c>
      <c r="T20" s="56">
        <v>1260</v>
      </c>
      <c r="U20" s="56">
        <v>1185</v>
      </c>
      <c r="V20" s="56">
        <v>1297.5</v>
      </c>
      <c r="W20" s="56">
        <v>1386</v>
      </c>
      <c r="X20" s="56">
        <v>1390</v>
      </c>
      <c r="Y20" s="56">
        <v>1320</v>
      </c>
      <c r="Z20" s="56">
        <v>1327</v>
      </c>
      <c r="AA20" s="56">
        <v>1248</v>
      </c>
      <c r="AB20" s="56">
        <v>1230</v>
      </c>
      <c r="AC20" s="56">
        <v>1130</v>
      </c>
      <c r="AD20" s="56">
        <v>1130</v>
      </c>
      <c r="AE20" s="56">
        <v>1105</v>
      </c>
      <c r="AF20" s="56">
        <v>1105</v>
      </c>
      <c r="AG20" s="56">
        <v>1105</v>
      </c>
      <c r="AH20" s="56">
        <v>1105</v>
      </c>
      <c r="AI20" s="56">
        <v>1065</v>
      </c>
      <c r="AJ20" s="56">
        <v>1065</v>
      </c>
      <c r="AK20" s="56">
        <f>+SUM(DB20:DF20)/5</f>
        <v>1002</v>
      </c>
      <c r="AL20" s="56">
        <f>+SUM(DG20:DJ20)/4</f>
        <v>1017.5</v>
      </c>
      <c r="AM20" s="56">
        <f>+SUM(DK20:DN20)/4</f>
        <v>1092.5</v>
      </c>
      <c r="AN20" s="56">
        <f>+SUM(DO20:DR20)/COUNT(DO20:DR20)</f>
        <v>1072.5</v>
      </c>
      <c r="AO20" s="56">
        <f>+SUM(DS20:DV20)/COUNT(DS20:DV20)</f>
        <v>1050</v>
      </c>
      <c r="AP20" s="56">
        <f>+SUM(DW20:EA20)/COUNT(DW20:EA20)</f>
        <v>1044</v>
      </c>
      <c r="AQ20" s="56">
        <f>+SUM(EB20:EE20)/COUNT(EB20:EE20)</f>
        <v>970</v>
      </c>
      <c r="AR20" s="56">
        <f>+SUM(EF20:EI20)/COUNT(EF20:EI20)</f>
        <v>960</v>
      </c>
      <c r="AS20" s="56">
        <f>+SUM(EJ20:EN20)/COUNT(EJ20:EN20)</f>
        <v>1008</v>
      </c>
      <c r="AT20" s="56">
        <f>+SUM(EO20:ER20)/COUNT(EO20:ER20)</f>
        <v>1027.5</v>
      </c>
      <c r="AU20" s="56">
        <f>+SUM(ES20:EV20)/COUNT(ES20:EV20)</f>
        <v>1020</v>
      </c>
      <c r="AV20" s="100">
        <f t="shared" si="266"/>
        <v>955</v>
      </c>
      <c r="AW20" s="100">
        <f t="shared" si="267"/>
        <v>928</v>
      </c>
      <c r="AX20" s="100">
        <f t="shared" si="272"/>
        <v>940</v>
      </c>
      <c r="AY20" s="100">
        <f t="shared" si="268"/>
        <v>993.33333333333337</v>
      </c>
      <c r="AZ20" s="100">
        <f t="shared" si="269"/>
        <v>985</v>
      </c>
      <c r="BA20" s="100">
        <f t="shared" si="270"/>
        <v>962.5</v>
      </c>
      <c r="BB20" s="100">
        <f t="shared" si="271"/>
        <v>982</v>
      </c>
      <c r="BC20" s="100">
        <f>+SUM(FZ20:GC20)/COUNT(FZ20:GC20)</f>
        <v>1000</v>
      </c>
      <c r="BD20" s="100">
        <f>+SUM(GD20:GG20)/COUNT(GD20:GG20)</f>
        <v>1000</v>
      </c>
      <c r="BE20" s="100">
        <f t="shared" si="281"/>
        <v>984</v>
      </c>
      <c r="BF20" s="100">
        <f t="shared" si="282"/>
        <v>967.5</v>
      </c>
      <c r="BG20" s="100">
        <f>+SUM(GQ20:GT20)/COUNT(GQ20:GT20)</f>
        <v>965</v>
      </c>
      <c r="BH20" s="100">
        <f t="shared" si="283"/>
        <v>974</v>
      </c>
      <c r="BI20" s="100">
        <f>+SUM(GY20:HC20)/COUNT(GY20:HC20)</f>
        <v>956</v>
      </c>
      <c r="BJ20" s="100">
        <f t="shared" si="284"/>
        <v>940</v>
      </c>
      <c r="BK20" s="100">
        <f t="shared" si="285"/>
        <v>918</v>
      </c>
      <c r="BL20" s="100">
        <f t="shared" si="286"/>
        <v>896</v>
      </c>
      <c r="BM20" s="100">
        <f t="shared" si="287"/>
        <v>891.5</v>
      </c>
      <c r="BN20" s="100">
        <f t="shared" si="288"/>
        <v>864</v>
      </c>
      <c r="BO20" s="100">
        <f t="shared" si="289"/>
        <v>833</v>
      </c>
      <c r="BP20" s="100">
        <f t="shared" si="290"/>
        <v>833</v>
      </c>
      <c r="BQ20" s="100">
        <f t="shared" si="291"/>
        <v>815</v>
      </c>
      <c r="BR20" s="100">
        <f t="shared" si="292"/>
        <v>812.5</v>
      </c>
      <c r="BS20" s="100">
        <f t="shared" si="293"/>
        <v>805</v>
      </c>
      <c r="BT20" s="100">
        <f t="shared" si="294"/>
        <v>805</v>
      </c>
      <c r="BU20" s="100">
        <f t="shared" si="295"/>
        <v>802.5</v>
      </c>
      <c r="BV20" s="100">
        <f t="shared" si="296"/>
        <v>800</v>
      </c>
      <c r="BW20" s="100">
        <f>+SUM(JH20:JK20)/COUNT(JH20:JK20)</f>
        <v>800</v>
      </c>
      <c r="BX20" s="100">
        <f>+SUM(JL20:JO20)/COUNT(JL20:JO20)</f>
        <v>1331.25</v>
      </c>
      <c r="BY20" s="100">
        <v>1550</v>
      </c>
      <c r="BZ20" s="146"/>
      <c r="CA20" s="54" t="s">
        <v>41</v>
      </c>
      <c r="CC20" s="97" t="s">
        <v>130</v>
      </c>
      <c r="CD20" s="56">
        <f>+(1240+1400)/2</f>
        <v>1320</v>
      </c>
      <c r="CE20" s="56">
        <f>+(1240+1400)/2</f>
        <v>1320</v>
      </c>
      <c r="CF20" s="56">
        <f>+(1240+1400)/2</f>
        <v>1320</v>
      </c>
      <c r="CG20" s="56">
        <f>+(1200+1370)/2</f>
        <v>1285</v>
      </c>
      <c r="CH20" s="56">
        <f>+(1180+1350)/2</f>
        <v>1265</v>
      </c>
      <c r="CI20" s="56">
        <f>+(1140+1320)/2</f>
        <v>1230</v>
      </c>
      <c r="CJ20" s="56">
        <f>+(1120+1300)/2</f>
        <v>1210</v>
      </c>
      <c r="CK20" s="56">
        <f>+(1120+1300)/2</f>
        <v>1210</v>
      </c>
      <c r="CL20" s="56">
        <f>+(1020+1200)/2</f>
        <v>1110</v>
      </c>
      <c r="CM20" s="56">
        <f>+(1020+1200)/2</f>
        <v>1110</v>
      </c>
      <c r="CN20" s="56">
        <f>+(1040+1220)/2</f>
        <v>1130</v>
      </c>
      <c r="CO20" s="56">
        <f>+(1040+1220)/2</f>
        <v>1130</v>
      </c>
      <c r="CP20" s="56">
        <f>+(1020+1150)/2</f>
        <v>1085</v>
      </c>
      <c r="CQ20" s="56">
        <f>+(1040+1170)/2</f>
        <v>1105</v>
      </c>
      <c r="CR20" s="56">
        <f>+(1040+1170)/2</f>
        <v>1105</v>
      </c>
      <c r="CS20" s="56">
        <f>+(1040+1170)/2</f>
        <v>1105</v>
      </c>
      <c r="CT20" s="56">
        <v>1105</v>
      </c>
      <c r="CU20" s="56">
        <v>1105</v>
      </c>
      <c r="CV20" s="56">
        <v>1105</v>
      </c>
      <c r="CW20" s="56">
        <v>1065</v>
      </c>
      <c r="CX20" s="56">
        <v>1065</v>
      </c>
      <c r="CY20" s="56">
        <f>+(950+1110)/2</f>
        <v>1030</v>
      </c>
      <c r="CZ20" s="56">
        <f>+(950+1110)/2</f>
        <v>1030</v>
      </c>
      <c r="DA20" s="56">
        <f>+(950+1110)/2</f>
        <v>1030</v>
      </c>
      <c r="DB20" s="114">
        <f>+(920+1110)/2</f>
        <v>1015</v>
      </c>
      <c r="DC20" s="114">
        <f>+(920+1070)/2</f>
        <v>995</v>
      </c>
      <c r="DD20" s="114">
        <f>+(920+1070)/2</f>
        <v>995</v>
      </c>
      <c r="DE20" s="114">
        <f>+(920+1070)/2</f>
        <v>995</v>
      </c>
      <c r="DF20" s="114">
        <f>+(940+1080)/2</f>
        <v>1010</v>
      </c>
      <c r="DG20" s="56">
        <v>940</v>
      </c>
      <c r="DH20" s="56">
        <v>1020</v>
      </c>
      <c r="DI20" s="56">
        <v>1030</v>
      </c>
      <c r="DJ20" s="56">
        <v>1080</v>
      </c>
      <c r="DK20" s="56">
        <v>1100</v>
      </c>
      <c r="DL20" s="56">
        <v>1100</v>
      </c>
      <c r="DM20" s="56">
        <v>1090</v>
      </c>
      <c r="DN20" s="56">
        <v>1080</v>
      </c>
      <c r="DO20" s="56">
        <v>1080</v>
      </c>
      <c r="DP20" s="56">
        <v>1070</v>
      </c>
      <c r="DQ20" s="56">
        <v>1070</v>
      </c>
      <c r="DR20" s="56">
        <v>1070</v>
      </c>
      <c r="DS20" s="56">
        <v>1050</v>
      </c>
      <c r="DT20" s="56">
        <v>1050</v>
      </c>
      <c r="DU20" s="56">
        <v>1050</v>
      </c>
      <c r="DV20" s="56">
        <v>1050</v>
      </c>
      <c r="DW20" s="56">
        <v>1050</v>
      </c>
      <c r="DX20" s="56">
        <v>1050</v>
      </c>
      <c r="DY20" s="56">
        <v>1050</v>
      </c>
      <c r="DZ20" s="56">
        <v>1040</v>
      </c>
      <c r="EA20" s="56">
        <v>1030</v>
      </c>
      <c r="EB20" s="56">
        <v>1030</v>
      </c>
      <c r="EC20" s="56">
        <v>950</v>
      </c>
      <c r="ED20" s="56">
        <v>950</v>
      </c>
      <c r="EE20" s="56">
        <v>950</v>
      </c>
      <c r="EF20" s="56">
        <v>950</v>
      </c>
      <c r="EG20" s="56">
        <v>950</v>
      </c>
      <c r="EH20" s="56">
        <v>970</v>
      </c>
      <c r="EI20" s="56">
        <v>970</v>
      </c>
      <c r="EJ20" s="56">
        <v>1000</v>
      </c>
      <c r="EK20" s="56">
        <v>1000</v>
      </c>
      <c r="EL20" s="56">
        <v>1000</v>
      </c>
      <c r="EM20" s="100">
        <v>1020</v>
      </c>
      <c r="EN20" s="100">
        <v>1020</v>
      </c>
      <c r="EO20" s="100">
        <v>1020</v>
      </c>
      <c r="EP20" s="100">
        <v>1030</v>
      </c>
      <c r="EQ20" s="100">
        <v>1030</v>
      </c>
      <c r="ER20" s="100">
        <v>1030</v>
      </c>
      <c r="ES20" s="100">
        <v>1030</v>
      </c>
      <c r="ET20" s="100">
        <v>1030</v>
      </c>
      <c r="EU20" s="100">
        <v>1020</v>
      </c>
      <c r="EV20" s="100">
        <v>1000</v>
      </c>
      <c r="EW20" s="100">
        <v>980</v>
      </c>
      <c r="EX20" s="100">
        <v>960</v>
      </c>
      <c r="EY20" s="100">
        <v>940</v>
      </c>
      <c r="EZ20" s="100">
        <v>940</v>
      </c>
      <c r="FA20" s="100">
        <v>940</v>
      </c>
      <c r="FB20" s="100">
        <v>940</v>
      </c>
      <c r="FC20" s="100">
        <v>920</v>
      </c>
      <c r="FD20" s="100">
        <v>920</v>
      </c>
      <c r="FE20" s="100">
        <v>920</v>
      </c>
      <c r="FF20" s="100">
        <v>920</v>
      </c>
      <c r="FG20" s="100">
        <v>950</v>
      </c>
      <c r="FH20" s="100">
        <v>950</v>
      </c>
      <c r="FI20" s="100">
        <v>970</v>
      </c>
      <c r="FJ20" s="100">
        <v>980</v>
      </c>
      <c r="FK20" s="100">
        <v>1000</v>
      </c>
      <c r="FL20" s="100">
        <v>1000</v>
      </c>
      <c r="FM20" s="100">
        <v>1000</v>
      </c>
      <c r="FN20" s="100">
        <v>980</v>
      </c>
      <c r="FO20" s="100">
        <v>980</v>
      </c>
      <c r="FP20" s="100">
        <v>980</v>
      </c>
      <c r="FQ20" s="100">
        <v>960</v>
      </c>
      <c r="FR20" s="100">
        <v>960</v>
      </c>
      <c r="FS20" s="100">
        <v>960</v>
      </c>
      <c r="FT20" s="100">
        <v>970</v>
      </c>
      <c r="FU20" s="100">
        <v>970</v>
      </c>
      <c r="FV20" s="100">
        <v>980</v>
      </c>
      <c r="FW20" s="100">
        <v>980</v>
      </c>
      <c r="FX20" s="100">
        <v>980</v>
      </c>
      <c r="FY20" s="100">
        <v>1000</v>
      </c>
      <c r="FZ20" s="100">
        <v>1000</v>
      </c>
      <c r="GA20" s="100">
        <v>1000</v>
      </c>
      <c r="GB20" s="100">
        <v>1000</v>
      </c>
      <c r="GC20" s="100">
        <v>1000</v>
      </c>
      <c r="GD20" s="100">
        <v>1000</v>
      </c>
      <c r="GE20" s="100">
        <v>1000</v>
      </c>
      <c r="GF20" s="100">
        <v>1000</v>
      </c>
      <c r="GG20" s="100">
        <v>1000</v>
      </c>
      <c r="GH20" s="100">
        <v>1000</v>
      </c>
      <c r="GI20" s="100">
        <v>1000</v>
      </c>
      <c r="GJ20" s="100">
        <v>980</v>
      </c>
      <c r="GK20" s="100">
        <v>970</v>
      </c>
      <c r="GL20" s="100">
        <v>970</v>
      </c>
      <c r="GM20" s="100">
        <v>970</v>
      </c>
      <c r="GN20" s="100">
        <v>970</v>
      </c>
      <c r="GO20" s="100">
        <v>970</v>
      </c>
      <c r="GP20" s="100">
        <v>960</v>
      </c>
      <c r="GQ20" s="100">
        <v>960</v>
      </c>
      <c r="GR20" s="100">
        <v>960</v>
      </c>
      <c r="GS20" s="100">
        <v>960</v>
      </c>
      <c r="GT20" s="100">
        <v>980</v>
      </c>
      <c r="GU20" s="100">
        <v>980</v>
      </c>
      <c r="GV20" s="100">
        <v>980</v>
      </c>
      <c r="GW20" s="100">
        <v>970</v>
      </c>
      <c r="GX20" s="100">
        <v>970</v>
      </c>
      <c r="GY20" s="100">
        <v>970</v>
      </c>
      <c r="GZ20" s="100">
        <v>970</v>
      </c>
      <c r="HA20" s="100">
        <v>950</v>
      </c>
      <c r="HB20" s="100">
        <v>950</v>
      </c>
      <c r="HC20" s="100">
        <v>940</v>
      </c>
      <c r="HD20" s="100">
        <v>940</v>
      </c>
      <c r="HE20" s="100">
        <v>940</v>
      </c>
      <c r="HF20" s="100">
        <v>940</v>
      </c>
      <c r="HG20" s="100">
        <v>940</v>
      </c>
      <c r="HH20" s="100">
        <v>940</v>
      </c>
      <c r="HI20" s="100">
        <v>940</v>
      </c>
      <c r="HJ20" s="100">
        <v>896</v>
      </c>
      <c r="HK20" s="100">
        <v>896</v>
      </c>
      <c r="HL20" s="100">
        <v>896</v>
      </c>
      <c r="HM20" s="100">
        <v>896</v>
      </c>
      <c r="HN20" s="100">
        <v>896</v>
      </c>
      <c r="HO20" s="100">
        <v>896</v>
      </c>
      <c r="HP20" s="100">
        <v>896</v>
      </c>
      <c r="HQ20" s="100">
        <v>900</v>
      </c>
      <c r="HR20" s="100">
        <v>890</v>
      </c>
      <c r="HS20" s="100">
        <v>880</v>
      </c>
      <c r="HT20" s="100">
        <v>870</v>
      </c>
      <c r="HU20" s="100">
        <v>870</v>
      </c>
      <c r="HV20" s="100">
        <v>860</v>
      </c>
      <c r="HW20" s="100">
        <v>860</v>
      </c>
      <c r="HX20" s="100">
        <v>860</v>
      </c>
      <c r="HY20" s="100">
        <v>833</v>
      </c>
      <c r="HZ20" s="100">
        <v>833</v>
      </c>
      <c r="IA20" s="100">
        <v>833</v>
      </c>
      <c r="IB20" s="100">
        <v>833</v>
      </c>
      <c r="IC20" s="100">
        <v>833</v>
      </c>
      <c r="ID20" s="100">
        <v>833</v>
      </c>
      <c r="IE20" s="100">
        <v>833</v>
      </c>
      <c r="IF20" s="100">
        <v>833</v>
      </c>
      <c r="IG20" s="100">
        <v>833</v>
      </c>
      <c r="IH20" s="100">
        <v>815</v>
      </c>
      <c r="II20" s="100">
        <v>815</v>
      </c>
      <c r="IJ20" s="100">
        <v>815</v>
      </c>
      <c r="IK20" s="100">
        <v>815</v>
      </c>
      <c r="IL20" s="100">
        <v>815</v>
      </c>
      <c r="IM20" s="100">
        <v>815</v>
      </c>
      <c r="IN20" s="100">
        <v>815</v>
      </c>
      <c r="IO20" s="56">
        <v>805</v>
      </c>
      <c r="IP20" s="56">
        <v>805</v>
      </c>
      <c r="IQ20" s="56">
        <v>805</v>
      </c>
      <c r="IR20" s="56">
        <v>805</v>
      </c>
      <c r="IS20" s="56">
        <v>805</v>
      </c>
      <c r="IT20" s="56">
        <v>805</v>
      </c>
      <c r="IU20" s="56">
        <v>805</v>
      </c>
      <c r="IV20" s="56">
        <v>805</v>
      </c>
      <c r="IW20" s="56">
        <v>805</v>
      </c>
      <c r="IX20" s="56">
        <v>805</v>
      </c>
      <c r="IY20" s="56">
        <v>805</v>
      </c>
      <c r="IZ20" s="56">
        <v>805</v>
      </c>
      <c r="JA20" s="56">
        <v>800</v>
      </c>
      <c r="JB20" s="56">
        <v>800</v>
      </c>
      <c r="JC20" s="56">
        <v>800</v>
      </c>
      <c r="JD20" s="56">
        <v>800</v>
      </c>
      <c r="JE20" s="56">
        <v>800</v>
      </c>
      <c r="JF20" s="56">
        <v>800</v>
      </c>
      <c r="JG20" s="56">
        <v>800</v>
      </c>
      <c r="JH20" s="56">
        <v>800</v>
      </c>
      <c r="JI20" s="56">
        <v>800</v>
      </c>
      <c r="JJ20" s="56">
        <v>800</v>
      </c>
      <c r="JK20" s="56">
        <v>800</v>
      </c>
      <c r="JL20" s="56">
        <f>(950+1000)/2</f>
        <v>975</v>
      </c>
      <c r="JM20" s="56">
        <v>1350</v>
      </c>
      <c r="JN20" s="56">
        <v>1450</v>
      </c>
      <c r="JO20" s="56">
        <v>1550</v>
      </c>
    </row>
    <row r="21" spans="1:275" ht="14" hidden="1">
      <c r="D21" s="54"/>
      <c r="F21" s="1" t="s">
        <v>85</v>
      </c>
      <c r="H21" s="1" t="s">
        <v>85</v>
      </c>
      <c r="U21" s="41">
        <f>U20</f>
        <v>1185</v>
      </c>
      <c r="V21" s="41">
        <f t="shared" ref="V21:AP21" si="354">V20</f>
        <v>1297.5</v>
      </c>
      <c r="W21" s="41">
        <f t="shared" si="354"/>
        <v>1386</v>
      </c>
      <c r="X21" s="41">
        <f t="shared" si="354"/>
        <v>1390</v>
      </c>
      <c r="Y21" s="41">
        <f t="shared" si="354"/>
        <v>1320</v>
      </c>
      <c r="Z21" s="41">
        <f t="shared" si="354"/>
        <v>1327</v>
      </c>
      <c r="AA21" s="41">
        <f t="shared" si="354"/>
        <v>1248</v>
      </c>
      <c r="AB21" s="41">
        <f t="shared" si="354"/>
        <v>1230</v>
      </c>
      <c r="AC21" s="41">
        <f t="shared" si="354"/>
        <v>1130</v>
      </c>
      <c r="AD21" s="41">
        <f t="shared" si="354"/>
        <v>1130</v>
      </c>
      <c r="AE21" s="41">
        <f t="shared" si="354"/>
        <v>1105</v>
      </c>
      <c r="AF21" s="41">
        <f t="shared" si="354"/>
        <v>1105</v>
      </c>
      <c r="AG21" s="41">
        <f t="shared" si="354"/>
        <v>1105</v>
      </c>
      <c r="AH21" s="41">
        <f t="shared" si="354"/>
        <v>1105</v>
      </c>
      <c r="AI21" s="41">
        <f t="shared" si="354"/>
        <v>1065</v>
      </c>
      <c r="AJ21" s="41">
        <f t="shared" si="354"/>
        <v>1065</v>
      </c>
      <c r="AK21" s="41">
        <f t="shared" si="354"/>
        <v>1002</v>
      </c>
      <c r="AL21" s="41">
        <f t="shared" si="354"/>
        <v>1017.5</v>
      </c>
      <c r="AM21" s="41">
        <f t="shared" si="354"/>
        <v>1092.5</v>
      </c>
      <c r="AN21" s="41">
        <f t="shared" si="354"/>
        <v>1072.5</v>
      </c>
      <c r="AO21" s="41">
        <f t="shared" si="354"/>
        <v>1050</v>
      </c>
      <c r="AP21" s="41">
        <f t="shared" si="354"/>
        <v>1044</v>
      </c>
      <c r="AQ21" s="41">
        <f t="shared" ref="AQ21:AV21" si="355">AQ20</f>
        <v>970</v>
      </c>
      <c r="AR21" s="41">
        <f t="shared" si="355"/>
        <v>960</v>
      </c>
      <c r="AS21" s="41">
        <f t="shared" si="355"/>
        <v>1008</v>
      </c>
      <c r="AT21" s="41">
        <f t="shared" si="355"/>
        <v>1027.5</v>
      </c>
      <c r="AU21" s="41">
        <f t="shared" si="355"/>
        <v>1020</v>
      </c>
      <c r="AV21" s="41">
        <f t="shared" si="355"/>
        <v>955</v>
      </c>
      <c r="AW21" s="41">
        <f t="shared" ref="AW21:AX21" si="356">AW20</f>
        <v>928</v>
      </c>
      <c r="AX21" s="41">
        <f t="shared" si="356"/>
        <v>940</v>
      </c>
      <c r="AY21" s="41">
        <f t="shared" ref="AY21:AZ21" si="357">AY20</f>
        <v>993.33333333333337</v>
      </c>
      <c r="AZ21" s="41">
        <f t="shared" si="357"/>
        <v>985</v>
      </c>
      <c r="BA21" s="41">
        <f t="shared" ref="BA21:BB21" si="358">BA20</f>
        <v>962.5</v>
      </c>
      <c r="BB21" s="41">
        <f t="shared" si="358"/>
        <v>982</v>
      </c>
      <c r="BC21" s="41">
        <f t="shared" ref="BC21:BD21" si="359">BC20</f>
        <v>1000</v>
      </c>
      <c r="BD21" s="41">
        <f t="shared" si="359"/>
        <v>1000</v>
      </c>
      <c r="BE21" s="41">
        <f t="shared" ref="BE21:BF21" si="360">BE20</f>
        <v>984</v>
      </c>
      <c r="BF21" s="41">
        <f t="shared" si="360"/>
        <v>967.5</v>
      </c>
      <c r="BG21" s="41">
        <f t="shared" ref="BG21:BH21" si="361">BG20</f>
        <v>965</v>
      </c>
      <c r="BH21" s="41">
        <f t="shared" si="361"/>
        <v>974</v>
      </c>
      <c r="BI21" s="41">
        <f t="shared" ref="BI21:BJ21" si="362">BI20</f>
        <v>956</v>
      </c>
      <c r="BJ21" s="41">
        <f t="shared" si="362"/>
        <v>940</v>
      </c>
      <c r="BK21" s="41">
        <f t="shared" ref="BK21:BL21" si="363">BK20</f>
        <v>918</v>
      </c>
      <c r="BL21" s="41">
        <f t="shared" si="363"/>
        <v>896</v>
      </c>
      <c r="BM21" s="41">
        <f t="shared" ref="BM21:BN21" si="364">BM20</f>
        <v>891.5</v>
      </c>
      <c r="BN21" s="41">
        <f t="shared" si="364"/>
        <v>864</v>
      </c>
      <c r="BO21" s="41">
        <f t="shared" ref="BO21:BP21" si="365">BO20</f>
        <v>833</v>
      </c>
      <c r="BP21" s="41">
        <f t="shared" si="365"/>
        <v>833</v>
      </c>
      <c r="BQ21" s="41">
        <f t="shared" ref="BQ21:BR21" si="366">BQ20</f>
        <v>815</v>
      </c>
      <c r="BR21" s="41">
        <f t="shared" si="366"/>
        <v>812.5</v>
      </c>
      <c r="BS21" s="41">
        <f t="shared" ref="BS21:BT21" si="367">BS20</f>
        <v>805</v>
      </c>
      <c r="BT21" s="41">
        <f t="shared" si="367"/>
        <v>805</v>
      </c>
      <c r="BU21" s="41">
        <f t="shared" ref="BU21:BV21" si="368">BU20</f>
        <v>802.5</v>
      </c>
      <c r="BV21" s="41">
        <f t="shared" si="368"/>
        <v>800</v>
      </c>
      <c r="BW21" s="41">
        <f t="shared" ref="BW21:BX21" si="369">BW20</f>
        <v>800</v>
      </c>
      <c r="BX21" s="41">
        <f t="shared" si="369"/>
        <v>1331.25</v>
      </c>
      <c r="BY21" s="41">
        <f t="shared" ref="BY21" si="370">BY20</f>
        <v>1550</v>
      </c>
      <c r="BZ21" s="149"/>
      <c r="CC21" s="1" t="s">
        <v>85</v>
      </c>
      <c r="CS21" s="41">
        <f>CS20</f>
        <v>1105</v>
      </c>
      <c r="CT21" s="41">
        <f t="shared" ref="CT21:DL21" si="371">CT20</f>
        <v>1105</v>
      </c>
      <c r="CU21" s="41">
        <f t="shared" si="371"/>
        <v>1105</v>
      </c>
      <c r="CV21" s="41">
        <f t="shared" si="371"/>
        <v>1105</v>
      </c>
      <c r="CW21" s="41">
        <f t="shared" si="371"/>
        <v>1065</v>
      </c>
      <c r="CX21" s="41">
        <f t="shared" si="371"/>
        <v>1065</v>
      </c>
      <c r="CY21" s="41">
        <f t="shared" si="371"/>
        <v>1030</v>
      </c>
      <c r="CZ21" s="41">
        <f t="shared" si="371"/>
        <v>1030</v>
      </c>
      <c r="DA21" s="41">
        <f t="shared" si="371"/>
        <v>1030</v>
      </c>
      <c r="DB21" s="41">
        <f t="shared" si="371"/>
        <v>1015</v>
      </c>
      <c r="DC21" s="41">
        <f t="shared" si="371"/>
        <v>995</v>
      </c>
      <c r="DD21" s="41">
        <f t="shared" si="371"/>
        <v>995</v>
      </c>
      <c r="DE21" s="41">
        <f t="shared" si="371"/>
        <v>995</v>
      </c>
      <c r="DF21" s="41">
        <f t="shared" si="371"/>
        <v>1010</v>
      </c>
      <c r="DG21" s="43">
        <f t="shared" si="371"/>
        <v>940</v>
      </c>
      <c r="DH21" s="43">
        <f t="shared" si="371"/>
        <v>1020</v>
      </c>
      <c r="DI21" s="43">
        <f t="shared" si="371"/>
        <v>1030</v>
      </c>
      <c r="DJ21" s="43">
        <f t="shared" si="371"/>
        <v>1080</v>
      </c>
      <c r="DK21" s="43">
        <f t="shared" si="371"/>
        <v>1100</v>
      </c>
      <c r="DL21" s="43">
        <f t="shared" si="371"/>
        <v>1100</v>
      </c>
      <c r="DM21" s="43">
        <f>DM20</f>
        <v>1090</v>
      </c>
      <c r="DN21" s="43">
        <f>DN20</f>
        <v>1080</v>
      </c>
      <c r="DO21" s="43">
        <f>DO20</f>
        <v>1080</v>
      </c>
      <c r="DP21" s="43">
        <f t="shared" ref="DP21:DW21" si="372">DP20</f>
        <v>1070</v>
      </c>
      <c r="DQ21" s="43">
        <f t="shared" si="372"/>
        <v>1070</v>
      </c>
      <c r="DR21" s="43">
        <f t="shared" si="372"/>
        <v>1070</v>
      </c>
      <c r="DS21" s="43">
        <f t="shared" si="372"/>
        <v>1050</v>
      </c>
      <c r="DT21" s="43">
        <f t="shared" si="372"/>
        <v>1050</v>
      </c>
      <c r="DU21" s="43">
        <f t="shared" si="372"/>
        <v>1050</v>
      </c>
      <c r="DV21" s="43">
        <f t="shared" si="372"/>
        <v>1050</v>
      </c>
      <c r="DW21" s="43">
        <f t="shared" si="372"/>
        <v>1050</v>
      </c>
      <c r="DX21" s="43">
        <f t="shared" ref="DX21:EC21" si="373">DX20</f>
        <v>1050</v>
      </c>
      <c r="DY21" s="43">
        <f t="shared" si="373"/>
        <v>1050</v>
      </c>
      <c r="DZ21" s="43">
        <f t="shared" si="373"/>
        <v>1040</v>
      </c>
      <c r="EA21" s="43">
        <f t="shared" si="373"/>
        <v>1030</v>
      </c>
      <c r="EB21" s="43">
        <f t="shared" si="373"/>
        <v>1030</v>
      </c>
      <c r="EC21" s="43">
        <f t="shared" si="373"/>
        <v>950</v>
      </c>
      <c r="ED21" s="43">
        <f>ED20</f>
        <v>950</v>
      </c>
      <c r="EE21" s="43">
        <f>+ED21</f>
        <v>950</v>
      </c>
      <c r="EF21" s="43">
        <f>+EE21</f>
        <v>950</v>
      </c>
      <c r="EG21" s="43">
        <f t="shared" ref="EG21:EL21" si="374">+EF21+20</f>
        <v>970</v>
      </c>
      <c r="EH21" s="43">
        <f t="shared" si="374"/>
        <v>990</v>
      </c>
      <c r="EI21" s="43">
        <f t="shared" si="374"/>
        <v>1010</v>
      </c>
      <c r="EJ21" s="43">
        <f t="shared" si="374"/>
        <v>1030</v>
      </c>
      <c r="EK21" s="43">
        <f t="shared" si="374"/>
        <v>1050</v>
      </c>
      <c r="EL21" s="43">
        <f t="shared" si="374"/>
        <v>1070</v>
      </c>
      <c r="EM21" s="134">
        <f t="shared" ref="EM21:FK21" si="375">+EL21+20</f>
        <v>1090</v>
      </c>
      <c r="EN21" s="134">
        <f t="shared" si="375"/>
        <v>1110</v>
      </c>
      <c r="EO21" s="134">
        <f t="shared" si="375"/>
        <v>1130</v>
      </c>
      <c r="EP21" s="134">
        <f t="shared" si="375"/>
        <v>1150</v>
      </c>
      <c r="EQ21" s="134">
        <f t="shared" si="375"/>
        <v>1170</v>
      </c>
      <c r="ER21" s="134">
        <f t="shared" si="375"/>
        <v>1190</v>
      </c>
      <c r="ES21" s="134">
        <f t="shared" si="375"/>
        <v>1210</v>
      </c>
      <c r="ET21" s="134">
        <f t="shared" si="375"/>
        <v>1230</v>
      </c>
      <c r="EU21" s="134">
        <f>+ET21+20</f>
        <v>1250</v>
      </c>
      <c r="EV21" s="134">
        <f t="shared" si="375"/>
        <v>1270</v>
      </c>
      <c r="EW21" s="134">
        <f t="shared" si="375"/>
        <v>1290</v>
      </c>
      <c r="EX21" s="134">
        <f t="shared" si="375"/>
        <v>1310</v>
      </c>
      <c r="EY21" s="134">
        <f t="shared" si="375"/>
        <v>1330</v>
      </c>
      <c r="EZ21" s="134">
        <f t="shared" si="375"/>
        <v>1350</v>
      </c>
      <c r="FA21" s="134">
        <f t="shared" si="375"/>
        <v>1370</v>
      </c>
      <c r="FB21" s="134">
        <f t="shared" si="375"/>
        <v>1390</v>
      </c>
      <c r="FC21" s="134">
        <f t="shared" si="375"/>
        <v>1410</v>
      </c>
      <c r="FD21" s="134">
        <f t="shared" si="375"/>
        <v>1430</v>
      </c>
      <c r="FE21" s="134">
        <f t="shared" si="375"/>
        <v>1450</v>
      </c>
      <c r="FF21" s="134">
        <f t="shared" si="375"/>
        <v>1470</v>
      </c>
      <c r="FG21" s="134">
        <f t="shared" si="375"/>
        <v>1490</v>
      </c>
      <c r="FH21" s="134">
        <f t="shared" si="375"/>
        <v>1510</v>
      </c>
      <c r="FI21" s="134">
        <f t="shared" si="375"/>
        <v>1530</v>
      </c>
      <c r="FJ21" s="134">
        <f t="shared" si="375"/>
        <v>1550</v>
      </c>
      <c r="FK21" s="134">
        <f t="shared" si="375"/>
        <v>1570</v>
      </c>
      <c r="FL21" s="134">
        <f t="shared" ref="FL21" si="376">+FK21+20</f>
        <v>1590</v>
      </c>
      <c r="FM21" s="134">
        <f t="shared" ref="FM21:GB21" si="377">+FL21+20</f>
        <v>1610</v>
      </c>
      <c r="FN21" s="134">
        <f t="shared" si="377"/>
        <v>1630</v>
      </c>
      <c r="FO21" s="134">
        <f t="shared" si="377"/>
        <v>1650</v>
      </c>
      <c r="FP21" s="134">
        <f t="shared" si="377"/>
        <v>1670</v>
      </c>
      <c r="FQ21" s="134">
        <f t="shared" si="377"/>
        <v>1690</v>
      </c>
      <c r="FR21" s="134">
        <f t="shared" si="377"/>
        <v>1710</v>
      </c>
      <c r="FS21" s="134">
        <f t="shared" si="377"/>
        <v>1730</v>
      </c>
      <c r="FT21" s="134">
        <f t="shared" si="377"/>
        <v>1750</v>
      </c>
      <c r="FU21" s="134">
        <f t="shared" si="377"/>
        <v>1770</v>
      </c>
      <c r="FV21" s="134">
        <f t="shared" si="377"/>
        <v>1790</v>
      </c>
      <c r="FW21" s="134">
        <f t="shared" si="377"/>
        <v>1810</v>
      </c>
      <c r="FX21" s="134">
        <f t="shared" si="377"/>
        <v>1830</v>
      </c>
      <c r="FY21" s="134">
        <f t="shared" si="377"/>
        <v>1850</v>
      </c>
      <c r="FZ21" s="134">
        <f t="shared" si="377"/>
        <v>1870</v>
      </c>
      <c r="GA21" s="134">
        <f t="shared" si="377"/>
        <v>1890</v>
      </c>
      <c r="GB21" s="134">
        <f t="shared" si="377"/>
        <v>1910</v>
      </c>
      <c r="GC21" s="134">
        <f t="shared" ref="GC21" si="378">+GB21+20</f>
        <v>1930</v>
      </c>
      <c r="GD21" s="134">
        <f t="shared" ref="GD21" si="379">+GC21+20</f>
        <v>1950</v>
      </c>
      <c r="GE21" s="134">
        <f t="shared" ref="GE21" si="380">+GD21+20</f>
        <v>1970</v>
      </c>
      <c r="GF21" s="134">
        <f t="shared" ref="GF21:GP21" si="381">+GE21+20</f>
        <v>1990</v>
      </c>
      <c r="GG21" s="134">
        <f t="shared" si="381"/>
        <v>2010</v>
      </c>
      <c r="GH21" s="134">
        <f t="shared" si="381"/>
        <v>2030</v>
      </c>
      <c r="GI21" s="134">
        <f t="shared" si="381"/>
        <v>2050</v>
      </c>
      <c r="GJ21" s="134">
        <f t="shared" si="381"/>
        <v>2070</v>
      </c>
      <c r="GK21" s="134">
        <f t="shared" si="381"/>
        <v>2090</v>
      </c>
      <c r="GL21" s="134">
        <f t="shared" si="381"/>
        <v>2110</v>
      </c>
      <c r="GM21" s="134">
        <f t="shared" si="381"/>
        <v>2130</v>
      </c>
      <c r="GN21" s="134">
        <f t="shared" si="381"/>
        <v>2150</v>
      </c>
      <c r="GO21" s="134">
        <f t="shared" si="381"/>
        <v>2170</v>
      </c>
      <c r="GP21" s="134">
        <f t="shared" si="381"/>
        <v>2190</v>
      </c>
      <c r="GQ21" s="134">
        <f t="shared" ref="GQ21" si="382">+GP21+20</f>
        <v>2210</v>
      </c>
      <c r="GR21" s="134">
        <f t="shared" ref="GR21:GU21" si="383">+GQ21+20</f>
        <v>2230</v>
      </c>
      <c r="GS21" s="134">
        <f t="shared" si="383"/>
        <v>2250</v>
      </c>
      <c r="GT21" s="134">
        <f t="shared" si="383"/>
        <v>2270</v>
      </c>
      <c r="GU21" s="134">
        <f t="shared" si="383"/>
        <v>2290</v>
      </c>
      <c r="GV21" s="134">
        <f t="shared" ref="GV21" si="384">+GU21+20</f>
        <v>2310</v>
      </c>
      <c r="GW21" s="134">
        <f t="shared" ref="GW21" si="385">+GV21+20</f>
        <v>2330</v>
      </c>
      <c r="GX21" s="134">
        <f t="shared" ref="GX21" si="386">+GW21+20</f>
        <v>2350</v>
      </c>
      <c r="GY21" s="134">
        <f t="shared" ref="GY21" si="387">+GX21+20</f>
        <v>2370</v>
      </c>
      <c r="GZ21" s="134">
        <f t="shared" ref="GZ21" si="388">+GY21+20</f>
        <v>2390</v>
      </c>
      <c r="HA21" s="134">
        <f t="shared" ref="HA21" si="389">+GZ21+20</f>
        <v>2410</v>
      </c>
      <c r="HB21" s="134">
        <f t="shared" ref="HB21" si="390">+HA21+20</f>
        <v>2430</v>
      </c>
      <c r="HC21" s="134">
        <f t="shared" ref="HC21" si="391">+HB21+20</f>
        <v>2450</v>
      </c>
      <c r="HD21" s="134"/>
      <c r="HE21" s="134"/>
      <c r="HF21" s="134"/>
      <c r="HG21" s="134"/>
      <c r="HH21" s="134"/>
      <c r="HI21" s="134"/>
      <c r="HJ21" s="134"/>
      <c r="HK21" s="134"/>
      <c r="HL21" s="134"/>
      <c r="HM21" s="134"/>
      <c r="HN21" s="134"/>
      <c r="HO21" s="134"/>
      <c r="HP21" s="134"/>
      <c r="HQ21" s="134"/>
      <c r="HR21" s="134"/>
      <c r="HS21" s="134"/>
      <c r="HT21" s="134"/>
      <c r="HU21" s="134"/>
      <c r="HV21" s="134"/>
      <c r="HW21" s="134"/>
      <c r="HX21" s="134"/>
      <c r="HY21" s="134"/>
      <c r="HZ21" s="134"/>
      <c r="IA21" s="134"/>
      <c r="IB21" s="134"/>
      <c r="IC21" s="134"/>
      <c r="ID21" s="134"/>
      <c r="IE21" s="134"/>
      <c r="IF21" s="134"/>
      <c r="IG21" s="134"/>
      <c r="IH21" s="134"/>
      <c r="II21" s="134"/>
      <c r="IJ21" s="134"/>
      <c r="IK21" s="134"/>
      <c r="IL21" s="134"/>
      <c r="IM21" s="134"/>
      <c r="IN21" s="134"/>
      <c r="IO21" s="134"/>
      <c r="IP21" s="134"/>
      <c r="IQ21" s="134"/>
      <c r="IR21" s="134"/>
      <c r="IS21" s="134"/>
      <c r="IT21" s="134"/>
      <c r="IU21" s="134"/>
      <c r="IV21" s="134"/>
      <c r="IW21" s="134"/>
      <c r="IX21" s="134"/>
      <c r="IY21" s="134"/>
      <c r="IZ21" s="134"/>
      <c r="JA21" s="134"/>
      <c r="JB21" s="134"/>
      <c r="JC21" s="134"/>
      <c r="JD21" s="134"/>
      <c r="JE21" s="134"/>
      <c r="JF21" s="134"/>
      <c r="JG21" s="134"/>
      <c r="JH21" s="134"/>
      <c r="JI21" s="134"/>
      <c r="JJ21" s="134"/>
      <c r="JK21" s="134"/>
      <c r="JL21" s="134"/>
      <c r="JM21" s="134"/>
      <c r="JN21" s="134"/>
      <c r="JO21" s="134"/>
    </row>
    <row r="22" spans="1:275" s="3" customFormat="1" ht="14">
      <c r="F22" s="3" t="s">
        <v>99</v>
      </c>
      <c r="H22" s="3" t="s">
        <v>99</v>
      </c>
      <c r="U22" s="3">
        <v>1360</v>
      </c>
      <c r="V22" s="3">
        <v>1360</v>
      </c>
      <c r="W22" s="3">
        <v>1360</v>
      </c>
      <c r="X22" s="3">
        <v>1360</v>
      </c>
      <c r="Y22" s="3">
        <v>1360</v>
      </c>
      <c r="Z22" s="3">
        <v>1360</v>
      </c>
      <c r="AA22" s="3">
        <v>1610</v>
      </c>
      <c r="AB22" s="3">
        <v>1610</v>
      </c>
      <c r="AC22" s="3">
        <v>1610</v>
      </c>
      <c r="AD22" s="3">
        <v>1610</v>
      </c>
      <c r="AE22" s="3">
        <v>1610</v>
      </c>
      <c r="AF22" s="3">
        <v>1610</v>
      </c>
      <c r="AG22" s="3">
        <v>1610</v>
      </c>
      <c r="AH22" s="3">
        <v>1610</v>
      </c>
      <c r="AI22" s="3">
        <v>1610</v>
      </c>
      <c r="AJ22" s="3">
        <v>1610</v>
      </c>
      <c r="AK22" s="3">
        <v>1610</v>
      </c>
      <c r="AL22" s="3">
        <v>1575</v>
      </c>
      <c r="AM22" s="3">
        <v>1575</v>
      </c>
      <c r="AN22" s="3">
        <v>1575</v>
      </c>
      <c r="AO22" s="3">
        <v>1530</v>
      </c>
      <c r="AP22" s="3">
        <v>1530</v>
      </c>
      <c r="AQ22" s="3">
        <v>1530</v>
      </c>
      <c r="AR22" s="3">
        <v>1530</v>
      </c>
      <c r="AS22" s="3">
        <v>1530</v>
      </c>
      <c r="AT22" s="3">
        <v>1530</v>
      </c>
      <c r="AU22" s="3">
        <v>1530</v>
      </c>
      <c r="AV22" s="3">
        <v>1530</v>
      </c>
      <c r="AW22" s="3">
        <v>1530</v>
      </c>
      <c r="AX22" s="3">
        <v>1500</v>
      </c>
      <c r="AY22" s="3">
        <v>1500</v>
      </c>
      <c r="AZ22" s="3">
        <v>1500</v>
      </c>
      <c r="BA22" s="3">
        <v>1430</v>
      </c>
      <c r="BB22" s="3">
        <v>1430</v>
      </c>
      <c r="BC22" s="3">
        <v>1430</v>
      </c>
      <c r="BD22" s="171">
        <v>1430</v>
      </c>
      <c r="BE22" s="171">
        <v>1430</v>
      </c>
      <c r="BF22" s="171">
        <v>1430</v>
      </c>
      <c r="BG22" s="171">
        <v>1430</v>
      </c>
      <c r="BH22" s="171">
        <v>1430</v>
      </c>
      <c r="BI22" s="171">
        <v>1430</v>
      </c>
      <c r="BJ22" s="171">
        <v>1430</v>
      </c>
      <c r="BK22" s="171">
        <v>1430</v>
      </c>
      <c r="BL22" s="171">
        <v>1350</v>
      </c>
      <c r="BM22" s="171">
        <v>1350</v>
      </c>
      <c r="BN22" s="171">
        <v>1350</v>
      </c>
      <c r="BO22" s="171">
        <v>1350</v>
      </c>
      <c r="BP22" s="171">
        <v>1380</v>
      </c>
      <c r="BQ22" s="171">
        <v>1380</v>
      </c>
      <c r="BR22" s="171">
        <v>1380</v>
      </c>
      <c r="BS22" s="171">
        <v>1380</v>
      </c>
      <c r="BT22" s="171">
        <v>1380</v>
      </c>
      <c r="BU22" s="171">
        <v>1380</v>
      </c>
      <c r="BV22" s="171">
        <v>1330</v>
      </c>
      <c r="BW22" s="171">
        <v>1330</v>
      </c>
      <c r="BX22" s="171">
        <v>1330</v>
      </c>
      <c r="BY22" s="184"/>
      <c r="BZ22" s="149"/>
      <c r="CC22" s="125" t="s">
        <v>82</v>
      </c>
      <c r="CV22" s="3">
        <f>CV20</f>
        <v>1105</v>
      </c>
      <c r="CW22" s="3">
        <f t="shared" ref="CW22:DS22" si="392">CW20</f>
        <v>1065</v>
      </c>
      <c r="CX22" s="3">
        <f t="shared" si="392"/>
        <v>1065</v>
      </c>
      <c r="CY22" s="3">
        <f t="shared" si="392"/>
        <v>1030</v>
      </c>
      <c r="CZ22" s="3">
        <f t="shared" si="392"/>
        <v>1030</v>
      </c>
      <c r="DA22" s="3">
        <f t="shared" si="392"/>
        <v>1030</v>
      </c>
      <c r="DB22" s="3">
        <f t="shared" si="392"/>
        <v>1015</v>
      </c>
      <c r="DC22" s="3">
        <f t="shared" si="392"/>
        <v>995</v>
      </c>
      <c r="DD22" s="3">
        <f t="shared" si="392"/>
        <v>995</v>
      </c>
      <c r="DE22" s="3">
        <f t="shared" si="392"/>
        <v>995</v>
      </c>
      <c r="DF22" s="3">
        <f t="shared" si="392"/>
        <v>1010</v>
      </c>
      <c r="DG22" s="43">
        <f t="shared" si="392"/>
        <v>940</v>
      </c>
      <c r="DH22" s="43">
        <f t="shared" si="392"/>
        <v>1020</v>
      </c>
      <c r="DI22" s="43">
        <f t="shared" si="392"/>
        <v>1030</v>
      </c>
      <c r="DJ22" s="43">
        <f t="shared" si="392"/>
        <v>1080</v>
      </c>
      <c r="DK22" s="43">
        <f t="shared" si="392"/>
        <v>1100</v>
      </c>
      <c r="DL22" s="43">
        <f t="shared" si="392"/>
        <v>1100</v>
      </c>
      <c r="DM22" s="43">
        <f t="shared" si="392"/>
        <v>1090</v>
      </c>
      <c r="DN22" s="43">
        <f t="shared" si="392"/>
        <v>1080</v>
      </c>
      <c r="DO22" s="43">
        <f t="shared" si="392"/>
        <v>1080</v>
      </c>
      <c r="DP22" s="43">
        <f t="shared" si="392"/>
        <v>1070</v>
      </c>
      <c r="DQ22" s="43">
        <f t="shared" si="392"/>
        <v>1070</v>
      </c>
      <c r="DR22" s="43">
        <f t="shared" si="392"/>
        <v>1070</v>
      </c>
      <c r="DS22" s="43">
        <f t="shared" si="392"/>
        <v>1050</v>
      </c>
      <c r="DT22" s="43">
        <f t="shared" ref="DT22:EH22" si="393">DT20</f>
        <v>1050</v>
      </c>
      <c r="DU22" s="43">
        <f t="shared" si="393"/>
        <v>1050</v>
      </c>
      <c r="DV22" s="43">
        <f t="shared" si="393"/>
        <v>1050</v>
      </c>
      <c r="DW22" s="43">
        <f t="shared" si="393"/>
        <v>1050</v>
      </c>
      <c r="DX22" s="43">
        <f t="shared" si="393"/>
        <v>1050</v>
      </c>
      <c r="DY22" s="43">
        <f t="shared" si="393"/>
        <v>1050</v>
      </c>
      <c r="DZ22" s="43">
        <f t="shared" si="393"/>
        <v>1040</v>
      </c>
      <c r="EA22" s="43">
        <f t="shared" si="393"/>
        <v>1030</v>
      </c>
      <c r="EB22" s="43">
        <f t="shared" si="393"/>
        <v>1030</v>
      </c>
      <c r="EC22" s="43">
        <f t="shared" si="393"/>
        <v>950</v>
      </c>
      <c r="ED22" s="43">
        <f t="shared" si="393"/>
        <v>950</v>
      </c>
      <c r="EE22" s="43">
        <f t="shared" si="393"/>
        <v>950</v>
      </c>
      <c r="EF22" s="43">
        <f t="shared" si="393"/>
        <v>950</v>
      </c>
      <c r="EG22" s="43">
        <f>EG20</f>
        <v>950</v>
      </c>
      <c r="EH22" s="43">
        <f t="shared" si="393"/>
        <v>970</v>
      </c>
      <c r="EI22" s="43">
        <f>EI20</f>
        <v>970</v>
      </c>
      <c r="EJ22" s="43">
        <f>EJ20</f>
        <v>1000</v>
      </c>
      <c r="EK22" s="43">
        <f>EK20</f>
        <v>1000</v>
      </c>
      <c r="EL22" s="43">
        <f>EL20</f>
        <v>1000</v>
      </c>
      <c r="EM22" s="134">
        <f t="shared" ref="EM22:ER22" si="394">EM20</f>
        <v>1020</v>
      </c>
      <c r="EN22" s="134">
        <f t="shared" si="394"/>
        <v>1020</v>
      </c>
      <c r="EO22" s="134">
        <f t="shared" si="394"/>
        <v>1020</v>
      </c>
      <c r="EP22" s="134">
        <f t="shared" si="394"/>
        <v>1030</v>
      </c>
      <c r="EQ22" s="134">
        <f t="shared" si="394"/>
        <v>1030</v>
      </c>
      <c r="ER22" s="134">
        <f t="shared" si="394"/>
        <v>1030</v>
      </c>
      <c r="ES22" s="134">
        <f t="shared" ref="ES22:EX22" si="395">ES20</f>
        <v>1030</v>
      </c>
      <c r="ET22" s="134">
        <f t="shared" si="395"/>
        <v>1030</v>
      </c>
      <c r="EU22" s="134">
        <f t="shared" si="395"/>
        <v>1020</v>
      </c>
      <c r="EV22" s="134">
        <f t="shared" si="395"/>
        <v>1000</v>
      </c>
      <c r="EW22" s="134">
        <f t="shared" si="395"/>
        <v>980</v>
      </c>
      <c r="EX22" s="134">
        <f t="shared" si="395"/>
        <v>960</v>
      </c>
      <c r="EY22" s="134">
        <f t="shared" ref="EY22:EZ22" si="396">EY20</f>
        <v>940</v>
      </c>
      <c r="EZ22" s="134">
        <f t="shared" si="396"/>
        <v>940</v>
      </c>
      <c r="FA22" s="134">
        <f t="shared" ref="FA22:FB22" si="397">FA20</f>
        <v>940</v>
      </c>
      <c r="FB22" s="134">
        <f t="shared" si="397"/>
        <v>940</v>
      </c>
      <c r="FC22" s="134">
        <f t="shared" ref="FC22:FD22" si="398">FC20</f>
        <v>920</v>
      </c>
      <c r="FD22" s="134">
        <f t="shared" si="398"/>
        <v>920</v>
      </c>
      <c r="FE22" s="134">
        <f t="shared" ref="FE22:FF22" si="399">FE20</f>
        <v>920</v>
      </c>
      <c r="FF22" s="134">
        <f t="shared" si="399"/>
        <v>920</v>
      </c>
      <c r="FG22" s="134">
        <f t="shared" ref="FG22:FH22" si="400">FG20</f>
        <v>950</v>
      </c>
      <c r="FH22" s="134">
        <f t="shared" si="400"/>
        <v>950</v>
      </c>
      <c r="FI22" s="134">
        <f t="shared" ref="FI22:FJ22" si="401">FI20</f>
        <v>970</v>
      </c>
      <c r="FJ22" s="134">
        <f t="shared" si="401"/>
        <v>980</v>
      </c>
      <c r="FK22" s="134">
        <f t="shared" ref="FK22:FM22" si="402">FK20</f>
        <v>1000</v>
      </c>
      <c r="FL22" s="134">
        <f t="shared" si="402"/>
        <v>1000</v>
      </c>
      <c r="FM22" s="134">
        <f t="shared" si="402"/>
        <v>1000</v>
      </c>
      <c r="FN22" s="134">
        <f t="shared" ref="FN22:FO22" si="403">FN20</f>
        <v>980</v>
      </c>
      <c r="FO22" s="134">
        <f t="shared" si="403"/>
        <v>980</v>
      </c>
      <c r="FP22" s="134">
        <f t="shared" ref="FP22:FQ22" si="404">FP20</f>
        <v>980</v>
      </c>
      <c r="FQ22" s="134">
        <f t="shared" si="404"/>
        <v>960</v>
      </c>
      <c r="FR22" s="134">
        <f t="shared" ref="FR22:FT22" si="405">FR20</f>
        <v>960</v>
      </c>
      <c r="FS22" s="134">
        <f t="shared" si="405"/>
        <v>960</v>
      </c>
      <c r="FT22" s="134">
        <f t="shared" si="405"/>
        <v>970</v>
      </c>
      <c r="FU22" s="134">
        <f t="shared" ref="FU22:FV22" si="406">FU20</f>
        <v>970</v>
      </c>
      <c r="FV22" s="134">
        <f t="shared" si="406"/>
        <v>980</v>
      </c>
      <c r="FW22" s="134">
        <f t="shared" ref="FW22:FX22" si="407">FW20</f>
        <v>980</v>
      </c>
      <c r="FX22" s="134">
        <f t="shared" si="407"/>
        <v>980</v>
      </c>
      <c r="FY22" s="134">
        <f t="shared" ref="FY22:FZ22" si="408">FY20</f>
        <v>1000</v>
      </c>
      <c r="FZ22" s="134">
        <f t="shared" si="408"/>
        <v>1000</v>
      </c>
      <c r="GA22" s="134">
        <f t="shared" ref="GA22:GB22" si="409">GA20</f>
        <v>1000</v>
      </c>
      <c r="GB22" s="134">
        <f t="shared" si="409"/>
        <v>1000</v>
      </c>
      <c r="GC22" s="134">
        <f t="shared" ref="GC22:GD22" si="410">GC20</f>
        <v>1000</v>
      </c>
      <c r="GD22" s="134">
        <f t="shared" si="410"/>
        <v>1000</v>
      </c>
      <c r="GE22" s="134">
        <f t="shared" ref="GE22:GF22" si="411">GE20</f>
        <v>1000</v>
      </c>
      <c r="GF22" s="134">
        <f t="shared" si="411"/>
        <v>1000</v>
      </c>
      <c r="GG22" s="134">
        <f t="shared" ref="GG22:GH22" si="412">GG20</f>
        <v>1000</v>
      </c>
      <c r="GH22" s="134">
        <f t="shared" si="412"/>
        <v>1000</v>
      </c>
      <c r="GI22" s="134">
        <f t="shared" ref="GI22:GJ22" si="413">GI20</f>
        <v>1000</v>
      </c>
      <c r="GJ22" s="134">
        <f t="shared" si="413"/>
        <v>980</v>
      </c>
      <c r="GK22" s="134">
        <f t="shared" ref="GK22:GL22" si="414">GK20</f>
        <v>970</v>
      </c>
      <c r="GL22" s="134">
        <f t="shared" si="414"/>
        <v>970</v>
      </c>
      <c r="GM22" s="134">
        <f>GM20</f>
        <v>970</v>
      </c>
      <c r="GN22" s="134">
        <f>GN20</f>
        <v>970</v>
      </c>
      <c r="GO22" s="134">
        <f>GO20</f>
        <v>970</v>
      </c>
      <c r="GP22" s="134">
        <f>GP20</f>
        <v>960</v>
      </c>
      <c r="GQ22" s="134">
        <f t="shared" ref="GQ22:GR22" si="415">GQ20</f>
        <v>960</v>
      </c>
      <c r="GR22" s="134">
        <f t="shared" si="415"/>
        <v>960</v>
      </c>
      <c r="GS22" s="134">
        <f t="shared" ref="GS22:GT22" si="416">GS20</f>
        <v>960</v>
      </c>
      <c r="GT22" s="134">
        <f t="shared" si="416"/>
        <v>980</v>
      </c>
      <c r="GU22" s="134">
        <f t="shared" ref="GU22:GY22" si="417">GU20</f>
        <v>980</v>
      </c>
      <c r="GV22" s="134">
        <f t="shared" si="417"/>
        <v>980</v>
      </c>
      <c r="GW22" s="134">
        <f t="shared" si="417"/>
        <v>970</v>
      </c>
      <c r="GX22" s="134">
        <f t="shared" si="417"/>
        <v>970</v>
      </c>
      <c r="GY22" s="134">
        <f t="shared" si="417"/>
        <v>970</v>
      </c>
      <c r="GZ22" s="134">
        <f t="shared" ref="GZ22:HC22" si="418">GZ20</f>
        <v>970</v>
      </c>
      <c r="HA22" s="134">
        <f t="shared" si="418"/>
        <v>950</v>
      </c>
      <c r="HB22" s="134">
        <f t="shared" si="418"/>
        <v>950</v>
      </c>
      <c r="HC22" s="134">
        <f t="shared" si="418"/>
        <v>940</v>
      </c>
      <c r="HD22" s="134">
        <f t="shared" ref="HD22:HE22" si="419">HD20</f>
        <v>940</v>
      </c>
      <c r="HE22" s="134">
        <f t="shared" si="419"/>
        <v>940</v>
      </c>
      <c r="HF22" s="134">
        <f t="shared" ref="HF22:HG22" si="420">HF20</f>
        <v>940</v>
      </c>
      <c r="HG22" s="134">
        <f t="shared" si="420"/>
        <v>940</v>
      </c>
      <c r="HH22" s="134">
        <f t="shared" ref="HH22:HI22" si="421">HH20</f>
        <v>940</v>
      </c>
      <c r="HI22" s="134">
        <f t="shared" si="421"/>
        <v>940</v>
      </c>
      <c r="HJ22" s="134">
        <f t="shared" ref="HJ22:HK22" si="422">HJ20</f>
        <v>896</v>
      </c>
      <c r="HK22" s="134">
        <f t="shared" si="422"/>
        <v>896</v>
      </c>
      <c r="HL22" s="134">
        <f t="shared" ref="HL22:HO22" si="423">HL20</f>
        <v>896</v>
      </c>
      <c r="HM22" s="134">
        <f t="shared" si="423"/>
        <v>896</v>
      </c>
      <c r="HN22" s="134">
        <f t="shared" si="423"/>
        <v>896</v>
      </c>
      <c r="HO22" s="134">
        <f t="shared" si="423"/>
        <v>896</v>
      </c>
      <c r="HP22" s="134">
        <f t="shared" ref="HP22:HS22" si="424">HP20</f>
        <v>896</v>
      </c>
      <c r="HQ22" s="134">
        <f t="shared" si="424"/>
        <v>900</v>
      </c>
      <c r="HR22" s="134">
        <f t="shared" si="424"/>
        <v>890</v>
      </c>
      <c r="HS22" s="134">
        <f t="shared" si="424"/>
        <v>880</v>
      </c>
      <c r="HT22" s="134">
        <f t="shared" ref="HT22:HX22" si="425">HT20</f>
        <v>870</v>
      </c>
      <c r="HU22" s="134">
        <f t="shared" si="425"/>
        <v>870</v>
      </c>
      <c r="HV22" s="134">
        <f t="shared" si="425"/>
        <v>860</v>
      </c>
      <c r="HW22" s="134">
        <f t="shared" si="425"/>
        <v>860</v>
      </c>
      <c r="HX22" s="134">
        <f t="shared" si="425"/>
        <v>860</v>
      </c>
      <c r="HY22" s="134">
        <f t="shared" ref="HY22:IB22" si="426">HY20</f>
        <v>833</v>
      </c>
      <c r="HZ22" s="134">
        <f t="shared" si="426"/>
        <v>833</v>
      </c>
      <c r="IA22" s="134">
        <f t="shared" si="426"/>
        <v>833</v>
      </c>
      <c r="IB22" s="134">
        <f t="shared" si="426"/>
        <v>833</v>
      </c>
      <c r="IC22" s="134">
        <f t="shared" ref="IC22:IG22" si="427">IC20</f>
        <v>833</v>
      </c>
      <c r="ID22" s="134">
        <f t="shared" si="427"/>
        <v>833</v>
      </c>
      <c r="IE22" s="134">
        <f t="shared" si="427"/>
        <v>833</v>
      </c>
      <c r="IF22" s="134">
        <f t="shared" si="427"/>
        <v>833</v>
      </c>
      <c r="IG22" s="134">
        <f t="shared" si="427"/>
        <v>833</v>
      </c>
      <c r="IH22" s="134">
        <f t="shared" ref="IH22:IK22" si="428">IH20</f>
        <v>815</v>
      </c>
      <c r="II22" s="134">
        <f t="shared" si="428"/>
        <v>815</v>
      </c>
      <c r="IJ22" s="134">
        <f t="shared" si="428"/>
        <v>815</v>
      </c>
      <c r="IK22" s="134">
        <f t="shared" si="428"/>
        <v>815</v>
      </c>
      <c r="IL22" s="134">
        <f t="shared" ref="IL22:IO22" si="429">IL20</f>
        <v>815</v>
      </c>
      <c r="IM22" s="134">
        <f t="shared" si="429"/>
        <v>815</v>
      </c>
      <c r="IN22" s="134">
        <f t="shared" si="429"/>
        <v>815</v>
      </c>
      <c r="IO22" s="134">
        <f t="shared" si="429"/>
        <v>805</v>
      </c>
      <c r="IP22" s="134">
        <f t="shared" ref="IP22:IT22" si="430">IP20</f>
        <v>805</v>
      </c>
      <c r="IQ22" s="134">
        <f t="shared" si="430"/>
        <v>805</v>
      </c>
      <c r="IR22" s="134">
        <f t="shared" si="430"/>
        <v>805</v>
      </c>
      <c r="IS22" s="134">
        <f t="shared" si="430"/>
        <v>805</v>
      </c>
      <c r="IT22" s="134">
        <f t="shared" si="430"/>
        <v>805</v>
      </c>
      <c r="IU22" s="134">
        <f t="shared" ref="IU22:IX22" si="431">IU20</f>
        <v>805</v>
      </c>
      <c r="IV22" s="134">
        <f t="shared" si="431"/>
        <v>805</v>
      </c>
      <c r="IW22" s="134">
        <f t="shared" si="431"/>
        <v>805</v>
      </c>
      <c r="IX22" s="134">
        <f t="shared" si="431"/>
        <v>805</v>
      </c>
      <c r="IY22" s="134">
        <f t="shared" ref="IY22:JB22" si="432">IY20</f>
        <v>805</v>
      </c>
      <c r="IZ22" s="134">
        <f t="shared" si="432"/>
        <v>805</v>
      </c>
      <c r="JA22" s="134">
        <f t="shared" si="432"/>
        <v>800</v>
      </c>
      <c r="JB22" s="134">
        <f t="shared" si="432"/>
        <v>800</v>
      </c>
      <c r="JC22" s="134">
        <f t="shared" ref="JC22:JG22" si="433">JC20</f>
        <v>800</v>
      </c>
      <c r="JD22" s="134">
        <f t="shared" si="433"/>
        <v>800</v>
      </c>
      <c r="JE22" s="134">
        <f t="shared" si="433"/>
        <v>800</v>
      </c>
      <c r="JF22" s="134">
        <f t="shared" si="433"/>
        <v>800</v>
      </c>
      <c r="JG22" s="134">
        <f t="shared" si="433"/>
        <v>800</v>
      </c>
      <c r="JH22" s="134">
        <f t="shared" ref="JH22:JK22" si="434">JH20</f>
        <v>800</v>
      </c>
      <c r="JI22" s="134">
        <f t="shared" si="434"/>
        <v>800</v>
      </c>
      <c r="JJ22" s="134">
        <f t="shared" si="434"/>
        <v>800</v>
      </c>
      <c r="JK22" s="134">
        <f t="shared" si="434"/>
        <v>800</v>
      </c>
      <c r="JL22" s="134">
        <f t="shared" ref="JL22:JO22" si="435">JL20</f>
        <v>975</v>
      </c>
      <c r="JM22" s="134">
        <f t="shared" si="435"/>
        <v>1350</v>
      </c>
      <c r="JN22" s="134">
        <f t="shared" si="435"/>
        <v>1450</v>
      </c>
      <c r="JO22" s="134">
        <f t="shared" si="435"/>
        <v>1550</v>
      </c>
    </row>
    <row r="23" spans="1:275" ht="14">
      <c r="F23" s="117"/>
      <c r="H23" s="125" t="s">
        <v>82</v>
      </c>
      <c r="U23" s="41">
        <f>U21</f>
        <v>1185</v>
      </c>
      <c r="V23" s="41">
        <f t="shared" ref="V23:AQ23" si="436">V21</f>
        <v>1297.5</v>
      </c>
      <c r="W23" s="41">
        <f t="shared" si="436"/>
        <v>1386</v>
      </c>
      <c r="X23" s="41">
        <f t="shared" si="436"/>
        <v>1390</v>
      </c>
      <c r="Y23" s="41">
        <f t="shared" si="436"/>
        <v>1320</v>
      </c>
      <c r="Z23" s="41">
        <f t="shared" si="436"/>
        <v>1327</v>
      </c>
      <c r="AA23" s="41">
        <f t="shared" si="436"/>
        <v>1248</v>
      </c>
      <c r="AB23" s="41">
        <f t="shared" si="436"/>
        <v>1230</v>
      </c>
      <c r="AC23" s="41">
        <f t="shared" si="436"/>
        <v>1130</v>
      </c>
      <c r="AD23" s="41">
        <f t="shared" si="436"/>
        <v>1130</v>
      </c>
      <c r="AE23" s="41">
        <f t="shared" si="436"/>
        <v>1105</v>
      </c>
      <c r="AF23" s="41">
        <f t="shared" si="436"/>
        <v>1105</v>
      </c>
      <c r="AG23" s="41">
        <f t="shared" si="436"/>
        <v>1105</v>
      </c>
      <c r="AH23" s="41">
        <f t="shared" si="436"/>
        <v>1105</v>
      </c>
      <c r="AI23" s="41">
        <f t="shared" si="436"/>
        <v>1065</v>
      </c>
      <c r="AJ23" s="41">
        <f t="shared" si="436"/>
        <v>1065</v>
      </c>
      <c r="AK23" s="41">
        <f t="shared" si="436"/>
        <v>1002</v>
      </c>
      <c r="AL23" s="41">
        <f t="shared" si="436"/>
        <v>1017.5</v>
      </c>
      <c r="AM23" s="41">
        <f t="shared" si="436"/>
        <v>1092.5</v>
      </c>
      <c r="AN23" s="41">
        <f t="shared" si="436"/>
        <v>1072.5</v>
      </c>
      <c r="AO23" s="41">
        <f t="shared" si="436"/>
        <v>1050</v>
      </c>
      <c r="AP23" s="41">
        <f t="shared" si="436"/>
        <v>1044</v>
      </c>
      <c r="AQ23" s="41">
        <f t="shared" si="436"/>
        <v>970</v>
      </c>
      <c r="AR23" s="41">
        <f t="shared" ref="AR23:AW23" si="437">AR21</f>
        <v>960</v>
      </c>
      <c r="AS23" s="41">
        <f t="shared" si="437"/>
        <v>1008</v>
      </c>
      <c r="AT23" s="41">
        <f t="shared" si="437"/>
        <v>1027.5</v>
      </c>
      <c r="AU23" s="41">
        <f t="shared" si="437"/>
        <v>1020</v>
      </c>
      <c r="AV23" s="41">
        <f t="shared" si="437"/>
        <v>955</v>
      </c>
      <c r="AW23" s="41">
        <f t="shared" si="437"/>
        <v>928</v>
      </c>
      <c r="AX23" s="41">
        <f t="shared" ref="AX23:AY23" si="438">AX21</f>
        <v>940</v>
      </c>
      <c r="AY23" s="41">
        <f t="shared" si="438"/>
        <v>993.33333333333337</v>
      </c>
      <c r="AZ23" s="41">
        <f t="shared" ref="AZ23:BA23" si="439">AZ21</f>
        <v>985</v>
      </c>
      <c r="BA23" s="41">
        <f t="shared" si="439"/>
        <v>962.5</v>
      </c>
      <c r="BB23" s="41">
        <f t="shared" ref="BB23:BC23" si="440">BB21</f>
        <v>982</v>
      </c>
      <c r="BC23" s="41">
        <f t="shared" si="440"/>
        <v>1000</v>
      </c>
      <c r="BD23" s="41">
        <f t="shared" ref="BD23:BE23" si="441">BD21</f>
        <v>1000</v>
      </c>
      <c r="BE23" s="41">
        <f t="shared" si="441"/>
        <v>984</v>
      </c>
      <c r="BF23" s="41">
        <f t="shared" ref="BF23:BG23" si="442">BF21</f>
        <v>967.5</v>
      </c>
      <c r="BG23" s="41">
        <f t="shared" si="442"/>
        <v>965</v>
      </c>
      <c r="BH23" s="41">
        <f t="shared" ref="BH23:BI23" si="443">BH21</f>
        <v>974</v>
      </c>
      <c r="BI23" s="41">
        <f t="shared" si="443"/>
        <v>956</v>
      </c>
      <c r="BJ23" s="41">
        <f t="shared" ref="BJ23:BK23" si="444">BJ21</f>
        <v>940</v>
      </c>
      <c r="BK23" s="41">
        <f t="shared" si="444"/>
        <v>918</v>
      </c>
      <c r="BL23" s="41">
        <f t="shared" ref="BL23:BM23" si="445">BL21</f>
        <v>896</v>
      </c>
      <c r="BM23" s="41">
        <f t="shared" si="445"/>
        <v>891.5</v>
      </c>
      <c r="BN23" s="41">
        <f t="shared" ref="BN23:BO23" si="446">BN21</f>
        <v>864</v>
      </c>
      <c r="BO23" s="41">
        <f t="shared" si="446"/>
        <v>833</v>
      </c>
      <c r="BP23" s="41">
        <f t="shared" ref="BP23:BQ23" si="447">BP21</f>
        <v>833</v>
      </c>
      <c r="BQ23" s="41">
        <f t="shared" si="447"/>
        <v>815</v>
      </c>
      <c r="BR23" s="41">
        <f t="shared" ref="BR23:BS23" si="448">BR21</f>
        <v>812.5</v>
      </c>
      <c r="BS23" s="41">
        <f t="shared" si="448"/>
        <v>805</v>
      </c>
      <c r="BT23" s="41">
        <f t="shared" ref="BT23:BU23" si="449">BT21</f>
        <v>805</v>
      </c>
      <c r="BU23" s="41">
        <f t="shared" si="449"/>
        <v>802.5</v>
      </c>
      <c r="BV23" s="41">
        <f t="shared" ref="BV23:BW23" si="450">BV21</f>
        <v>800</v>
      </c>
      <c r="BW23" s="41">
        <f t="shared" si="450"/>
        <v>800</v>
      </c>
      <c r="BX23" s="41">
        <f t="shared" ref="BX23:BY23" si="451">BX21</f>
        <v>1331.25</v>
      </c>
      <c r="BY23" s="41">
        <f t="shared" si="451"/>
        <v>1550</v>
      </c>
      <c r="BZ23" s="146"/>
      <c r="CC23" s="117" t="s">
        <v>83</v>
      </c>
      <c r="CV23" s="41">
        <f t="shared" ref="CV23:EC23" si="452">+CV9-CV22</f>
        <v>425</v>
      </c>
      <c r="CW23" s="41">
        <f t="shared" si="452"/>
        <v>465</v>
      </c>
      <c r="CX23" s="41">
        <f t="shared" si="452"/>
        <v>465</v>
      </c>
      <c r="CY23" s="41">
        <f t="shared" si="452"/>
        <v>500</v>
      </c>
      <c r="CZ23" s="41">
        <f t="shared" si="452"/>
        <v>500</v>
      </c>
      <c r="DA23" s="41">
        <f t="shared" si="452"/>
        <v>500</v>
      </c>
      <c r="DB23" s="41">
        <f t="shared" si="452"/>
        <v>515</v>
      </c>
      <c r="DC23" s="41">
        <f t="shared" si="452"/>
        <v>535</v>
      </c>
      <c r="DD23" s="41">
        <f t="shared" si="452"/>
        <v>535</v>
      </c>
      <c r="DE23" s="41">
        <f t="shared" si="452"/>
        <v>405</v>
      </c>
      <c r="DF23" s="41">
        <f t="shared" si="452"/>
        <v>390</v>
      </c>
      <c r="DG23" s="41">
        <f>+DG9-DG22</f>
        <v>460</v>
      </c>
      <c r="DH23" s="41">
        <f t="shared" si="452"/>
        <v>380</v>
      </c>
      <c r="DI23" s="41">
        <f t="shared" si="452"/>
        <v>370</v>
      </c>
      <c r="DJ23" s="41">
        <f t="shared" si="452"/>
        <v>320</v>
      </c>
      <c r="DK23" s="41">
        <f t="shared" si="452"/>
        <v>300</v>
      </c>
      <c r="DL23" s="41">
        <f t="shared" si="452"/>
        <v>300</v>
      </c>
      <c r="DM23" s="41">
        <f t="shared" si="452"/>
        <v>310</v>
      </c>
      <c r="DN23" s="41">
        <f t="shared" si="452"/>
        <v>320</v>
      </c>
      <c r="DO23" s="41">
        <f t="shared" si="452"/>
        <v>320</v>
      </c>
      <c r="DP23" s="41">
        <f t="shared" si="452"/>
        <v>330</v>
      </c>
      <c r="DQ23" s="41">
        <f t="shared" si="452"/>
        <v>330</v>
      </c>
      <c r="DR23" s="41">
        <f t="shared" si="452"/>
        <v>330</v>
      </c>
      <c r="DS23" s="41">
        <f t="shared" si="452"/>
        <v>480</v>
      </c>
      <c r="DT23" s="41">
        <f t="shared" si="452"/>
        <v>480</v>
      </c>
      <c r="DU23" s="41">
        <f t="shared" si="452"/>
        <v>480</v>
      </c>
      <c r="DV23" s="41">
        <f t="shared" si="452"/>
        <v>480</v>
      </c>
      <c r="DW23" s="41">
        <f t="shared" si="452"/>
        <v>480</v>
      </c>
      <c r="DX23" s="41">
        <f t="shared" si="452"/>
        <v>480</v>
      </c>
      <c r="DY23" s="41">
        <f t="shared" si="452"/>
        <v>480</v>
      </c>
      <c r="DZ23" s="41">
        <f t="shared" si="452"/>
        <v>490</v>
      </c>
      <c r="EA23" s="41">
        <f t="shared" si="452"/>
        <v>500</v>
      </c>
      <c r="EB23" s="41">
        <f t="shared" si="452"/>
        <v>500</v>
      </c>
      <c r="EC23" s="41">
        <f t="shared" si="452"/>
        <v>500</v>
      </c>
      <c r="ED23" s="41">
        <f t="shared" ref="ED23:EI23" si="453">+ED9-ED22</f>
        <v>500</v>
      </c>
      <c r="EE23" s="41">
        <f t="shared" si="453"/>
        <v>500</v>
      </c>
      <c r="EF23" s="41">
        <f t="shared" si="453"/>
        <v>500</v>
      </c>
      <c r="EG23" s="41">
        <f t="shared" si="453"/>
        <v>500</v>
      </c>
      <c r="EH23" s="41">
        <f t="shared" si="453"/>
        <v>430</v>
      </c>
      <c r="EI23" s="41">
        <f t="shared" si="453"/>
        <v>430</v>
      </c>
      <c r="EJ23" s="41">
        <f>+EJ9-EJ22</f>
        <v>400</v>
      </c>
      <c r="EK23" s="41">
        <f>+EK9-EK22</f>
        <v>400</v>
      </c>
      <c r="EL23" s="41">
        <f>+EL9-EL22</f>
        <v>400</v>
      </c>
      <c r="EM23" s="41">
        <f t="shared" ref="EM23:ER23" si="454">+EM9-EM22</f>
        <v>380</v>
      </c>
      <c r="EN23" s="41">
        <f t="shared" si="454"/>
        <v>380</v>
      </c>
      <c r="EO23" s="41">
        <f t="shared" si="454"/>
        <v>380</v>
      </c>
      <c r="EP23" s="41">
        <f t="shared" si="454"/>
        <v>370</v>
      </c>
      <c r="EQ23" s="41">
        <f t="shared" si="454"/>
        <v>370</v>
      </c>
      <c r="ER23" s="41">
        <f t="shared" si="454"/>
        <v>370</v>
      </c>
      <c r="ES23" s="41">
        <f t="shared" ref="ES23:EY23" si="455">+ES9-ES22</f>
        <v>370</v>
      </c>
      <c r="ET23" s="41">
        <f t="shared" si="455"/>
        <v>370</v>
      </c>
      <c r="EU23" s="41">
        <f t="shared" si="455"/>
        <v>380</v>
      </c>
      <c r="EV23" s="41">
        <f t="shared" si="455"/>
        <v>400</v>
      </c>
      <c r="EW23" s="41">
        <f t="shared" si="455"/>
        <v>420</v>
      </c>
      <c r="EX23" s="41">
        <f t="shared" si="455"/>
        <v>440</v>
      </c>
      <c r="EY23" s="41">
        <f t="shared" si="455"/>
        <v>460</v>
      </c>
      <c r="EZ23" s="41">
        <f t="shared" ref="EZ23:FA23" si="456">+EZ9-EZ22</f>
        <v>460</v>
      </c>
      <c r="FA23" s="41">
        <f t="shared" si="456"/>
        <v>460</v>
      </c>
      <c r="FB23" s="41">
        <f t="shared" ref="FB23:FC23" si="457">+FB9-FB22</f>
        <v>460</v>
      </c>
      <c r="FC23" s="41">
        <f t="shared" si="457"/>
        <v>480</v>
      </c>
      <c r="FD23" s="41">
        <f t="shared" ref="FD23:FE23" si="458">+FD9-FD22</f>
        <v>480</v>
      </c>
      <c r="FE23" s="41">
        <f t="shared" si="458"/>
        <v>480</v>
      </c>
      <c r="FF23" s="41">
        <f t="shared" ref="FF23:FG23" si="459">+FF9-FF22</f>
        <v>480</v>
      </c>
      <c r="FG23" s="41">
        <f t="shared" si="459"/>
        <v>450</v>
      </c>
      <c r="FH23" s="41">
        <f t="shared" ref="FH23:FI23" si="460">+FH9-FH22</f>
        <v>450</v>
      </c>
      <c r="FI23" s="41">
        <f t="shared" si="460"/>
        <v>430</v>
      </c>
      <c r="FJ23" s="41">
        <f t="shared" ref="FJ23:FK23" si="461">+FJ9-FJ22</f>
        <v>420</v>
      </c>
      <c r="FK23" s="41">
        <f t="shared" si="461"/>
        <v>400</v>
      </c>
      <c r="FL23" s="41">
        <f t="shared" ref="FL23:FM23" si="462">+FL9-FL22</f>
        <v>400</v>
      </c>
      <c r="FM23" s="41">
        <f t="shared" si="462"/>
        <v>400</v>
      </c>
      <c r="FN23" s="41">
        <f t="shared" ref="FN23:FO23" si="463">+FN9-FN22</f>
        <v>420</v>
      </c>
      <c r="FO23" s="41">
        <f t="shared" si="463"/>
        <v>420</v>
      </c>
      <c r="FP23" s="41">
        <f t="shared" ref="FP23:FQ23" si="464">+FP9-FP22</f>
        <v>420</v>
      </c>
      <c r="FQ23" s="41">
        <f t="shared" si="464"/>
        <v>440</v>
      </c>
      <c r="FR23" s="41">
        <f t="shared" ref="FR23:FT23" si="465">+FR9-FR22</f>
        <v>440</v>
      </c>
      <c r="FS23" s="41">
        <f t="shared" si="465"/>
        <v>440</v>
      </c>
      <c r="FT23" s="41">
        <f t="shared" si="465"/>
        <v>430</v>
      </c>
      <c r="FU23" s="41">
        <f t="shared" ref="FU23:FV23" si="466">+FU9-FU22</f>
        <v>430</v>
      </c>
      <c r="FV23" s="41">
        <f t="shared" si="466"/>
        <v>420</v>
      </c>
      <c r="FW23" s="41">
        <f t="shared" ref="FW23:FX23" si="467">+FW9-FW22</f>
        <v>420</v>
      </c>
      <c r="FX23" s="41">
        <f t="shared" si="467"/>
        <v>420</v>
      </c>
      <c r="FY23" s="41">
        <f t="shared" ref="FY23:FZ23" si="468">+FY9-FY22</f>
        <v>400</v>
      </c>
      <c r="FZ23" s="41">
        <f t="shared" si="468"/>
        <v>400</v>
      </c>
      <c r="GA23" s="41">
        <f t="shared" ref="GA23:GB23" si="469">+GA9-GA22</f>
        <v>400</v>
      </c>
      <c r="GB23" s="41">
        <f t="shared" si="469"/>
        <v>400</v>
      </c>
      <c r="GC23" s="41">
        <f t="shared" ref="GC23:GD23" si="470">+GC9-GC22</f>
        <v>400</v>
      </c>
      <c r="GD23" s="41">
        <f t="shared" si="470"/>
        <v>400</v>
      </c>
      <c r="GE23" s="41">
        <f t="shared" ref="GE23:GF23" si="471">+GE9-GE22</f>
        <v>400</v>
      </c>
      <c r="GF23" s="41">
        <f t="shared" si="471"/>
        <v>400</v>
      </c>
      <c r="GG23" s="41">
        <f t="shared" ref="GG23:GH23" si="472">+GG9-GG22</f>
        <v>400</v>
      </c>
      <c r="GH23" s="41">
        <f t="shared" si="472"/>
        <v>400</v>
      </c>
      <c r="GI23" s="41">
        <f t="shared" ref="GI23:GJ23" si="473">+GI9-GI22</f>
        <v>400</v>
      </c>
      <c r="GJ23" s="41">
        <f t="shared" si="473"/>
        <v>420</v>
      </c>
      <c r="GK23" s="41">
        <f t="shared" ref="GK23:GL23" si="474">+GK9-GK22</f>
        <v>430</v>
      </c>
      <c r="GL23" s="41">
        <f t="shared" si="474"/>
        <v>430</v>
      </c>
      <c r="GM23" s="41">
        <f t="shared" ref="GM23:GN23" si="475">+GM9-GM22</f>
        <v>430</v>
      </c>
      <c r="GN23" s="41">
        <f t="shared" si="475"/>
        <v>430</v>
      </c>
      <c r="GO23" s="41">
        <f t="shared" ref="GO23:GP23" si="476">+GO9-GO22</f>
        <v>430</v>
      </c>
      <c r="GP23" s="41">
        <f t="shared" si="476"/>
        <v>440</v>
      </c>
      <c r="GQ23" s="41">
        <f t="shared" ref="GQ23:GR23" si="477">+GQ9-GQ22</f>
        <v>440</v>
      </c>
      <c r="GR23" s="41">
        <f t="shared" si="477"/>
        <v>440</v>
      </c>
      <c r="GS23" s="41">
        <f t="shared" ref="GS23:GT23" si="478">+GS9-GS22</f>
        <v>440</v>
      </c>
      <c r="GT23" s="41">
        <f t="shared" si="478"/>
        <v>420</v>
      </c>
      <c r="GU23" s="41">
        <f t="shared" ref="GU23:GY23" si="479">+GU9-GU22</f>
        <v>420</v>
      </c>
      <c r="GV23" s="41">
        <f t="shared" si="479"/>
        <v>420</v>
      </c>
      <c r="GW23" s="41">
        <f t="shared" si="479"/>
        <v>430</v>
      </c>
      <c r="GX23" s="41">
        <f t="shared" si="479"/>
        <v>430</v>
      </c>
      <c r="GY23" s="41">
        <f t="shared" si="479"/>
        <v>430</v>
      </c>
      <c r="GZ23" s="41">
        <f t="shared" ref="GZ23:HC23" si="480">+GZ9-GZ22</f>
        <v>430</v>
      </c>
      <c r="HA23" s="41">
        <f t="shared" si="480"/>
        <v>450</v>
      </c>
      <c r="HB23" s="41">
        <f t="shared" si="480"/>
        <v>450</v>
      </c>
      <c r="HC23" s="41">
        <f t="shared" si="480"/>
        <v>460</v>
      </c>
      <c r="HD23" s="41">
        <f t="shared" ref="HD23:HE23" si="481">+HD9-HD22</f>
        <v>460</v>
      </c>
      <c r="HE23" s="41">
        <f t="shared" si="481"/>
        <v>460</v>
      </c>
      <c r="HF23" s="41">
        <f t="shared" ref="HF23:HG23" si="482">+HF9-HF22</f>
        <v>460</v>
      </c>
      <c r="HG23" s="41">
        <f t="shared" si="482"/>
        <v>460</v>
      </c>
      <c r="HH23" s="41">
        <f t="shared" ref="HH23:HI23" si="483">+HH9-HH22</f>
        <v>460</v>
      </c>
      <c r="HI23" s="41">
        <f t="shared" si="483"/>
        <v>460</v>
      </c>
      <c r="HJ23" s="41">
        <f t="shared" ref="HJ23:HK23" si="484">+HJ9-HJ22</f>
        <v>504</v>
      </c>
      <c r="HK23" s="41">
        <f t="shared" si="484"/>
        <v>504</v>
      </c>
      <c r="HL23" s="41">
        <f t="shared" ref="HL23:HO23" si="485">+HL9-HL22</f>
        <v>454</v>
      </c>
      <c r="HM23" s="41">
        <f t="shared" si="485"/>
        <v>454</v>
      </c>
      <c r="HN23" s="41">
        <f t="shared" si="485"/>
        <v>454</v>
      </c>
      <c r="HO23" s="41">
        <f t="shared" si="485"/>
        <v>454</v>
      </c>
      <c r="HP23" s="41">
        <f t="shared" ref="HP23:HS23" si="486">+HP9-HP22</f>
        <v>454</v>
      </c>
      <c r="HQ23" s="41">
        <f t="shared" si="486"/>
        <v>450</v>
      </c>
      <c r="HR23" s="41">
        <f t="shared" si="486"/>
        <v>460</v>
      </c>
      <c r="HS23" s="41">
        <f t="shared" si="486"/>
        <v>470</v>
      </c>
      <c r="HT23" s="41">
        <f t="shared" ref="HT23:HX23" si="487">+HT9-HT22</f>
        <v>480</v>
      </c>
      <c r="HU23" s="41">
        <f t="shared" si="487"/>
        <v>480</v>
      </c>
      <c r="HV23" s="41">
        <f t="shared" si="487"/>
        <v>490</v>
      </c>
      <c r="HW23" s="41">
        <f t="shared" si="487"/>
        <v>490</v>
      </c>
      <c r="HX23" s="41">
        <f t="shared" si="487"/>
        <v>490</v>
      </c>
      <c r="HY23" s="41">
        <f t="shared" ref="HY23:IB23" si="488">+HY9-HY22</f>
        <v>517</v>
      </c>
      <c r="HZ23" s="41">
        <f t="shared" si="488"/>
        <v>517</v>
      </c>
      <c r="IA23" s="41">
        <f t="shared" si="488"/>
        <v>517</v>
      </c>
      <c r="IB23" s="41">
        <f t="shared" si="488"/>
        <v>517</v>
      </c>
      <c r="IC23" s="41">
        <f t="shared" ref="IC23:IG23" si="489">+IC9-IC22</f>
        <v>517</v>
      </c>
      <c r="ID23" s="41">
        <f t="shared" si="489"/>
        <v>517</v>
      </c>
      <c r="IE23" s="41">
        <f t="shared" si="489"/>
        <v>517</v>
      </c>
      <c r="IF23" s="41">
        <f t="shared" si="489"/>
        <v>517</v>
      </c>
      <c r="IG23" s="41">
        <f t="shared" si="489"/>
        <v>517</v>
      </c>
      <c r="IH23" s="41">
        <f t="shared" ref="IH23:IK23" si="490">+IH9-IH22</f>
        <v>515</v>
      </c>
      <c r="II23" s="41">
        <f t="shared" si="490"/>
        <v>515</v>
      </c>
      <c r="IJ23" s="41">
        <f t="shared" si="490"/>
        <v>515</v>
      </c>
      <c r="IK23" s="41">
        <f t="shared" si="490"/>
        <v>515</v>
      </c>
      <c r="IL23" s="41">
        <f t="shared" ref="IL23:IO23" si="491">+IL9-IL22</f>
        <v>495</v>
      </c>
      <c r="IM23" s="41">
        <f t="shared" si="491"/>
        <v>495</v>
      </c>
      <c r="IN23" s="41">
        <f t="shared" si="491"/>
        <v>495</v>
      </c>
      <c r="IO23" s="41">
        <f t="shared" si="491"/>
        <v>505</v>
      </c>
      <c r="IP23" s="41">
        <f>+IP9-IP22</f>
        <v>505</v>
      </c>
      <c r="IQ23" s="41">
        <f t="shared" ref="IQ23:IT23" si="492">+IQ9-IQ22</f>
        <v>505</v>
      </c>
      <c r="IR23" s="41">
        <f t="shared" si="492"/>
        <v>505</v>
      </c>
      <c r="IS23" s="41">
        <f t="shared" si="492"/>
        <v>505</v>
      </c>
      <c r="IT23" s="41">
        <f t="shared" si="492"/>
        <v>505</v>
      </c>
      <c r="IU23" s="41">
        <f t="shared" ref="IU23:IX23" si="493">+IU9-IU22</f>
        <v>495</v>
      </c>
      <c r="IV23" s="41">
        <f t="shared" si="493"/>
        <v>495</v>
      </c>
      <c r="IW23" s="41">
        <f t="shared" si="493"/>
        <v>495</v>
      </c>
      <c r="IX23" s="41">
        <f t="shared" si="493"/>
        <v>495</v>
      </c>
      <c r="IY23" s="41">
        <f t="shared" ref="IY23:JB23" si="494">+IY9-IY22</f>
        <v>495</v>
      </c>
      <c r="IZ23" s="41">
        <f t="shared" si="494"/>
        <v>495</v>
      </c>
      <c r="JA23" s="41">
        <f t="shared" si="494"/>
        <v>500</v>
      </c>
      <c r="JB23" s="41">
        <f t="shared" si="494"/>
        <v>500</v>
      </c>
      <c r="JC23" s="41">
        <f t="shared" ref="JC23:JG23" si="495">+JC9-JC22</f>
        <v>500</v>
      </c>
      <c r="JD23" s="41">
        <f t="shared" si="495"/>
        <v>500</v>
      </c>
      <c r="JE23" s="41">
        <f t="shared" si="495"/>
        <v>500</v>
      </c>
      <c r="JF23" s="41">
        <f t="shared" si="495"/>
        <v>500</v>
      </c>
      <c r="JG23" s="41">
        <f t="shared" si="495"/>
        <v>500</v>
      </c>
      <c r="JH23" s="41">
        <f t="shared" ref="JH23:JK23" si="496">+JH9-JH22</f>
        <v>500</v>
      </c>
      <c r="JI23" s="41">
        <f t="shared" si="496"/>
        <v>500</v>
      </c>
      <c r="JJ23" s="41">
        <f t="shared" si="496"/>
        <v>500</v>
      </c>
      <c r="JK23" s="41">
        <f t="shared" si="496"/>
        <v>500</v>
      </c>
      <c r="JL23" s="41">
        <f t="shared" ref="JL23:JO23" si="497">+JL9-JL22</f>
        <v>325</v>
      </c>
      <c r="JM23" s="41">
        <f t="shared" si="497"/>
        <v>-50</v>
      </c>
      <c r="JN23" s="41">
        <f t="shared" si="497"/>
        <v>-100</v>
      </c>
      <c r="JO23" s="41">
        <f t="shared" si="497"/>
        <v>-200</v>
      </c>
    </row>
    <row r="24" spans="1:275" ht="14">
      <c r="H24" s="117" t="s">
        <v>83</v>
      </c>
      <c r="U24" s="41">
        <f>U9-U23</f>
        <v>345</v>
      </c>
      <c r="V24" s="41">
        <f t="shared" ref="V24:AQ24" si="498">V9-V23</f>
        <v>232.5</v>
      </c>
      <c r="W24" s="41">
        <f t="shared" si="498"/>
        <v>174</v>
      </c>
      <c r="X24" s="41">
        <f t="shared" si="498"/>
        <v>220</v>
      </c>
      <c r="Y24" s="41">
        <f t="shared" si="498"/>
        <v>290</v>
      </c>
      <c r="Z24" s="41">
        <f t="shared" si="498"/>
        <v>283</v>
      </c>
      <c r="AA24" s="41">
        <f t="shared" si="498"/>
        <v>362</v>
      </c>
      <c r="AB24" s="41">
        <f t="shared" si="498"/>
        <v>380</v>
      </c>
      <c r="AC24" s="41">
        <f t="shared" si="498"/>
        <v>480</v>
      </c>
      <c r="AD24" s="41">
        <f t="shared" si="498"/>
        <v>400</v>
      </c>
      <c r="AE24" s="41">
        <f t="shared" si="498"/>
        <v>425</v>
      </c>
      <c r="AF24" s="41">
        <f t="shared" si="498"/>
        <v>425</v>
      </c>
      <c r="AG24" s="41">
        <f t="shared" si="498"/>
        <v>425</v>
      </c>
      <c r="AH24" s="41">
        <f t="shared" si="498"/>
        <v>425</v>
      </c>
      <c r="AI24" s="41">
        <f t="shared" si="498"/>
        <v>465</v>
      </c>
      <c r="AJ24" s="41">
        <f t="shared" si="498"/>
        <v>465</v>
      </c>
      <c r="AK24" s="41">
        <f t="shared" si="498"/>
        <v>528</v>
      </c>
      <c r="AL24" s="41">
        <f>AL9-AL23</f>
        <v>382.5</v>
      </c>
      <c r="AM24" s="41">
        <f t="shared" si="498"/>
        <v>307.5</v>
      </c>
      <c r="AN24" s="41">
        <f t="shared" si="498"/>
        <v>327.5</v>
      </c>
      <c r="AO24" s="41">
        <f t="shared" si="498"/>
        <v>480</v>
      </c>
      <c r="AP24" s="41">
        <f t="shared" si="498"/>
        <v>486</v>
      </c>
      <c r="AQ24" s="41">
        <f t="shared" si="498"/>
        <v>560</v>
      </c>
      <c r="AR24" s="41">
        <f t="shared" ref="AR24:AW24" si="499">AR9-AR23</f>
        <v>490</v>
      </c>
      <c r="AS24" s="41">
        <f t="shared" si="499"/>
        <v>392</v>
      </c>
      <c r="AT24" s="41">
        <f t="shared" si="499"/>
        <v>372.5</v>
      </c>
      <c r="AU24" s="41">
        <f t="shared" si="499"/>
        <v>380</v>
      </c>
      <c r="AV24" s="41">
        <f t="shared" si="499"/>
        <v>445</v>
      </c>
      <c r="AW24" s="41">
        <f t="shared" si="499"/>
        <v>472</v>
      </c>
      <c r="AX24" s="41">
        <f t="shared" ref="AX24:AY24" si="500">AX9-AX23</f>
        <v>460</v>
      </c>
      <c r="AY24" s="41">
        <f t="shared" si="500"/>
        <v>406.66666666666663</v>
      </c>
      <c r="AZ24" s="41">
        <f t="shared" ref="AZ24:BA24" si="501">AZ9-AZ23</f>
        <v>415</v>
      </c>
      <c r="BA24" s="41">
        <f t="shared" si="501"/>
        <v>437.5</v>
      </c>
      <c r="BB24" s="41">
        <f t="shared" ref="BB24:BC24" si="502">BB9-BB23</f>
        <v>418</v>
      </c>
      <c r="BC24" s="41">
        <f t="shared" si="502"/>
        <v>400</v>
      </c>
      <c r="BD24" s="41">
        <f t="shared" ref="BD24:BE24" si="503">BD9-BD23</f>
        <v>400</v>
      </c>
      <c r="BE24" s="41">
        <f t="shared" si="503"/>
        <v>416</v>
      </c>
      <c r="BF24" s="41">
        <f t="shared" ref="BF24:BG24" si="504">BF9-BF23</f>
        <v>432.5</v>
      </c>
      <c r="BG24" s="41">
        <f t="shared" si="504"/>
        <v>435</v>
      </c>
      <c r="BH24" s="41">
        <f t="shared" ref="BH24:BI24" si="505">BH9-BH23</f>
        <v>426</v>
      </c>
      <c r="BI24" s="41">
        <f t="shared" si="505"/>
        <v>444</v>
      </c>
      <c r="BJ24" s="41">
        <f t="shared" ref="BJ24:BK24" si="506">BJ9-BJ23</f>
        <v>460</v>
      </c>
      <c r="BK24" s="41">
        <f t="shared" si="506"/>
        <v>482</v>
      </c>
      <c r="BL24" s="41">
        <f t="shared" ref="BL24:BM24" si="507">BL9-BL23</f>
        <v>454</v>
      </c>
      <c r="BM24" s="41">
        <f t="shared" si="507"/>
        <v>458.5</v>
      </c>
      <c r="BN24" s="41">
        <f t="shared" ref="BN24:BO24" si="508">BN9-BN23</f>
        <v>486</v>
      </c>
      <c r="BO24" s="41">
        <f t="shared" si="508"/>
        <v>517</v>
      </c>
      <c r="BP24" s="41">
        <f t="shared" ref="BP24:BQ24" si="509">BP9-BP23</f>
        <v>517</v>
      </c>
      <c r="BQ24" s="41">
        <f t="shared" si="509"/>
        <v>515</v>
      </c>
      <c r="BR24" s="41">
        <f t="shared" ref="BR24:BS24" si="510">BR9-BR23</f>
        <v>497.5</v>
      </c>
      <c r="BS24" s="41">
        <f t="shared" si="510"/>
        <v>505</v>
      </c>
      <c r="BT24" s="41">
        <f t="shared" ref="BT24:BU24" si="511">BT9-BT23</f>
        <v>495</v>
      </c>
      <c r="BU24" s="41">
        <f t="shared" si="511"/>
        <v>497.5</v>
      </c>
      <c r="BV24" s="41">
        <f t="shared" ref="BV24:BW24" si="512">BV9-BV23</f>
        <v>500</v>
      </c>
      <c r="BW24" s="41">
        <f t="shared" si="512"/>
        <v>500</v>
      </c>
      <c r="BX24" s="41">
        <f t="shared" ref="BX24:BY24" si="513">BX9-BX23</f>
        <v>-31.25</v>
      </c>
      <c r="BY24" s="41">
        <f t="shared" si="513"/>
        <v>-1550</v>
      </c>
      <c r="CC24" s="1" t="s">
        <v>81</v>
      </c>
      <c r="CV24" s="51">
        <f>+CV23/CV22</f>
        <v>0.38461538461538464</v>
      </c>
      <c r="CW24" s="51">
        <f t="shared" ref="CW24:DP24" si="514">+CW23/CW22</f>
        <v>0.43661971830985913</v>
      </c>
      <c r="CX24" s="51">
        <f t="shared" si="514"/>
        <v>0.43661971830985913</v>
      </c>
      <c r="CY24" s="51">
        <f t="shared" si="514"/>
        <v>0.4854368932038835</v>
      </c>
      <c r="CZ24" s="51">
        <f t="shared" si="514"/>
        <v>0.4854368932038835</v>
      </c>
      <c r="DA24" s="51">
        <f t="shared" si="514"/>
        <v>0.4854368932038835</v>
      </c>
      <c r="DB24" s="51">
        <f t="shared" si="514"/>
        <v>0.5073891625615764</v>
      </c>
      <c r="DC24" s="51">
        <f t="shared" si="514"/>
        <v>0.53768844221105527</v>
      </c>
      <c r="DD24" s="51">
        <f t="shared" si="514"/>
        <v>0.53768844221105527</v>
      </c>
      <c r="DE24" s="51">
        <f t="shared" si="514"/>
        <v>0.40703517587939697</v>
      </c>
      <c r="DF24" s="51">
        <f t="shared" si="514"/>
        <v>0.38613861386138615</v>
      </c>
      <c r="DG24" s="51">
        <f>+DG23/DG22</f>
        <v>0.48936170212765956</v>
      </c>
      <c r="DH24" s="51">
        <f t="shared" si="514"/>
        <v>0.37254901960784315</v>
      </c>
      <c r="DI24" s="51">
        <f t="shared" si="514"/>
        <v>0.35922330097087379</v>
      </c>
      <c r="DJ24" s="51">
        <f t="shared" si="514"/>
        <v>0.29629629629629628</v>
      </c>
      <c r="DK24" s="51">
        <f t="shared" si="514"/>
        <v>0.27272727272727271</v>
      </c>
      <c r="DL24" s="51">
        <f t="shared" si="514"/>
        <v>0.27272727272727271</v>
      </c>
      <c r="DM24" s="51">
        <f t="shared" si="514"/>
        <v>0.28440366972477066</v>
      </c>
      <c r="DN24" s="51">
        <f t="shared" si="514"/>
        <v>0.29629629629629628</v>
      </c>
      <c r="DO24" s="51">
        <f t="shared" si="514"/>
        <v>0.29629629629629628</v>
      </c>
      <c r="DP24" s="51">
        <f t="shared" si="514"/>
        <v>0.30841121495327101</v>
      </c>
      <c r="DQ24" s="51">
        <f t="shared" ref="DQ24:DV24" si="515">+DQ23/DQ22</f>
        <v>0.30841121495327101</v>
      </c>
      <c r="DR24" s="51">
        <f t="shared" si="515"/>
        <v>0.30841121495327101</v>
      </c>
      <c r="DS24" s="51">
        <f t="shared" si="515"/>
        <v>0.45714285714285713</v>
      </c>
      <c r="DT24" s="51">
        <f t="shared" si="515"/>
        <v>0.45714285714285713</v>
      </c>
      <c r="DU24" s="51">
        <f t="shared" si="515"/>
        <v>0.45714285714285713</v>
      </c>
      <c r="DV24" s="51">
        <f t="shared" si="515"/>
        <v>0.45714285714285713</v>
      </c>
      <c r="DW24" s="51">
        <f>+DW23/DW22</f>
        <v>0.45714285714285713</v>
      </c>
      <c r="DX24" s="51">
        <f>+DX23/DX22</f>
        <v>0.45714285714285713</v>
      </c>
      <c r="DY24" s="51">
        <f t="shared" ref="DY24:ED24" si="516">+DY23/DY22</f>
        <v>0.45714285714285713</v>
      </c>
      <c r="DZ24" s="51">
        <f t="shared" si="516"/>
        <v>0.47115384615384615</v>
      </c>
      <c r="EA24" s="51">
        <f t="shared" si="516"/>
        <v>0.4854368932038835</v>
      </c>
      <c r="EB24" s="51">
        <f t="shared" si="516"/>
        <v>0.4854368932038835</v>
      </c>
      <c r="EC24" s="51">
        <f t="shared" si="516"/>
        <v>0.52631578947368418</v>
      </c>
      <c r="ED24" s="51">
        <f t="shared" si="516"/>
        <v>0.52631578947368418</v>
      </c>
      <c r="EE24" s="51">
        <f t="shared" ref="EE24:EJ24" si="517">+EE23/EE22</f>
        <v>0.52631578947368418</v>
      </c>
      <c r="EF24" s="51">
        <f t="shared" si="517"/>
        <v>0.52631578947368418</v>
      </c>
      <c r="EG24" s="51">
        <f t="shared" si="517"/>
        <v>0.52631578947368418</v>
      </c>
      <c r="EH24" s="51">
        <f t="shared" si="517"/>
        <v>0.44329896907216493</v>
      </c>
      <c r="EI24" s="51">
        <f t="shared" si="517"/>
        <v>0.44329896907216493</v>
      </c>
      <c r="EJ24" s="51">
        <f t="shared" si="517"/>
        <v>0.4</v>
      </c>
      <c r="EK24" s="51">
        <f>+EK23/EK22</f>
        <v>0.4</v>
      </c>
      <c r="EL24" s="51">
        <f>+EL23/EL22</f>
        <v>0.4</v>
      </c>
      <c r="EM24" s="51">
        <f t="shared" ref="EM24:ER24" si="518">+EM23/EM22</f>
        <v>0.37254901960784315</v>
      </c>
      <c r="EN24" s="51">
        <f t="shared" si="518"/>
        <v>0.37254901960784315</v>
      </c>
      <c r="EO24" s="51">
        <f t="shared" si="518"/>
        <v>0.37254901960784315</v>
      </c>
      <c r="EP24" s="51">
        <f t="shared" si="518"/>
        <v>0.35922330097087379</v>
      </c>
      <c r="EQ24" s="51">
        <f t="shared" si="518"/>
        <v>0.35922330097087379</v>
      </c>
      <c r="ER24" s="51">
        <f t="shared" si="518"/>
        <v>0.35922330097087379</v>
      </c>
      <c r="ES24" s="51">
        <f t="shared" ref="ES24:EY24" si="519">+ES23/ES22</f>
        <v>0.35922330097087379</v>
      </c>
      <c r="ET24" s="51">
        <f t="shared" si="519"/>
        <v>0.35922330097087379</v>
      </c>
      <c r="EU24" s="51">
        <f t="shared" si="519"/>
        <v>0.37254901960784315</v>
      </c>
      <c r="EV24" s="51">
        <f t="shared" si="519"/>
        <v>0.4</v>
      </c>
      <c r="EW24" s="51">
        <f t="shared" si="519"/>
        <v>0.42857142857142855</v>
      </c>
      <c r="EX24" s="51">
        <f t="shared" si="519"/>
        <v>0.45833333333333331</v>
      </c>
      <c r="EY24" s="51">
        <f t="shared" si="519"/>
        <v>0.48936170212765956</v>
      </c>
      <c r="EZ24" s="51">
        <f t="shared" ref="EZ24:FA24" si="520">+EZ23/EZ22</f>
        <v>0.48936170212765956</v>
      </c>
      <c r="FA24" s="51">
        <f t="shared" si="520"/>
        <v>0.48936170212765956</v>
      </c>
      <c r="FB24" s="51">
        <f t="shared" ref="FB24:FC24" si="521">+FB23/FB22</f>
        <v>0.48936170212765956</v>
      </c>
      <c r="FC24" s="51">
        <f t="shared" si="521"/>
        <v>0.52173913043478259</v>
      </c>
      <c r="FD24" s="51">
        <f t="shared" ref="FD24:FE24" si="522">+FD23/FD22</f>
        <v>0.52173913043478259</v>
      </c>
      <c r="FE24" s="51">
        <f t="shared" si="522"/>
        <v>0.52173913043478259</v>
      </c>
      <c r="FF24" s="51">
        <f t="shared" ref="FF24:FG24" si="523">+FF23/FF22</f>
        <v>0.52173913043478259</v>
      </c>
      <c r="FG24" s="51">
        <f t="shared" si="523"/>
        <v>0.47368421052631576</v>
      </c>
      <c r="FH24" s="51">
        <f t="shared" ref="FH24:FI24" si="524">+FH23/FH22</f>
        <v>0.47368421052631576</v>
      </c>
      <c r="FI24" s="51">
        <f t="shared" si="524"/>
        <v>0.44329896907216493</v>
      </c>
      <c r="FJ24" s="51">
        <f t="shared" ref="FJ24:FK24" si="525">+FJ23/FJ22</f>
        <v>0.42857142857142855</v>
      </c>
      <c r="FK24" s="51">
        <f t="shared" si="525"/>
        <v>0.4</v>
      </c>
      <c r="FL24" s="51">
        <f t="shared" ref="FL24:FM24" si="526">+FL23/FL22</f>
        <v>0.4</v>
      </c>
      <c r="FM24" s="51">
        <f t="shared" si="526"/>
        <v>0.4</v>
      </c>
      <c r="FN24" s="51">
        <f t="shared" ref="FN24:FO24" si="527">+FN23/FN22</f>
        <v>0.42857142857142855</v>
      </c>
      <c r="FO24" s="51">
        <f t="shared" si="527"/>
        <v>0.42857142857142855</v>
      </c>
      <c r="FP24" s="51">
        <f t="shared" ref="FP24:FQ24" si="528">+FP23/FP22</f>
        <v>0.42857142857142855</v>
      </c>
      <c r="FQ24" s="51">
        <f t="shared" si="528"/>
        <v>0.45833333333333331</v>
      </c>
      <c r="FR24" s="51">
        <f t="shared" ref="FR24:FT24" si="529">+FR23/FR22</f>
        <v>0.45833333333333331</v>
      </c>
      <c r="FS24" s="51">
        <f t="shared" si="529"/>
        <v>0.45833333333333331</v>
      </c>
      <c r="FT24" s="51">
        <f t="shared" si="529"/>
        <v>0.44329896907216493</v>
      </c>
      <c r="FU24" s="51">
        <f t="shared" ref="FU24:FV24" si="530">+FU23/FU22</f>
        <v>0.44329896907216493</v>
      </c>
      <c r="FV24" s="51">
        <f t="shared" si="530"/>
        <v>0.42857142857142855</v>
      </c>
      <c r="FW24" s="51">
        <f t="shared" ref="FW24:FX24" si="531">+FW23/FW22</f>
        <v>0.42857142857142855</v>
      </c>
      <c r="FX24" s="51">
        <f t="shared" si="531"/>
        <v>0.42857142857142855</v>
      </c>
      <c r="FY24" s="51">
        <f t="shared" ref="FY24:FZ24" si="532">+FY23/FY22</f>
        <v>0.4</v>
      </c>
      <c r="FZ24" s="51">
        <f t="shared" si="532"/>
        <v>0.4</v>
      </c>
      <c r="GA24" s="51">
        <f t="shared" ref="GA24:GB24" si="533">+GA23/GA22</f>
        <v>0.4</v>
      </c>
      <c r="GB24" s="51">
        <f t="shared" si="533"/>
        <v>0.4</v>
      </c>
      <c r="GC24" s="51">
        <f t="shared" ref="GC24:GD24" si="534">+GC23/GC22</f>
        <v>0.4</v>
      </c>
      <c r="GD24" s="51">
        <f t="shared" si="534"/>
        <v>0.4</v>
      </c>
      <c r="GE24" s="51">
        <f t="shared" ref="GE24:GF24" si="535">+GE23/GE22</f>
        <v>0.4</v>
      </c>
      <c r="GF24" s="51">
        <f t="shared" si="535"/>
        <v>0.4</v>
      </c>
      <c r="GG24" s="51">
        <f t="shared" ref="GG24:GH24" si="536">+GG23/GG22</f>
        <v>0.4</v>
      </c>
      <c r="GH24" s="51">
        <f t="shared" si="536"/>
        <v>0.4</v>
      </c>
      <c r="GI24" s="51">
        <f t="shared" ref="GI24:GJ24" si="537">+GI23/GI22</f>
        <v>0.4</v>
      </c>
      <c r="GJ24" s="51">
        <f t="shared" si="537"/>
        <v>0.42857142857142855</v>
      </c>
      <c r="GK24" s="51">
        <f t="shared" ref="GK24:GL24" si="538">+GK23/GK22</f>
        <v>0.44329896907216493</v>
      </c>
      <c r="GL24" s="51">
        <f t="shared" si="538"/>
        <v>0.44329896907216493</v>
      </c>
      <c r="GM24" s="51">
        <f t="shared" ref="GM24:GN24" si="539">+GM23/GM22</f>
        <v>0.44329896907216493</v>
      </c>
      <c r="GN24" s="51">
        <f t="shared" si="539"/>
        <v>0.44329896907216493</v>
      </c>
      <c r="GO24" s="51">
        <f t="shared" ref="GO24:GP24" si="540">+GO23/GO22</f>
        <v>0.44329896907216493</v>
      </c>
      <c r="GP24" s="51">
        <f t="shared" si="540"/>
        <v>0.45833333333333331</v>
      </c>
      <c r="GQ24" s="51">
        <f t="shared" ref="GQ24:GR24" si="541">+GQ23/GQ22</f>
        <v>0.45833333333333331</v>
      </c>
      <c r="GR24" s="51">
        <f t="shared" si="541"/>
        <v>0.45833333333333331</v>
      </c>
      <c r="GS24" s="51">
        <f t="shared" ref="GS24:GT24" si="542">+GS23/GS22</f>
        <v>0.45833333333333331</v>
      </c>
      <c r="GT24" s="51">
        <f t="shared" si="542"/>
        <v>0.42857142857142855</v>
      </c>
      <c r="GU24" s="51">
        <f t="shared" ref="GU24:GY24" si="543">+GU23/GU22</f>
        <v>0.42857142857142855</v>
      </c>
      <c r="GV24" s="51">
        <f t="shared" si="543"/>
        <v>0.42857142857142855</v>
      </c>
      <c r="GW24" s="51">
        <f t="shared" si="543"/>
        <v>0.44329896907216493</v>
      </c>
      <c r="GX24" s="51">
        <f t="shared" si="543"/>
        <v>0.44329896907216493</v>
      </c>
      <c r="GY24" s="51">
        <f t="shared" si="543"/>
        <v>0.44329896907216493</v>
      </c>
      <c r="GZ24" s="51">
        <f t="shared" ref="GZ24:HC24" si="544">+GZ23/GZ22</f>
        <v>0.44329896907216493</v>
      </c>
      <c r="HA24" s="51">
        <f t="shared" si="544"/>
        <v>0.47368421052631576</v>
      </c>
      <c r="HB24" s="51">
        <f t="shared" si="544"/>
        <v>0.47368421052631576</v>
      </c>
      <c r="HC24" s="51">
        <f t="shared" si="544"/>
        <v>0.48936170212765956</v>
      </c>
      <c r="HD24" s="51">
        <f t="shared" ref="HD24:HE24" si="545">+HD23/HD22</f>
        <v>0.48936170212765956</v>
      </c>
      <c r="HE24" s="51">
        <f t="shared" si="545"/>
        <v>0.48936170212765956</v>
      </c>
      <c r="HF24" s="51">
        <f t="shared" ref="HF24:HG24" si="546">+HF23/HF22</f>
        <v>0.48936170212765956</v>
      </c>
      <c r="HG24" s="51">
        <f t="shared" si="546"/>
        <v>0.48936170212765956</v>
      </c>
      <c r="HH24" s="51">
        <f t="shared" ref="HH24:HI24" si="547">+HH23/HH22</f>
        <v>0.48936170212765956</v>
      </c>
      <c r="HI24" s="51">
        <f t="shared" si="547"/>
        <v>0.48936170212765956</v>
      </c>
      <c r="HJ24" s="51">
        <f t="shared" ref="HJ24:HK24" si="548">+HJ23/HJ22</f>
        <v>0.5625</v>
      </c>
      <c r="HK24" s="51">
        <f t="shared" si="548"/>
        <v>0.5625</v>
      </c>
      <c r="HL24" s="51">
        <f t="shared" ref="HL24:HO24" si="549">+HL23/HL22</f>
        <v>0.5066964285714286</v>
      </c>
      <c r="HM24" s="51">
        <f t="shared" si="549"/>
        <v>0.5066964285714286</v>
      </c>
      <c r="HN24" s="51">
        <f t="shared" si="549"/>
        <v>0.5066964285714286</v>
      </c>
      <c r="HO24" s="51">
        <f t="shared" si="549"/>
        <v>0.5066964285714286</v>
      </c>
      <c r="HP24" s="51">
        <f t="shared" ref="HP24:HS24" si="550">+HP23/HP22</f>
        <v>0.5066964285714286</v>
      </c>
      <c r="HQ24" s="51">
        <f t="shared" si="550"/>
        <v>0.5</v>
      </c>
      <c r="HR24" s="51">
        <f t="shared" si="550"/>
        <v>0.5168539325842697</v>
      </c>
      <c r="HS24" s="51">
        <f t="shared" si="550"/>
        <v>0.53409090909090906</v>
      </c>
      <c r="HT24" s="51">
        <f t="shared" ref="HT24:HX24" si="551">+HT23/HT22</f>
        <v>0.55172413793103448</v>
      </c>
      <c r="HU24" s="51">
        <f t="shared" si="551"/>
        <v>0.55172413793103448</v>
      </c>
      <c r="HV24" s="51">
        <f t="shared" si="551"/>
        <v>0.56976744186046513</v>
      </c>
      <c r="HW24" s="51">
        <f t="shared" si="551"/>
        <v>0.56976744186046513</v>
      </c>
      <c r="HX24" s="51">
        <f t="shared" si="551"/>
        <v>0.56976744186046513</v>
      </c>
      <c r="HY24" s="51">
        <f t="shared" ref="HY24:IB24" si="552">+HY23/HY22</f>
        <v>0.62064825930372147</v>
      </c>
      <c r="HZ24" s="51">
        <f t="shared" si="552"/>
        <v>0.62064825930372147</v>
      </c>
      <c r="IA24" s="51">
        <f t="shared" si="552"/>
        <v>0.62064825930372147</v>
      </c>
      <c r="IB24" s="51">
        <f t="shared" si="552"/>
        <v>0.62064825930372147</v>
      </c>
      <c r="IC24" s="51">
        <f t="shared" ref="IC24:IG24" si="553">+IC23/IC22</f>
        <v>0.62064825930372147</v>
      </c>
      <c r="ID24" s="51">
        <f t="shared" si="553"/>
        <v>0.62064825930372147</v>
      </c>
      <c r="IE24" s="51">
        <f t="shared" si="553"/>
        <v>0.62064825930372147</v>
      </c>
      <c r="IF24" s="51">
        <f t="shared" si="553"/>
        <v>0.62064825930372147</v>
      </c>
      <c r="IG24" s="51">
        <f t="shared" si="553"/>
        <v>0.62064825930372147</v>
      </c>
      <c r="IH24" s="51">
        <f t="shared" ref="IH24:IK24" si="554">+IH23/IH22</f>
        <v>0.63190184049079756</v>
      </c>
      <c r="II24" s="51">
        <f t="shared" si="554"/>
        <v>0.63190184049079756</v>
      </c>
      <c r="IJ24" s="51">
        <f t="shared" si="554"/>
        <v>0.63190184049079756</v>
      </c>
      <c r="IK24" s="51">
        <f t="shared" si="554"/>
        <v>0.63190184049079756</v>
      </c>
      <c r="IL24" s="51">
        <f t="shared" ref="IL24:IO24" si="555">+IL23/IL22</f>
        <v>0.6073619631901841</v>
      </c>
      <c r="IM24" s="51">
        <f t="shared" si="555"/>
        <v>0.6073619631901841</v>
      </c>
      <c r="IN24" s="51">
        <f t="shared" si="555"/>
        <v>0.6073619631901841</v>
      </c>
      <c r="IO24" s="51">
        <f t="shared" si="555"/>
        <v>0.62732919254658381</v>
      </c>
      <c r="IP24" s="51">
        <f t="shared" ref="IP24:IT24" si="556">+IP23/IP22</f>
        <v>0.62732919254658381</v>
      </c>
      <c r="IQ24" s="51">
        <f t="shared" si="556"/>
        <v>0.62732919254658381</v>
      </c>
      <c r="IR24" s="51">
        <f t="shared" si="556"/>
        <v>0.62732919254658381</v>
      </c>
      <c r="IS24" s="51">
        <f t="shared" si="556"/>
        <v>0.62732919254658381</v>
      </c>
      <c r="IT24" s="51">
        <f t="shared" si="556"/>
        <v>0.62732919254658381</v>
      </c>
      <c r="IU24" s="51">
        <f t="shared" ref="IU24:IX24" si="557">+IU23/IU22</f>
        <v>0.6149068322981367</v>
      </c>
      <c r="IV24" s="51">
        <f t="shared" si="557"/>
        <v>0.6149068322981367</v>
      </c>
      <c r="IW24" s="51">
        <f t="shared" si="557"/>
        <v>0.6149068322981367</v>
      </c>
      <c r="IX24" s="51">
        <f t="shared" si="557"/>
        <v>0.6149068322981367</v>
      </c>
      <c r="IY24" s="51">
        <f t="shared" ref="IY24:JB24" si="558">+IY23/IY22</f>
        <v>0.6149068322981367</v>
      </c>
      <c r="IZ24" s="51">
        <f t="shared" si="558"/>
        <v>0.6149068322981367</v>
      </c>
      <c r="JA24" s="51">
        <f t="shared" si="558"/>
        <v>0.625</v>
      </c>
      <c r="JB24" s="51">
        <f t="shared" si="558"/>
        <v>0.625</v>
      </c>
      <c r="JC24" s="51">
        <f t="shared" ref="JC24:JG24" si="559">+JC23/JC22</f>
        <v>0.625</v>
      </c>
      <c r="JD24" s="51">
        <f t="shared" si="559"/>
        <v>0.625</v>
      </c>
      <c r="JE24" s="51">
        <f t="shared" si="559"/>
        <v>0.625</v>
      </c>
      <c r="JF24" s="51">
        <f t="shared" si="559"/>
        <v>0.625</v>
      </c>
      <c r="JG24" s="51">
        <f t="shared" si="559"/>
        <v>0.625</v>
      </c>
      <c r="JH24" s="51">
        <f t="shared" ref="JH24:JK24" si="560">+JH23/JH22</f>
        <v>0.625</v>
      </c>
      <c r="JI24" s="51">
        <f t="shared" si="560"/>
        <v>0.625</v>
      </c>
      <c r="JJ24" s="51">
        <f t="shared" si="560"/>
        <v>0.625</v>
      </c>
      <c r="JK24" s="51">
        <f t="shared" si="560"/>
        <v>0.625</v>
      </c>
      <c r="JL24" s="51">
        <f t="shared" ref="JL24:JO24" si="561">+JL23/JL22</f>
        <v>0.33333333333333331</v>
      </c>
      <c r="JM24" s="51">
        <f t="shared" si="561"/>
        <v>-3.7037037037037035E-2</v>
      </c>
      <c r="JN24" s="51">
        <f t="shared" si="561"/>
        <v>-6.8965517241379309E-2</v>
      </c>
      <c r="JO24" s="51">
        <f t="shared" si="561"/>
        <v>-0.12903225806451613</v>
      </c>
    </row>
    <row r="25" spans="1:275" ht="14">
      <c r="H25" s="1" t="s">
        <v>81</v>
      </c>
      <c r="U25" s="51">
        <f>U24/U23</f>
        <v>0.29113924050632911</v>
      </c>
      <c r="V25" s="51">
        <f t="shared" ref="V25:AQ25" si="562">V24/V23</f>
        <v>0.1791907514450867</v>
      </c>
      <c r="W25" s="51">
        <f t="shared" si="562"/>
        <v>0.12554112554112554</v>
      </c>
      <c r="X25" s="51">
        <f t="shared" si="562"/>
        <v>0.15827338129496402</v>
      </c>
      <c r="Y25" s="51">
        <f t="shared" si="562"/>
        <v>0.2196969696969697</v>
      </c>
      <c r="Z25" s="51">
        <f t="shared" si="562"/>
        <v>0.2132629992464205</v>
      </c>
      <c r="AA25" s="51">
        <f t="shared" si="562"/>
        <v>0.29006410256410259</v>
      </c>
      <c r="AB25" s="51">
        <f t="shared" si="562"/>
        <v>0.30894308943089432</v>
      </c>
      <c r="AC25" s="51">
        <f t="shared" si="562"/>
        <v>0.4247787610619469</v>
      </c>
      <c r="AD25" s="51">
        <f t="shared" si="562"/>
        <v>0.35398230088495575</v>
      </c>
      <c r="AE25" s="51">
        <f t="shared" si="562"/>
        <v>0.38461538461538464</v>
      </c>
      <c r="AF25" s="51">
        <f t="shared" si="562"/>
        <v>0.38461538461538464</v>
      </c>
      <c r="AG25" s="51">
        <f t="shared" si="562"/>
        <v>0.38461538461538464</v>
      </c>
      <c r="AH25" s="51">
        <f t="shared" si="562"/>
        <v>0.38461538461538464</v>
      </c>
      <c r="AI25" s="51">
        <f t="shared" si="562"/>
        <v>0.43661971830985913</v>
      </c>
      <c r="AJ25" s="51">
        <f t="shared" si="562"/>
        <v>0.43661971830985913</v>
      </c>
      <c r="AK25" s="51">
        <f t="shared" si="562"/>
        <v>0.52694610778443118</v>
      </c>
      <c r="AL25" s="51">
        <f t="shared" si="562"/>
        <v>0.37592137592137592</v>
      </c>
      <c r="AM25" s="51">
        <f t="shared" si="562"/>
        <v>0.28146453089244849</v>
      </c>
      <c r="AN25" s="51">
        <f t="shared" si="562"/>
        <v>0.30536130536130535</v>
      </c>
      <c r="AO25" s="51">
        <f t="shared" si="562"/>
        <v>0.45714285714285713</v>
      </c>
      <c r="AP25" s="51">
        <f t="shared" si="562"/>
        <v>0.46551724137931033</v>
      </c>
      <c r="AQ25" s="51">
        <f t="shared" si="562"/>
        <v>0.57731958762886593</v>
      </c>
      <c r="AR25" s="51">
        <f t="shared" ref="AR25:AW25" si="563">AR24/AR23</f>
        <v>0.51041666666666663</v>
      </c>
      <c r="AS25" s="51">
        <f t="shared" si="563"/>
        <v>0.3888888888888889</v>
      </c>
      <c r="AT25" s="51">
        <f t="shared" si="563"/>
        <v>0.36253041362530414</v>
      </c>
      <c r="AU25" s="51">
        <f t="shared" si="563"/>
        <v>0.37254901960784315</v>
      </c>
      <c r="AV25" s="51">
        <f t="shared" si="563"/>
        <v>0.46596858638743455</v>
      </c>
      <c r="AW25" s="51">
        <f t="shared" si="563"/>
        <v>0.50862068965517238</v>
      </c>
      <c r="AX25" s="51">
        <f t="shared" ref="AX25:AY25" si="564">AX24/AX23</f>
        <v>0.48936170212765956</v>
      </c>
      <c r="AY25" s="51">
        <f t="shared" si="564"/>
        <v>0.40939597315436238</v>
      </c>
      <c r="AZ25" s="51">
        <f t="shared" ref="AZ25:BA25" si="565">AZ24/AZ23</f>
        <v>0.42131979695431471</v>
      </c>
      <c r="BA25" s="51">
        <f t="shared" si="565"/>
        <v>0.45454545454545453</v>
      </c>
      <c r="BB25" s="51">
        <f t="shared" ref="BB25:BC25" si="566">BB24/BB23</f>
        <v>0.42566191446028512</v>
      </c>
      <c r="BC25" s="51">
        <f t="shared" si="566"/>
        <v>0.4</v>
      </c>
      <c r="BD25" s="51">
        <f t="shared" ref="BD25:BE25" si="567">BD24/BD23</f>
        <v>0.4</v>
      </c>
      <c r="BE25" s="51">
        <f t="shared" si="567"/>
        <v>0.42276422764227645</v>
      </c>
      <c r="BF25" s="51">
        <f t="shared" ref="BF25:BG25" si="568">BF24/BF23</f>
        <v>0.44702842377260982</v>
      </c>
      <c r="BG25" s="51">
        <f t="shared" si="568"/>
        <v>0.45077720207253885</v>
      </c>
      <c r="BH25" s="51">
        <f t="shared" ref="BH25:BI25" si="569">BH24/BH23</f>
        <v>0.43737166324435317</v>
      </c>
      <c r="BI25" s="51">
        <f t="shared" si="569"/>
        <v>0.46443514644351463</v>
      </c>
      <c r="BJ25" s="51">
        <f t="shared" ref="BJ25:BK25" si="570">BJ24/BJ23</f>
        <v>0.48936170212765956</v>
      </c>
      <c r="BK25" s="51">
        <f t="shared" si="570"/>
        <v>0.52505446623093677</v>
      </c>
      <c r="BL25" s="51">
        <f t="shared" ref="BL25:BM25" si="571">BL24/BL23</f>
        <v>0.5066964285714286</v>
      </c>
      <c r="BM25" s="51">
        <f t="shared" si="571"/>
        <v>0.51430173864273698</v>
      </c>
      <c r="BN25" s="51">
        <f t="shared" ref="BN25:BO25" si="572">BN24/BN23</f>
        <v>0.5625</v>
      </c>
      <c r="BO25" s="51">
        <f t="shared" si="572"/>
        <v>0.62064825930372147</v>
      </c>
      <c r="BP25" s="51">
        <f t="shared" ref="BP25:BQ25" si="573">BP24/BP23</f>
        <v>0.62064825930372147</v>
      </c>
      <c r="BQ25" s="51">
        <f t="shared" si="573"/>
        <v>0.63190184049079756</v>
      </c>
      <c r="BR25" s="51">
        <f t="shared" ref="BR25:BS25" si="574">BR24/BR23</f>
        <v>0.61230769230769233</v>
      </c>
      <c r="BS25" s="51">
        <f t="shared" si="574"/>
        <v>0.62732919254658381</v>
      </c>
      <c r="BT25" s="51">
        <f t="shared" ref="BT25:BU25" si="575">BT24/BT23</f>
        <v>0.6149068322981367</v>
      </c>
      <c r="BU25" s="51">
        <f t="shared" si="575"/>
        <v>0.6199376947040498</v>
      </c>
      <c r="BV25" s="51">
        <f t="shared" ref="BV25:BW25" si="576">BV24/BV23</f>
        <v>0.625</v>
      </c>
      <c r="BW25" s="51">
        <f t="shared" si="576"/>
        <v>0.625</v>
      </c>
      <c r="BX25" s="51">
        <f t="shared" ref="BX25:BY25" si="577">BX24/BX23</f>
        <v>-2.3474178403755867E-2</v>
      </c>
      <c r="BY25" s="51">
        <f t="shared" si="577"/>
        <v>-1</v>
      </c>
      <c r="BZ25" s="146"/>
      <c r="CC25" s="1" t="s">
        <v>87</v>
      </c>
      <c r="CV25" s="41">
        <v>1264</v>
      </c>
      <c r="CW25" s="41">
        <v>1390</v>
      </c>
      <c r="CX25" s="41">
        <v>1374</v>
      </c>
      <c r="CY25" s="41">
        <v>1374</v>
      </c>
      <c r="CZ25" s="41">
        <v>1374</v>
      </c>
      <c r="DA25" s="41">
        <v>1374</v>
      </c>
      <c r="DB25" s="41">
        <v>1374</v>
      </c>
      <c r="DC25" s="41">
        <v>1374</v>
      </c>
      <c r="DD25" s="41">
        <v>1374</v>
      </c>
      <c r="DE25" s="41">
        <v>1374</v>
      </c>
      <c r="DF25" s="41">
        <v>1374</v>
      </c>
      <c r="DG25" s="43">
        <v>1377</v>
      </c>
      <c r="DH25" s="43">
        <v>1377</v>
      </c>
      <c r="DI25" s="43">
        <v>1377</v>
      </c>
      <c r="DJ25" s="43">
        <v>1377</v>
      </c>
      <c r="DK25" s="43">
        <v>1377</v>
      </c>
      <c r="DL25" s="43">
        <v>1377</v>
      </c>
      <c r="DM25" s="43">
        <v>1377</v>
      </c>
      <c r="DN25" s="43">
        <v>1377</v>
      </c>
      <c r="DO25" s="43">
        <v>1377</v>
      </c>
      <c r="DP25" s="43">
        <v>1377</v>
      </c>
      <c r="DQ25" s="43">
        <v>1377</v>
      </c>
      <c r="DR25" s="43">
        <v>1377</v>
      </c>
      <c r="DS25" s="43">
        <v>1377</v>
      </c>
      <c r="DT25" s="43">
        <v>1377</v>
      </c>
      <c r="DU25" s="43">
        <v>1377</v>
      </c>
      <c r="DV25" s="43">
        <v>1377</v>
      </c>
      <c r="DW25" s="43">
        <v>1377</v>
      </c>
      <c r="DX25" s="43">
        <v>1377</v>
      </c>
      <c r="DY25" s="43">
        <v>1377</v>
      </c>
      <c r="DZ25" s="43">
        <v>1377</v>
      </c>
      <c r="EA25" s="43">
        <v>1377</v>
      </c>
      <c r="EB25" s="43">
        <v>1377</v>
      </c>
      <c r="EC25" s="43">
        <v>1310</v>
      </c>
      <c r="ED25" s="43">
        <v>1310</v>
      </c>
      <c r="EE25" s="43">
        <v>1310</v>
      </c>
      <c r="EF25" s="43">
        <v>1310</v>
      </c>
      <c r="EG25" s="43">
        <v>1310</v>
      </c>
      <c r="EH25" s="43">
        <v>1310</v>
      </c>
      <c r="EI25" s="43">
        <v>1310</v>
      </c>
      <c r="EJ25" s="43">
        <v>1310</v>
      </c>
      <c r="EK25" s="43">
        <v>1310</v>
      </c>
      <c r="EL25" s="43">
        <v>1310</v>
      </c>
      <c r="EM25" s="134">
        <v>1310</v>
      </c>
      <c r="EN25" s="134">
        <v>1310</v>
      </c>
      <c r="EO25" s="134">
        <v>1310</v>
      </c>
      <c r="EP25" s="134">
        <v>1310</v>
      </c>
      <c r="EQ25" s="134">
        <v>1310</v>
      </c>
      <c r="ER25" s="134">
        <v>1310</v>
      </c>
      <c r="ES25" s="134">
        <v>1310</v>
      </c>
      <c r="ET25" s="134">
        <v>1310</v>
      </c>
      <c r="EU25" s="134">
        <v>1310</v>
      </c>
      <c r="EV25" s="134">
        <v>1310</v>
      </c>
      <c r="EW25" s="134">
        <v>1268</v>
      </c>
      <c r="EX25" s="134">
        <v>1268</v>
      </c>
      <c r="EY25" s="134">
        <v>1268</v>
      </c>
      <c r="EZ25" s="134">
        <v>1268</v>
      </c>
      <c r="FA25" s="134">
        <v>1261</v>
      </c>
      <c r="FB25" s="134">
        <v>1261</v>
      </c>
      <c r="FC25" s="134">
        <v>1261</v>
      </c>
      <c r="FD25" s="134">
        <v>1261</v>
      </c>
      <c r="FE25" s="134">
        <v>1261</v>
      </c>
      <c r="FF25" s="134">
        <v>1323</v>
      </c>
      <c r="FG25" s="134">
        <v>1323</v>
      </c>
      <c r="FH25" s="134">
        <v>1323</v>
      </c>
      <c r="FI25" s="134">
        <v>1323</v>
      </c>
      <c r="FJ25" s="158">
        <v>1323</v>
      </c>
      <c r="FK25" s="158">
        <v>1323</v>
      </c>
      <c r="FL25" s="158">
        <v>1323</v>
      </c>
      <c r="FM25" s="158">
        <v>1306</v>
      </c>
      <c r="FN25" s="158">
        <v>1306</v>
      </c>
      <c r="FO25" s="158">
        <v>1306</v>
      </c>
      <c r="FP25" s="158">
        <v>1306</v>
      </c>
      <c r="FQ25" s="158">
        <v>1306</v>
      </c>
      <c r="FR25" s="158">
        <v>1291</v>
      </c>
      <c r="FS25" s="158">
        <v>1291</v>
      </c>
      <c r="FT25" s="158">
        <v>1291</v>
      </c>
      <c r="FU25" s="158">
        <v>1282</v>
      </c>
      <c r="FV25" s="158">
        <v>1282</v>
      </c>
      <c r="FW25" s="158">
        <v>1282</v>
      </c>
      <c r="FX25" s="158">
        <v>1282</v>
      </c>
      <c r="FY25" s="158">
        <v>1282</v>
      </c>
      <c r="FZ25" s="158">
        <v>1282</v>
      </c>
      <c r="GA25" s="158">
        <v>1282</v>
      </c>
      <c r="GB25" s="158">
        <v>1282</v>
      </c>
      <c r="GC25" s="158">
        <v>1282</v>
      </c>
      <c r="GD25" s="158">
        <v>1219</v>
      </c>
      <c r="GE25" s="158">
        <v>1219</v>
      </c>
      <c r="GF25" s="158">
        <v>1219</v>
      </c>
      <c r="GG25" s="158">
        <v>1219</v>
      </c>
      <c r="GH25" s="158">
        <v>1251</v>
      </c>
      <c r="GI25" s="158">
        <v>1251</v>
      </c>
      <c r="GJ25" s="158">
        <v>1251</v>
      </c>
      <c r="GK25" s="158">
        <v>1251</v>
      </c>
      <c r="GL25" s="158">
        <v>1251</v>
      </c>
      <c r="GM25" s="158">
        <v>1251</v>
      </c>
      <c r="GN25" s="158">
        <v>1251</v>
      </c>
      <c r="GO25" s="158">
        <v>1251</v>
      </c>
      <c r="GP25" s="158">
        <v>1251</v>
      </c>
      <c r="GQ25" s="158">
        <v>1260.3186476770372</v>
      </c>
      <c r="GR25" s="158">
        <v>1260.3186476770372</v>
      </c>
      <c r="GS25" s="158">
        <v>1260.3186476770372</v>
      </c>
      <c r="GT25" s="158">
        <v>1260.3186476770372</v>
      </c>
      <c r="GU25" s="158">
        <v>1260.9721935296795</v>
      </c>
      <c r="GV25" s="158">
        <v>1260.9721935296795</v>
      </c>
      <c r="GW25" s="158">
        <v>1260.9721935296795</v>
      </c>
      <c r="GX25" s="158">
        <v>1260.9721935296795</v>
      </c>
      <c r="GY25" s="158">
        <v>1260.9721935296795</v>
      </c>
      <c r="GZ25" s="158">
        <v>1214.0815770933086</v>
      </c>
      <c r="HA25" s="158">
        <v>1214.0815770933086</v>
      </c>
      <c r="HB25" s="158">
        <v>1214.0815770933086</v>
      </c>
      <c r="HC25" s="158">
        <v>1214.0815770933086</v>
      </c>
      <c r="HD25" s="158">
        <v>1224.4122855454673</v>
      </c>
      <c r="HE25" s="158">
        <v>1224.4122855454673</v>
      </c>
      <c r="HF25" s="158">
        <v>1224.4122855454673</v>
      </c>
      <c r="HG25" s="158">
        <v>1224.4122855454673</v>
      </c>
      <c r="HH25" s="158">
        <v>1224.8943631432089</v>
      </c>
      <c r="HI25" s="158">
        <v>1224.8943631432089</v>
      </c>
      <c r="HJ25" s="158">
        <v>1224.8943631432089</v>
      </c>
      <c r="HK25" s="158">
        <v>1224.8943631432089</v>
      </c>
      <c r="HL25" s="158">
        <v>1220.8389764175517</v>
      </c>
      <c r="HM25" s="158">
        <v>1220.8389764175517</v>
      </c>
      <c r="HN25" s="158">
        <v>1220.8389764175517</v>
      </c>
      <c r="HO25" s="158">
        <v>1220.8389764175517</v>
      </c>
      <c r="HP25" s="158">
        <v>1201.5512157788862</v>
      </c>
      <c r="HQ25" s="158">
        <v>1201.5512157788862</v>
      </c>
      <c r="HR25" s="158">
        <v>1201.5512157788862</v>
      </c>
      <c r="HS25" s="158">
        <v>1201.5512157788862</v>
      </c>
      <c r="HT25" s="158">
        <v>1215.0616168681211</v>
      </c>
      <c r="HU25" s="158">
        <v>1215.0616168681211</v>
      </c>
      <c r="HV25" s="158">
        <v>1215.0616168681211</v>
      </c>
      <c r="HW25" s="158">
        <v>1215.0616168681211</v>
      </c>
      <c r="HX25" s="158">
        <v>1215.0616168681211</v>
      </c>
      <c r="HY25" s="158">
        <v>1218.0838169008853</v>
      </c>
      <c r="HZ25" s="158">
        <v>1218.0838169008853</v>
      </c>
      <c r="IA25" s="158">
        <v>1218.0838169008853</v>
      </c>
      <c r="IB25" s="158">
        <v>1218.0838169008853</v>
      </c>
      <c r="IC25" s="158">
        <v>1217.9396141401003</v>
      </c>
      <c r="ID25" s="158">
        <v>1217.9396141401003</v>
      </c>
      <c r="IE25" s="158">
        <v>1217.9396141401003</v>
      </c>
      <c r="IF25" s="158">
        <v>1217.9396141401003</v>
      </c>
      <c r="IG25" s="158">
        <v>1217.9396141401003</v>
      </c>
      <c r="IH25" s="158">
        <v>1221.1766254679269</v>
      </c>
      <c r="II25" s="158">
        <v>1221.1766254679269</v>
      </c>
      <c r="IJ25" s="158">
        <v>1221.1766254679269</v>
      </c>
      <c r="IK25" s="158">
        <v>1221.1766254679269</v>
      </c>
      <c r="IL25" s="158">
        <v>1118.5151926825677</v>
      </c>
      <c r="IM25" s="158">
        <v>1118.5151926825677</v>
      </c>
      <c r="IN25" s="158">
        <v>1118.5151926825677</v>
      </c>
      <c r="IO25" s="158">
        <v>1118.5151926825677</v>
      </c>
      <c r="IP25" s="158">
        <v>1095.5642423065681</v>
      </c>
      <c r="IQ25" s="158">
        <v>1095.5642423065681</v>
      </c>
      <c r="IR25" s="158">
        <v>1095.5642423065681</v>
      </c>
      <c r="IS25" s="158">
        <v>1095.5642423065681</v>
      </c>
      <c r="IT25" s="158">
        <v>1095.5642423065681</v>
      </c>
      <c r="IU25" s="158">
        <v>1120.145512661127</v>
      </c>
      <c r="IV25" s="158">
        <v>1120.145512661127</v>
      </c>
      <c r="IW25" s="158">
        <v>1120.145512661127</v>
      </c>
      <c r="IX25" s="158">
        <v>1120.145512661127</v>
      </c>
      <c r="IY25" s="158">
        <v>1076.7141229774484</v>
      </c>
      <c r="IZ25" s="158">
        <v>1076.7141229774484</v>
      </c>
      <c r="JA25" s="158">
        <v>1076.7141229774484</v>
      </c>
      <c r="JB25" s="158">
        <v>1076.7141229774484</v>
      </c>
      <c r="JC25" s="158">
        <v>1111.3107354114027</v>
      </c>
      <c r="JD25" s="158">
        <v>1111.3107354114027</v>
      </c>
      <c r="JE25" s="158">
        <v>1111.3107354114027</v>
      </c>
      <c r="JF25" s="158">
        <v>1111.3107354114027</v>
      </c>
      <c r="JG25" s="158">
        <v>1111.3107354114027</v>
      </c>
      <c r="JH25" s="158">
        <v>1111.3107354114027</v>
      </c>
      <c r="JI25" s="158">
        <v>1111.3107354114027</v>
      </c>
      <c r="JJ25" s="158">
        <v>1111.3107354114027</v>
      </c>
      <c r="JK25" s="158">
        <v>1111.3107354114027</v>
      </c>
      <c r="JL25" s="158">
        <v>1076.0361329975726</v>
      </c>
      <c r="JM25" s="158">
        <v>1076.0361329975726</v>
      </c>
      <c r="JN25" s="158">
        <v>1076.0361329975726</v>
      </c>
      <c r="JO25" s="158">
        <v>1076.0361329975726</v>
      </c>
    </row>
    <row r="26" spans="1:275" ht="14">
      <c r="H26" s="1" t="s">
        <v>87</v>
      </c>
      <c r="U26" s="83">
        <v>1377</v>
      </c>
      <c r="V26" s="83">
        <v>1377</v>
      </c>
      <c r="W26" s="83">
        <v>1377</v>
      </c>
      <c r="X26" s="83">
        <v>1377</v>
      </c>
      <c r="Y26" s="83">
        <v>1377</v>
      </c>
      <c r="Z26" s="83">
        <v>1377</v>
      </c>
      <c r="AA26" s="83">
        <v>1377</v>
      </c>
      <c r="AB26" s="83">
        <v>1377</v>
      </c>
      <c r="AC26" s="83">
        <v>1377</v>
      </c>
      <c r="AD26" s="83">
        <v>1377</v>
      </c>
      <c r="AE26" s="83">
        <v>1377</v>
      </c>
      <c r="AF26" s="83">
        <v>1377</v>
      </c>
      <c r="AG26" s="83">
        <v>1377</v>
      </c>
      <c r="AH26" s="83">
        <v>1377</v>
      </c>
      <c r="AI26" s="83">
        <v>1377</v>
      </c>
      <c r="AJ26" s="83">
        <v>1377</v>
      </c>
      <c r="AK26" s="83">
        <v>1377</v>
      </c>
      <c r="AL26" s="83">
        <v>1377</v>
      </c>
      <c r="AM26" s="83">
        <v>1377</v>
      </c>
      <c r="AN26" s="83">
        <v>1377</v>
      </c>
      <c r="AO26" s="83">
        <v>1377</v>
      </c>
      <c r="AP26" s="83">
        <v>1377</v>
      </c>
      <c r="AQ26" s="83">
        <v>1377</v>
      </c>
      <c r="AR26" s="83">
        <v>1315</v>
      </c>
      <c r="AS26" s="83">
        <v>1306</v>
      </c>
      <c r="AT26" s="83">
        <v>1310</v>
      </c>
      <c r="AU26" s="83">
        <v>1310</v>
      </c>
      <c r="AV26" s="158">
        <v>1268</v>
      </c>
      <c r="AW26" s="158">
        <v>1261</v>
      </c>
      <c r="AX26" s="158">
        <v>1323</v>
      </c>
      <c r="AY26" s="158">
        <v>1323</v>
      </c>
      <c r="AZ26" s="158">
        <v>1306</v>
      </c>
      <c r="BA26" s="158">
        <v>1291</v>
      </c>
      <c r="BB26" s="158">
        <v>1282</v>
      </c>
      <c r="BC26" s="158">
        <v>1285</v>
      </c>
      <c r="BD26" s="158">
        <v>1219</v>
      </c>
      <c r="BE26" s="158">
        <v>1251</v>
      </c>
      <c r="BF26" s="158">
        <v>1251</v>
      </c>
      <c r="BG26" s="158">
        <v>1260.3186476770372</v>
      </c>
      <c r="BH26" s="158">
        <v>1260.9721935296795</v>
      </c>
      <c r="BI26" s="158">
        <v>1214.0815770933086</v>
      </c>
      <c r="BJ26" s="158">
        <v>1224.4122855454673</v>
      </c>
      <c r="BK26" s="158">
        <v>1224.8943631432089</v>
      </c>
      <c r="BL26" s="158">
        <v>1220.8389764175517</v>
      </c>
      <c r="BM26" s="158">
        <v>1201.5512157788862</v>
      </c>
      <c r="BN26" s="158">
        <v>1215.0616168681211</v>
      </c>
      <c r="BO26" s="158">
        <v>1218.0838169008853</v>
      </c>
      <c r="BP26" s="158">
        <v>1217.9396141401003</v>
      </c>
      <c r="BQ26" s="158">
        <v>1221.1766254679269</v>
      </c>
      <c r="BR26" s="158">
        <v>1118.5151926825677</v>
      </c>
      <c r="BS26" s="158">
        <v>1095.5642423065681</v>
      </c>
      <c r="BT26" s="158">
        <v>1120.145512661127</v>
      </c>
      <c r="BU26" s="158">
        <v>1076.7141229774484</v>
      </c>
      <c r="BV26" s="158">
        <v>1111.3107354114027</v>
      </c>
      <c r="BW26" s="158">
        <v>1083.9521515147321</v>
      </c>
      <c r="BX26" s="158">
        <v>1076.0361329975726</v>
      </c>
      <c r="BY26" s="158"/>
      <c r="CC26" s="1" t="s">
        <v>89</v>
      </c>
      <c r="CW26" s="41">
        <v>1530</v>
      </c>
      <c r="CX26" s="41">
        <f>+CX25+145</f>
        <v>1519</v>
      </c>
      <c r="CY26" s="41">
        <f t="shared" ref="CY26:DD26" si="578">+CY25+145</f>
        <v>1519</v>
      </c>
      <c r="CZ26" s="41">
        <f t="shared" si="578"/>
        <v>1519</v>
      </c>
      <c r="DA26" s="41">
        <f t="shared" si="578"/>
        <v>1519</v>
      </c>
      <c r="DB26" s="41">
        <f t="shared" si="578"/>
        <v>1519</v>
      </c>
      <c r="DC26" s="41">
        <f t="shared" si="578"/>
        <v>1519</v>
      </c>
      <c r="DD26" s="41">
        <f t="shared" si="578"/>
        <v>1519</v>
      </c>
      <c r="DE26" s="41">
        <f>+DE25+210</f>
        <v>1584</v>
      </c>
      <c r="DF26" s="41">
        <f t="shared" ref="DF26:DX26" si="579">+DF25+210</f>
        <v>1584</v>
      </c>
      <c r="DG26" s="43">
        <f>+DG25+210</f>
        <v>1587</v>
      </c>
      <c r="DH26" s="43">
        <f>+DH25+210</f>
        <v>1587</v>
      </c>
      <c r="DI26" s="43">
        <f t="shared" si="579"/>
        <v>1587</v>
      </c>
      <c r="DJ26" s="43">
        <f t="shared" si="579"/>
        <v>1587</v>
      </c>
      <c r="DK26" s="43">
        <f t="shared" si="579"/>
        <v>1587</v>
      </c>
      <c r="DL26" s="43">
        <f t="shared" si="579"/>
        <v>1587</v>
      </c>
      <c r="DM26" s="43">
        <f t="shared" si="579"/>
        <v>1587</v>
      </c>
      <c r="DN26" s="43">
        <f t="shared" si="579"/>
        <v>1587</v>
      </c>
      <c r="DO26" s="43">
        <f t="shared" si="579"/>
        <v>1587</v>
      </c>
      <c r="DP26" s="43">
        <f t="shared" si="579"/>
        <v>1587</v>
      </c>
      <c r="DQ26" s="43">
        <f t="shared" si="579"/>
        <v>1587</v>
      </c>
      <c r="DR26" s="43">
        <f t="shared" si="579"/>
        <v>1587</v>
      </c>
      <c r="DS26" s="43">
        <f t="shared" si="579"/>
        <v>1587</v>
      </c>
      <c r="DT26" s="43">
        <f t="shared" si="579"/>
        <v>1587</v>
      </c>
      <c r="DU26" s="43">
        <f t="shared" si="579"/>
        <v>1587</v>
      </c>
      <c r="DV26" s="43">
        <f t="shared" si="579"/>
        <v>1587</v>
      </c>
      <c r="DW26" s="43">
        <f t="shared" si="579"/>
        <v>1587</v>
      </c>
      <c r="DX26" s="43">
        <f t="shared" si="579"/>
        <v>1587</v>
      </c>
      <c r="DY26" s="43">
        <f>+DY25+210</f>
        <v>1587</v>
      </c>
      <c r="DZ26" s="43">
        <f>+DZ25+210</f>
        <v>1587</v>
      </c>
      <c r="EA26" s="43">
        <f>+EA25+210</f>
        <v>1587</v>
      </c>
      <c r="EB26" s="43">
        <f>+EB25+210</f>
        <v>1587</v>
      </c>
      <c r="EC26" s="43">
        <f t="shared" ref="EC26:EI26" si="580">+EC25+72</f>
        <v>1382</v>
      </c>
      <c r="ED26" s="43">
        <f t="shared" si="580"/>
        <v>1382</v>
      </c>
      <c r="EE26" s="43">
        <f t="shared" si="580"/>
        <v>1382</v>
      </c>
      <c r="EF26" s="43">
        <f t="shared" si="580"/>
        <v>1382</v>
      </c>
      <c r="EG26" s="43">
        <f t="shared" si="580"/>
        <v>1382</v>
      </c>
      <c r="EH26" s="43">
        <f t="shared" si="580"/>
        <v>1382</v>
      </c>
      <c r="EI26" s="43">
        <f t="shared" si="580"/>
        <v>1382</v>
      </c>
      <c r="EJ26" s="43">
        <f>+EJ25+72</f>
        <v>1382</v>
      </c>
      <c r="EK26" s="43">
        <f>+EK25+72</f>
        <v>1382</v>
      </c>
      <c r="EL26" s="43">
        <f t="shared" ref="EL26:EQ26" si="581">+EL25</f>
        <v>1310</v>
      </c>
      <c r="EM26" s="43">
        <f t="shared" si="581"/>
        <v>1310</v>
      </c>
      <c r="EN26" s="43">
        <f t="shared" si="581"/>
        <v>1310</v>
      </c>
      <c r="EO26" s="43">
        <f t="shared" si="581"/>
        <v>1310</v>
      </c>
      <c r="EP26" s="43">
        <f t="shared" si="581"/>
        <v>1310</v>
      </c>
      <c r="EQ26" s="43">
        <f t="shared" si="581"/>
        <v>1310</v>
      </c>
      <c r="ER26" s="43">
        <f t="shared" ref="ER26:EW26" si="582">+ER25</f>
        <v>1310</v>
      </c>
      <c r="ES26" s="43">
        <f t="shared" si="582"/>
        <v>1310</v>
      </c>
      <c r="ET26" s="43">
        <f t="shared" si="582"/>
        <v>1310</v>
      </c>
      <c r="EU26" s="43">
        <f t="shared" si="582"/>
        <v>1310</v>
      </c>
      <c r="EV26" s="43">
        <f t="shared" si="582"/>
        <v>1310</v>
      </c>
      <c r="EW26" s="43">
        <f t="shared" si="582"/>
        <v>1268</v>
      </c>
      <c r="EX26" s="43">
        <f t="shared" ref="EX26:EY26" si="583">+EX25</f>
        <v>1268</v>
      </c>
      <c r="EY26" s="43">
        <f t="shared" si="583"/>
        <v>1268</v>
      </c>
      <c r="EZ26" s="43">
        <f t="shared" ref="EZ26:FA26" si="584">+EZ25</f>
        <v>1268</v>
      </c>
      <c r="FA26" s="43">
        <f t="shared" si="584"/>
        <v>1261</v>
      </c>
      <c r="FB26" s="43">
        <f t="shared" ref="FB26:FC26" si="585">+FB25</f>
        <v>1261</v>
      </c>
      <c r="FC26" s="43">
        <f t="shared" si="585"/>
        <v>1261</v>
      </c>
      <c r="FD26" s="43">
        <f t="shared" ref="FD26:FE26" si="586">+FD25</f>
        <v>1261</v>
      </c>
      <c r="FE26" s="43">
        <f t="shared" si="586"/>
        <v>1261</v>
      </c>
      <c r="FF26" s="43">
        <v>1323</v>
      </c>
      <c r="FG26" s="43">
        <v>1323</v>
      </c>
      <c r="FH26" s="43">
        <v>1323</v>
      </c>
      <c r="FI26" s="43">
        <v>1323</v>
      </c>
      <c r="FJ26" s="43">
        <v>1323</v>
      </c>
      <c r="FK26" s="43">
        <v>1323</v>
      </c>
      <c r="FL26" s="43">
        <v>1323</v>
      </c>
      <c r="FM26" s="43">
        <v>1306</v>
      </c>
      <c r="FN26" s="43">
        <v>1306</v>
      </c>
      <c r="FO26" s="43">
        <v>1306</v>
      </c>
      <c r="FP26" s="43">
        <v>1306</v>
      </c>
      <c r="FQ26" s="43">
        <v>1306</v>
      </c>
      <c r="FR26" s="43">
        <f t="shared" ref="FR26:FT26" si="587">+FR25</f>
        <v>1291</v>
      </c>
      <c r="FS26" s="43">
        <f t="shared" si="587"/>
        <v>1291</v>
      </c>
      <c r="FT26" s="43">
        <f t="shared" si="587"/>
        <v>1291</v>
      </c>
      <c r="FU26" s="43">
        <f t="shared" ref="FU26:FV26" si="588">+FU25</f>
        <v>1282</v>
      </c>
      <c r="FV26" s="43">
        <f t="shared" si="588"/>
        <v>1282</v>
      </c>
      <c r="FW26" s="43">
        <f t="shared" ref="FW26:FX26" si="589">+FW25</f>
        <v>1282</v>
      </c>
      <c r="FX26" s="43">
        <f t="shared" si="589"/>
        <v>1282</v>
      </c>
      <c r="FY26" s="43">
        <f t="shared" ref="FY26:FZ26" si="590">+FY25</f>
        <v>1282</v>
      </c>
      <c r="FZ26" s="43">
        <f t="shared" si="590"/>
        <v>1282</v>
      </c>
      <c r="GA26" s="43">
        <f t="shared" ref="GA26:GB26" si="591">+GA25</f>
        <v>1282</v>
      </c>
      <c r="GB26" s="43">
        <f t="shared" si="591"/>
        <v>1282</v>
      </c>
      <c r="GC26" s="43">
        <f t="shared" ref="GC26:GD26" si="592">+GC25</f>
        <v>1282</v>
      </c>
      <c r="GD26" s="43">
        <f t="shared" si="592"/>
        <v>1219</v>
      </c>
      <c r="GE26" s="43">
        <f t="shared" ref="GE26:GF26" si="593">+GE25</f>
        <v>1219</v>
      </c>
      <c r="GF26" s="43">
        <f t="shared" si="593"/>
        <v>1219</v>
      </c>
      <c r="GG26" s="43">
        <f t="shared" ref="GG26:GH26" si="594">+GG25</f>
        <v>1219</v>
      </c>
      <c r="GH26" s="43">
        <f t="shared" si="594"/>
        <v>1251</v>
      </c>
      <c r="GI26" s="43">
        <f t="shared" ref="GI26:GJ26" si="595">+GI25</f>
        <v>1251</v>
      </c>
      <c r="GJ26" s="43">
        <f t="shared" si="595"/>
        <v>1251</v>
      </c>
      <c r="GK26" s="43">
        <f t="shared" ref="GK26:GL26" si="596">+GK25</f>
        <v>1251</v>
      </c>
      <c r="GL26" s="43">
        <f t="shared" si="596"/>
        <v>1251</v>
      </c>
      <c r="GM26" s="43">
        <f t="shared" ref="GM26:GN26" si="597">+GM25</f>
        <v>1251</v>
      </c>
      <c r="GN26" s="43">
        <f t="shared" si="597"/>
        <v>1251</v>
      </c>
      <c r="GO26" s="43">
        <f t="shared" ref="GO26:GP26" si="598">+GO25</f>
        <v>1251</v>
      </c>
      <c r="GP26" s="43">
        <f t="shared" si="598"/>
        <v>1251</v>
      </c>
      <c r="GQ26" s="43">
        <f t="shared" ref="GQ26:GR26" si="599">+GQ25</f>
        <v>1260.3186476770372</v>
      </c>
      <c r="GR26" s="43">
        <f t="shared" si="599"/>
        <v>1260.3186476770372</v>
      </c>
      <c r="GS26" s="43">
        <f t="shared" ref="GS26:GT26" si="600">+GS25</f>
        <v>1260.3186476770372</v>
      </c>
      <c r="GT26" s="43">
        <f t="shared" si="600"/>
        <v>1260.3186476770372</v>
      </c>
      <c r="GU26" s="43">
        <f t="shared" ref="GU26:GY26" si="601">+GU25</f>
        <v>1260.9721935296795</v>
      </c>
      <c r="GV26" s="43">
        <f t="shared" si="601"/>
        <v>1260.9721935296795</v>
      </c>
      <c r="GW26" s="43">
        <f t="shared" si="601"/>
        <v>1260.9721935296795</v>
      </c>
      <c r="GX26" s="43">
        <f t="shared" si="601"/>
        <v>1260.9721935296795</v>
      </c>
      <c r="GY26" s="43">
        <f t="shared" si="601"/>
        <v>1260.9721935296795</v>
      </c>
      <c r="GZ26" s="43">
        <f t="shared" ref="GZ26:HC26" si="602">+GZ25</f>
        <v>1214.0815770933086</v>
      </c>
      <c r="HA26" s="43">
        <f t="shared" si="602"/>
        <v>1214.0815770933086</v>
      </c>
      <c r="HB26" s="43">
        <f t="shared" si="602"/>
        <v>1214.0815770933086</v>
      </c>
      <c r="HC26" s="43">
        <f t="shared" si="602"/>
        <v>1214.0815770933086</v>
      </c>
      <c r="HD26" s="43">
        <f t="shared" ref="HD26:HE26" si="603">+HD25</f>
        <v>1224.4122855454673</v>
      </c>
      <c r="HE26" s="43">
        <f t="shared" si="603"/>
        <v>1224.4122855454673</v>
      </c>
      <c r="HF26" s="43">
        <f t="shared" ref="HF26:HG26" si="604">+HF25</f>
        <v>1224.4122855454673</v>
      </c>
      <c r="HG26" s="43">
        <f t="shared" si="604"/>
        <v>1224.4122855454673</v>
      </c>
      <c r="HH26" s="43">
        <f t="shared" ref="HH26:HI26" si="605">+HH25</f>
        <v>1224.8943631432089</v>
      </c>
      <c r="HI26" s="43">
        <f t="shared" si="605"/>
        <v>1224.8943631432089</v>
      </c>
      <c r="HJ26" s="43">
        <f t="shared" ref="HJ26:HK26" si="606">+HJ25</f>
        <v>1224.8943631432089</v>
      </c>
      <c r="HK26" s="43">
        <f t="shared" si="606"/>
        <v>1224.8943631432089</v>
      </c>
      <c r="HL26" s="43">
        <f t="shared" ref="HL26:HO26" si="607">+HL25</f>
        <v>1220.8389764175517</v>
      </c>
      <c r="HM26" s="43">
        <f t="shared" si="607"/>
        <v>1220.8389764175517</v>
      </c>
      <c r="HN26" s="43">
        <f t="shared" si="607"/>
        <v>1220.8389764175517</v>
      </c>
      <c r="HO26" s="43">
        <f t="shared" si="607"/>
        <v>1220.8389764175517</v>
      </c>
      <c r="HP26" s="43">
        <f t="shared" ref="HP26:HS26" si="608">+HP25</f>
        <v>1201.5512157788862</v>
      </c>
      <c r="HQ26" s="43">
        <f t="shared" si="608"/>
        <v>1201.5512157788862</v>
      </c>
      <c r="HR26" s="43">
        <f t="shared" si="608"/>
        <v>1201.5512157788862</v>
      </c>
      <c r="HS26" s="43">
        <f t="shared" si="608"/>
        <v>1201.5512157788862</v>
      </c>
      <c r="HT26" s="43">
        <f t="shared" ref="HT26:HX26" si="609">+HT25</f>
        <v>1215.0616168681211</v>
      </c>
      <c r="HU26" s="43">
        <f t="shared" si="609"/>
        <v>1215.0616168681211</v>
      </c>
      <c r="HV26" s="43">
        <f t="shared" si="609"/>
        <v>1215.0616168681211</v>
      </c>
      <c r="HW26" s="43">
        <f t="shared" si="609"/>
        <v>1215.0616168681211</v>
      </c>
      <c r="HX26" s="43">
        <f t="shared" si="609"/>
        <v>1215.0616168681211</v>
      </c>
      <c r="HY26" s="43">
        <f t="shared" ref="HY26:IB26" si="610">+HY25</f>
        <v>1218.0838169008853</v>
      </c>
      <c r="HZ26" s="43">
        <f t="shared" si="610"/>
        <v>1218.0838169008853</v>
      </c>
      <c r="IA26" s="43">
        <f t="shared" si="610"/>
        <v>1218.0838169008853</v>
      </c>
      <c r="IB26" s="43">
        <f t="shared" si="610"/>
        <v>1218.0838169008853</v>
      </c>
      <c r="IC26" s="43">
        <f t="shared" ref="IC26:IG26" si="611">+IC25</f>
        <v>1217.9396141401003</v>
      </c>
      <c r="ID26" s="43">
        <f t="shared" si="611"/>
        <v>1217.9396141401003</v>
      </c>
      <c r="IE26" s="43">
        <f t="shared" si="611"/>
        <v>1217.9396141401003</v>
      </c>
      <c r="IF26" s="43">
        <f t="shared" si="611"/>
        <v>1217.9396141401003</v>
      </c>
      <c r="IG26" s="43">
        <f t="shared" si="611"/>
        <v>1217.9396141401003</v>
      </c>
      <c r="IH26" s="43">
        <f t="shared" ref="IH26:IK26" si="612">+IH25</f>
        <v>1221.1766254679269</v>
      </c>
      <c r="II26" s="43">
        <f t="shared" si="612"/>
        <v>1221.1766254679269</v>
      </c>
      <c r="IJ26" s="43">
        <f t="shared" si="612"/>
        <v>1221.1766254679269</v>
      </c>
      <c r="IK26" s="43">
        <f t="shared" si="612"/>
        <v>1221.1766254679269</v>
      </c>
      <c r="IL26" s="43">
        <f t="shared" ref="IL26:IO26" si="613">+IL25</f>
        <v>1118.5151926825677</v>
      </c>
      <c r="IM26" s="43">
        <f t="shared" si="613"/>
        <v>1118.5151926825677</v>
      </c>
      <c r="IN26" s="43">
        <f t="shared" si="613"/>
        <v>1118.5151926825677</v>
      </c>
      <c r="IO26" s="43">
        <f t="shared" si="613"/>
        <v>1118.5151926825677</v>
      </c>
      <c r="IP26" s="43">
        <f t="shared" ref="IP26:IT26" si="614">+IP25</f>
        <v>1095.5642423065681</v>
      </c>
      <c r="IQ26" s="43">
        <f t="shared" si="614"/>
        <v>1095.5642423065681</v>
      </c>
      <c r="IR26" s="43">
        <f t="shared" si="614"/>
        <v>1095.5642423065681</v>
      </c>
      <c r="IS26" s="43">
        <f t="shared" si="614"/>
        <v>1095.5642423065681</v>
      </c>
      <c r="IT26" s="43">
        <f t="shared" si="614"/>
        <v>1095.5642423065681</v>
      </c>
      <c r="IU26" s="43">
        <f t="shared" ref="IU26:IX26" si="615">+IU25</f>
        <v>1120.145512661127</v>
      </c>
      <c r="IV26" s="43">
        <f t="shared" si="615"/>
        <v>1120.145512661127</v>
      </c>
      <c r="IW26" s="43">
        <f t="shared" si="615"/>
        <v>1120.145512661127</v>
      </c>
      <c r="IX26" s="43">
        <f t="shared" si="615"/>
        <v>1120.145512661127</v>
      </c>
      <c r="IY26" s="43">
        <f t="shared" ref="IY26:JB26" si="616">+IY25</f>
        <v>1076.7141229774484</v>
      </c>
      <c r="IZ26" s="43">
        <f t="shared" si="616"/>
        <v>1076.7141229774484</v>
      </c>
      <c r="JA26" s="43">
        <f t="shared" si="616"/>
        <v>1076.7141229774484</v>
      </c>
      <c r="JB26" s="43">
        <f t="shared" si="616"/>
        <v>1076.7141229774484</v>
      </c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</row>
    <row r="27" spans="1:275" ht="15" hidden="1">
      <c r="F27" s="62"/>
      <c r="H27" s="1" t="s">
        <v>89</v>
      </c>
      <c r="U27" s="135">
        <f t="shared" ref="U27:AK27" si="617">U26+210</f>
        <v>1587</v>
      </c>
      <c r="V27" s="135">
        <f t="shared" si="617"/>
        <v>1587</v>
      </c>
      <c r="W27" s="135">
        <f t="shared" si="617"/>
        <v>1587</v>
      </c>
      <c r="X27" s="135">
        <f t="shared" si="617"/>
        <v>1587</v>
      </c>
      <c r="Y27" s="135">
        <f t="shared" si="617"/>
        <v>1587</v>
      </c>
      <c r="Z27" s="135">
        <f t="shared" si="617"/>
        <v>1587</v>
      </c>
      <c r="AA27" s="135">
        <f t="shared" si="617"/>
        <v>1587</v>
      </c>
      <c r="AB27" s="135">
        <f t="shared" si="617"/>
        <v>1587</v>
      </c>
      <c r="AC27" s="135">
        <f t="shared" si="617"/>
        <v>1587</v>
      </c>
      <c r="AD27" s="135">
        <f t="shared" si="617"/>
        <v>1587</v>
      </c>
      <c r="AE27" s="135">
        <f t="shared" si="617"/>
        <v>1587</v>
      </c>
      <c r="AF27" s="135">
        <f t="shared" si="617"/>
        <v>1587</v>
      </c>
      <c r="AG27" s="135">
        <f t="shared" si="617"/>
        <v>1587</v>
      </c>
      <c r="AH27" s="135">
        <f t="shared" si="617"/>
        <v>1587</v>
      </c>
      <c r="AI27" s="135">
        <f t="shared" si="617"/>
        <v>1587</v>
      </c>
      <c r="AJ27" s="135">
        <f t="shared" si="617"/>
        <v>1587</v>
      </c>
      <c r="AK27" s="135">
        <f t="shared" si="617"/>
        <v>1587</v>
      </c>
      <c r="AL27" s="135">
        <f t="shared" ref="AL27:AT27" si="618">AL26+210</f>
        <v>1587</v>
      </c>
      <c r="AM27" s="135">
        <f t="shared" si="618"/>
        <v>1587</v>
      </c>
      <c r="AN27" s="135">
        <f t="shared" si="618"/>
        <v>1587</v>
      </c>
      <c r="AO27" s="135">
        <f t="shared" si="618"/>
        <v>1587</v>
      </c>
      <c r="AP27" s="135">
        <f t="shared" si="618"/>
        <v>1587</v>
      </c>
      <c r="AQ27" s="135">
        <f t="shared" si="618"/>
        <v>1587</v>
      </c>
      <c r="AR27" s="135">
        <f t="shared" si="618"/>
        <v>1525</v>
      </c>
      <c r="AS27" s="135">
        <f t="shared" si="618"/>
        <v>1516</v>
      </c>
      <c r="AT27" s="135">
        <f t="shared" si="618"/>
        <v>1520</v>
      </c>
      <c r="AU27" s="83">
        <f t="shared" ref="AU27:AZ27" si="619">AU26</f>
        <v>1310</v>
      </c>
      <c r="AV27" s="83">
        <f t="shared" si="619"/>
        <v>1268</v>
      </c>
      <c r="AW27" s="83">
        <f t="shared" si="619"/>
        <v>1261</v>
      </c>
      <c r="AX27" s="83">
        <f t="shared" si="619"/>
        <v>1323</v>
      </c>
      <c r="AY27" s="83">
        <f t="shared" si="619"/>
        <v>1323</v>
      </c>
      <c r="AZ27" s="83">
        <f t="shared" si="619"/>
        <v>1306</v>
      </c>
      <c r="BA27" s="83">
        <f t="shared" ref="BA27:BB27" si="620">BA26</f>
        <v>1291</v>
      </c>
      <c r="BB27" s="83">
        <f t="shared" si="620"/>
        <v>1282</v>
      </c>
      <c r="BC27" s="83">
        <f t="shared" ref="BC27:BD27" si="621">BC26</f>
        <v>1285</v>
      </c>
      <c r="BD27" s="83">
        <f t="shared" si="621"/>
        <v>1219</v>
      </c>
      <c r="BE27" s="83">
        <f t="shared" ref="BE27:BF27" si="622">BE26</f>
        <v>1251</v>
      </c>
      <c r="BF27" s="83">
        <f t="shared" si="622"/>
        <v>1251</v>
      </c>
      <c r="BG27" s="83">
        <f t="shared" ref="BG27:BH27" si="623">BG26</f>
        <v>1260.3186476770372</v>
      </c>
      <c r="BH27" s="83">
        <f t="shared" si="623"/>
        <v>1260.9721935296795</v>
      </c>
      <c r="BI27" s="83">
        <f t="shared" ref="BI27:BJ27" si="624">BI26</f>
        <v>1214.0815770933086</v>
      </c>
      <c r="BJ27" s="83">
        <f t="shared" si="624"/>
        <v>1224.4122855454673</v>
      </c>
      <c r="BK27" s="83">
        <f t="shared" ref="BK27:BL27" si="625">BK26</f>
        <v>1224.8943631432089</v>
      </c>
      <c r="BL27" s="83">
        <f t="shared" si="625"/>
        <v>1220.8389764175517</v>
      </c>
      <c r="BM27" s="83">
        <f t="shared" ref="BM27:BN27" si="626">BM26</f>
        <v>1201.5512157788862</v>
      </c>
      <c r="BN27" s="83">
        <f t="shared" si="626"/>
        <v>1215.0616168681211</v>
      </c>
      <c r="BO27" s="83">
        <f t="shared" ref="BO27:BP27" si="627">BO26</f>
        <v>1218.0838169008853</v>
      </c>
      <c r="BP27" s="83">
        <f t="shared" si="627"/>
        <v>1217.9396141401003</v>
      </c>
      <c r="BQ27" s="83">
        <f t="shared" ref="BQ27:BR27" si="628">BQ26</f>
        <v>1221.1766254679269</v>
      </c>
      <c r="BR27" s="83">
        <f t="shared" si="628"/>
        <v>1118.5151926825677</v>
      </c>
      <c r="BS27" s="83">
        <f t="shared" ref="BS27:BT27" si="629">BS26</f>
        <v>1095.5642423065681</v>
      </c>
      <c r="BT27" s="83">
        <f t="shared" si="629"/>
        <v>1120.145512661127</v>
      </c>
      <c r="BU27" s="83">
        <f t="shared" ref="BU27:BV27" si="630">BU26</f>
        <v>1076.7141229774484</v>
      </c>
      <c r="BV27" s="83">
        <f t="shared" si="630"/>
        <v>1111.3107354114027</v>
      </c>
      <c r="BW27" s="83">
        <f t="shared" ref="BW27:BX27" si="631">BW26</f>
        <v>1083.9521515147321</v>
      </c>
      <c r="BX27" s="83">
        <f t="shared" si="631"/>
        <v>1076.0361329975726</v>
      </c>
      <c r="BY27" s="83">
        <f t="shared" ref="BY27" si="632">BY26</f>
        <v>0</v>
      </c>
      <c r="CC27" s="1" t="s">
        <v>99</v>
      </c>
      <c r="DG27" s="43">
        <v>1575</v>
      </c>
      <c r="DH27" s="43">
        <v>1575</v>
      </c>
      <c r="DI27" s="43">
        <v>1575</v>
      </c>
      <c r="DJ27" s="43">
        <v>1575</v>
      </c>
      <c r="DK27" s="43">
        <v>1575</v>
      </c>
      <c r="DL27" s="43">
        <v>1575</v>
      </c>
      <c r="DM27" s="43">
        <v>1575</v>
      </c>
      <c r="DN27" s="43">
        <v>1575</v>
      </c>
      <c r="DO27" s="43">
        <v>1575</v>
      </c>
      <c r="DP27" s="43">
        <v>1575</v>
      </c>
      <c r="DQ27" s="43">
        <v>1575</v>
      </c>
      <c r="DR27" s="43">
        <v>1575</v>
      </c>
      <c r="DS27" s="43">
        <v>1575</v>
      </c>
      <c r="DT27" s="43">
        <v>1530</v>
      </c>
      <c r="DU27" s="43">
        <v>1530</v>
      </c>
      <c r="DV27" s="43">
        <v>1530</v>
      </c>
      <c r="DW27" s="43">
        <v>1530</v>
      </c>
      <c r="DX27" s="43">
        <v>1530</v>
      </c>
      <c r="DY27" s="43">
        <v>1530</v>
      </c>
      <c r="DZ27" s="43">
        <v>1530</v>
      </c>
      <c r="EA27" s="43">
        <v>1530</v>
      </c>
      <c r="EB27" s="43">
        <v>1530</v>
      </c>
      <c r="EC27" s="43">
        <v>1530</v>
      </c>
      <c r="ED27" s="43">
        <v>1530</v>
      </c>
      <c r="EE27" s="43">
        <v>1530</v>
      </c>
      <c r="EF27" s="43">
        <v>1530</v>
      </c>
      <c r="EG27" s="43">
        <v>1530</v>
      </c>
      <c r="EH27" s="43">
        <v>1530</v>
      </c>
      <c r="EI27" s="43">
        <v>1530</v>
      </c>
      <c r="EJ27" s="43">
        <v>1530</v>
      </c>
      <c r="EK27" s="43">
        <v>1530</v>
      </c>
      <c r="EL27" s="43">
        <v>1530</v>
      </c>
      <c r="EM27" s="134">
        <v>1530</v>
      </c>
      <c r="EN27" s="134">
        <v>1530</v>
      </c>
      <c r="EO27" s="134">
        <v>1530</v>
      </c>
      <c r="EP27" s="134">
        <v>1530</v>
      </c>
      <c r="EQ27" s="134">
        <v>1530</v>
      </c>
      <c r="ER27" s="134">
        <v>1530</v>
      </c>
      <c r="ES27" s="134">
        <v>1530</v>
      </c>
      <c r="ET27" s="134">
        <v>1530</v>
      </c>
      <c r="EU27" s="134">
        <v>1530</v>
      </c>
      <c r="EV27" s="134">
        <v>1530</v>
      </c>
      <c r="EW27" s="134">
        <v>1530</v>
      </c>
      <c r="EX27" s="134">
        <v>1530</v>
      </c>
      <c r="EY27" s="134">
        <v>1530</v>
      </c>
      <c r="EZ27" s="134">
        <v>1530</v>
      </c>
      <c r="FA27" s="134">
        <v>1530</v>
      </c>
      <c r="FB27" s="134">
        <v>1530</v>
      </c>
      <c r="FC27" s="134">
        <v>1530</v>
      </c>
      <c r="FD27" s="134">
        <v>1530</v>
      </c>
      <c r="FE27" s="134">
        <v>1530</v>
      </c>
      <c r="FF27" s="134">
        <v>1530</v>
      </c>
      <c r="FG27" s="134">
        <v>1500</v>
      </c>
      <c r="FH27" s="134">
        <v>1500</v>
      </c>
      <c r="FI27" s="134">
        <v>1500</v>
      </c>
      <c r="FJ27" s="134">
        <v>1500</v>
      </c>
      <c r="FK27" s="134">
        <v>1500</v>
      </c>
      <c r="FL27" s="134">
        <v>1500</v>
      </c>
      <c r="FM27" s="134">
        <v>1500</v>
      </c>
      <c r="FN27" s="134">
        <v>1500</v>
      </c>
      <c r="FO27" s="134">
        <v>1500</v>
      </c>
      <c r="FP27" s="134">
        <v>1500</v>
      </c>
      <c r="FQ27" s="134">
        <v>1430</v>
      </c>
      <c r="FR27" s="134">
        <v>1430</v>
      </c>
      <c r="FS27" s="134">
        <v>1430</v>
      </c>
      <c r="FT27" s="134">
        <v>1430</v>
      </c>
      <c r="FU27" s="134">
        <v>1430</v>
      </c>
      <c r="FV27" s="134">
        <v>1430</v>
      </c>
      <c r="FW27" s="134">
        <v>1430</v>
      </c>
      <c r="FX27" s="134">
        <v>1430</v>
      </c>
    </row>
    <row r="28" spans="1:275">
      <c r="AQ28" s="3">
        <f t="shared" ref="AQ28:AU28" si="633">AQ26*0.3*0.29%+AQ26</f>
        <v>1378.1979899999999</v>
      </c>
      <c r="AR28" s="3">
        <f t="shared" si="633"/>
        <v>1316.1440500000001</v>
      </c>
      <c r="AS28" s="3">
        <f t="shared" si="633"/>
        <v>1307.1362200000001</v>
      </c>
      <c r="AT28" s="3">
        <f t="shared" si="633"/>
        <v>1311.1396999999999</v>
      </c>
      <c r="AU28" s="3">
        <f t="shared" si="633"/>
        <v>1311.1396999999999</v>
      </c>
      <c r="AV28" s="3">
        <f t="shared" ref="AV28:BA28" si="634">AV26</f>
        <v>1268</v>
      </c>
      <c r="AW28" s="3">
        <f t="shared" si="634"/>
        <v>1261</v>
      </c>
      <c r="AX28" s="3">
        <f t="shared" si="634"/>
        <v>1323</v>
      </c>
      <c r="AY28" s="3">
        <f t="shared" si="634"/>
        <v>1323</v>
      </c>
      <c r="AZ28" s="3">
        <f t="shared" si="634"/>
        <v>1306</v>
      </c>
      <c r="BA28" s="3">
        <f t="shared" si="634"/>
        <v>1291</v>
      </c>
      <c r="BB28" s="3">
        <f t="shared" ref="BB28:BC28" si="635">BB26</f>
        <v>1282</v>
      </c>
      <c r="BC28" s="3">
        <f t="shared" si="635"/>
        <v>1285</v>
      </c>
      <c r="BD28" s="3">
        <f t="shared" ref="BD28:BI28" si="636">BD26</f>
        <v>1219</v>
      </c>
      <c r="BE28" s="3">
        <f t="shared" si="636"/>
        <v>1251</v>
      </c>
      <c r="BF28" s="3">
        <f t="shared" si="636"/>
        <v>1251</v>
      </c>
      <c r="BG28" s="3">
        <f t="shared" si="636"/>
        <v>1260.3186476770372</v>
      </c>
      <c r="BH28" s="3">
        <f t="shared" si="636"/>
        <v>1260.9721935296795</v>
      </c>
      <c r="BI28" s="3">
        <f t="shared" si="636"/>
        <v>1214.0815770933086</v>
      </c>
      <c r="BJ28" s="3">
        <f t="shared" ref="BJ28:BK28" si="637">BJ26</f>
        <v>1224.4122855454673</v>
      </c>
      <c r="BK28" s="3">
        <f t="shared" si="637"/>
        <v>1224.8943631432089</v>
      </c>
      <c r="BL28" s="3">
        <f t="shared" ref="BL28:BM28" si="638">BL26</f>
        <v>1220.8389764175517</v>
      </c>
      <c r="BM28" s="3">
        <f t="shared" si="638"/>
        <v>1201.5512157788862</v>
      </c>
      <c r="BN28" s="3">
        <f t="shared" ref="BN28:BO28" si="639">BN26</f>
        <v>1215.0616168681211</v>
      </c>
      <c r="BO28" s="3">
        <f t="shared" si="639"/>
        <v>1218.0838169008853</v>
      </c>
      <c r="BP28" s="3">
        <f t="shared" ref="BP28:BQ28" si="640">BP26</f>
        <v>1217.9396141401003</v>
      </c>
      <c r="BQ28" s="3">
        <f t="shared" si="640"/>
        <v>1221.1766254679269</v>
      </c>
      <c r="BR28" s="3">
        <f t="shared" ref="BR28:BS28" si="641">BR26</f>
        <v>1118.5151926825677</v>
      </c>
      <c r="BS28" s="3">
        <f t="shared" si="641"/>
        <v>1095.5642423065681</v>
      </c>
      <c r="BT28" s="3">
        <f t="shared" ref="BT28:BU28" si="642">BT26</f>
        <v>1120.145512661127</v>
      </c>
      <c r="BU28" s="3">
        <f t="shared" si="642"/>
        <v>1076.7141229774484</v>
      </c>
      <c r="BV28" s="3">
        <f t="shared" ref="BV28:BW28" si="643">BV26</f>
        <v>1111.3107354114027</v>
      </c>
      <c r="BW28" s="3">
        <f t="shared" si="643"/>
        <v>1083.9521515147321</v>
      </c>
      <c r="BX28" s="3">
        <f t="shared" ref="BX28:BY28" si="644">BX26</f>
        <v>1076.0361329975726</v>
      </c>
      <c r="BY28" s="3">
        <f t="shared" si="644"/>
        <v>0</v>
      </c>
    </row>
    <row r="29" spans="1:275" ht="14" hidden="1">
      <c r="H29" s="1" t="s">
        <v>116</v>
      </c>
      <c r="AL29" s="3">
        <v>1422</v>
      </c>
      <c r="AM29" s="3">
        <v>1422</v>
      </c>
      <c r="AN29" s="3">
        <v>1422</v>
      </c>
      <c r="AO29" s="3">
        <v>1422</v>
      </c>
      <c r="AP29" s="3">
        <v>1422</v>
      </c>
      <c r="AQ29" s="3">
        <v>1396</v>
      </c>
      <c r="AR29" s="3">
        <v>1396</v>
      </c>
      <c r="AS29" s="3">
        <v>1396</v>
      </c>
      <c r="AT29" s="3">
        <v>1396</v>
      </c>
      <c r="AU29" s="3">
        <v>1371</v>
      </c>
      <c r="AV29" s="3">
        <v>1371</v>
      </c>
      <c r="AW29" s="3">
        <v>1358</v>
      </c>
      <c r="AX29" s="3">
        <v>1358</v>
      </c>
      <c r="AY29" s="3">
        <v>1358</v>
      </c>
      <c r="AZ29" s="3">
        <v>1358</v>
      </c>
      <c r="BA29" s="3">
        <v>1358</v>
      </c>
      <c r="BB29" s="3">
        <v>1359</v>
      </c>
      <c r="BC29" s="3">
        <v>1359</v>
      </c>
      <c r="BD29" s="3">
        <v>1359</v>
      </c>
      <c r="BE29" s="3">
        <v>1359</v>
      </c>
      <c r="BF29" s="3">
        <v>1359</v>
      </c>
      <c r="BG29" s="3">
        <v>1359</v>
      </c>
      <c r="BH29" s="3">
        <v>1359</v>
      </c>
      <c r="BI29" s="3">
        <v>1359</v>
      </c>
      <c r="BJ29" s="3">
        <v>1359</v>
      </c>
      <c r="BK29" s="3">
        <v>1359</v>
      </c>
      <c r="BL29" s="3">
        <v>1359</v>
      </c>
      <c r="BM29" s="3">
        <v>1359</v>
      </c>
      <c r="BN29" s="3">
        <v>1359</v>
      </c>
      <c r="BO29" s="3">
        <v>1359</v>
      </c>
      <c r="BP29" s="3">
        <v>1359</v>
      </c>
      <c r="BQ29" s="3">
        <v>1359</v>
      </c>
      <c r="BR29" s="3">
        <v>1359</v>
      </c>
      <c r="BS29" s="3">
        <v>1359</v>
      </c>
      <c r="BT29" s="3">
        <v>1359</v>
      </c>
      <c r="BU29" s="3">
        <v>1359</v>
      </c>
      <c r="BV29" s="3">
        <v>1359</v>
      </c>
      <c r="BW29" s="3">
        <v>1359</v>
      </c>
      <c r="BX29" s="3">
        <v>1359</v>
      </c>
      <c r="BY29" s="3">
        <v>1359</v>
      </c>
      <c r="DG29" s="134"/>
      <c r="DH29" s="134"/>
      <c r="EC29" s="41"/>
    </row>
    <row r="30" spans="1:275">
      <c r="DG30" s="41"/>
    </row>
    <row r="43" spans="6:77" ht="14">
      <c r="F43" s="60" t="s">
        <v>69</v>
      </c>
      <c r="G43" s="54" t="s">
        <v>24</v>
      </c>
      <c r="H43" s="60"/>
      <c r="U43" s="41">
        <f>U20</f>
        <v>1185</v>
      </c>
      <c r="V43" s="41">
        <f t="shared" ref="V43:AC43" si="645">V20</f>
        <v>1297.5</v>
      </c>
      <c r="W43" s="41">
        <f t="shared" si="645"/>
        <v>1386</v>
      </c>
      <c r="X43" s="41">
        <f t="shared" si="645"/>
        <v>1390</v>
      </c>
      <c r="Y43" s="41">
        <f t="shared" si="645"/>
        <v>1320</v>
      </c>
      <c r="Z43" s="41">
        <f t="shared" si="645"/>
        <v>1327</v>
      </c>
      <c r="AA43" s="41">
        <f t="shared" si="645"/>
        <v>1248</v>
      </c>
      <c r="AB43" s="41">
        <f t="shared" si="645"/>
        <v>1230</v>
      </c>
      <c r="AC43" s="41">
        <f t="shared" si="645"/>
        <v>1130</v>
      </c>
      <c r="AD43" s="41">
        <f t="shared" ref="AD43:AI43" si="646">AD20</f>
        <v>1130</v>
      </c>
      <c r="AE43" s="41">
        <f t="shared" si="646"/>
        <v>1105</v>
      </c>
      <c r="AF43" s="41">
        <f t="shared" si="646"/>
        <v>1105</v>
      </c>
      <c r="AG43" s="41">
        <f t="shared" si="646"/>
        <v>1105</v>
      </c>
      <c r="AH43" s="41">
        <f t="shared" si="646"/>
        <v>1105</v>
      </c>
      <c r="AI43" s="41">
        <f t="shared" si="646"/>
        <v>1065</v>
      </c>
      <c r="AJ43" s="41">
        <v>1065</v>
      </c>
      <c r="AK43" s="41"/>
      <c r="AL43" s="41"/>
      <c r="AM43" s="41">
        <f>AM20</f>
        <v>1092.5</v>
      </c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</row>
    <row r="44" spans="6:77" ht="14">
      <c r="F44" s="60" t="s">
        <v>59</v>
      </c>
      <c r="G44" s="54" t="s">
        <v>24</v>
      </c>
      <c r="H44" s="60"/>
      <c r="Q44" s="2"/>
      <c r="U44" s="66">
        <f t="shared" ref="U44:AC44" si="647">U20*1.15</f>
        <v>1362.75</v>
      </c>
      <c r="V44" s="66">
        <f t="shared" si="647"/>
        <v>1492.1249999999998</v>
      </c>
      <c r="W44" s="66">
        <f t="shared" si="647"/>
        <v>1593.8999999999999</v>
      </c>
      <c r="X44" s="66">
        <f t="shared" si="647"/>
        <v>1598.4999999999998</v>
      </c>
      <c r="Y44" s="66">
        <f t="shared" si="647"/>
        <v>1517.9999999999998</v>
      </c>
      <c r="Z44" s="66">
        <f t="shared" si="647"/>
        <v>1526.05</v>
      </c>
      <c r="AA44" s="66">
        <f t="shared" si="647"/>
        <v>1435.1999999999998</v>
      </c>
      <c r="AB44" s="66">
        <f t="shared" si="647"/>
        <v>1414.5</v>
      </c>
      <c r="AC44" s="66">
        <f t="shared" si="647"/>
        <v>1299.5</v>
      </c>
      <c r="AD44" s="66">
        <f t="shared" ref="AD44:AI44" si="648">AD20*1.15</f>
        <v>1299.5</v>
      </c>
      <c r="AE44" s="66">
        <f t="shared" si="648"/>
        <v>1270.75</v>
      </c>
      <c r="AF44" s="66">
        <f t="shared" si="648"/>
        <v>1270.75</v>
      </c>
      <c r="AG44" s="66">
        <f t="shared" si="648"/>
        <v>1270.75</v>
      </c>
      <c r="AH44" s="66">
        <f t="shared" si="648"/>
        <v>1270.75</v>
      </c>
      <c r="AI44" s="66">
        <f t="shared" si="648"/>
        <v>1224.75</v>
      </c>
      <c r="AJ44" s="66"/>
      <c r="AK44" s="66"/>
      <c r="AL44" s="66"/>
      <c r="AM44" s="66">
        <f>AM20*1.15</f>
        <v>1256.375</v>
      </c>
      <c r="AN44" s="119"/>
      <c r="AO44" s="119"/>
      <c r="AP44" s="119"/>
      <c r="AQ44" s="119"/>
      <c r="AR44" s="119"/>
      <c r="AS44" s="119"/>
      <c r="AT44" s="119"/>
      <c r="AU44" s="11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</row>
    <row r="45" spans="6:77" ht="14">
      <c r="F45" s="60" t="s">
        <v>60</v>
      </c>
      <c r="G45" s="54" t="s">
        <v>24</v>
      </c>
      <c r="H45" s="60"/>
      <c r="I45" s="32"/>
      <c r="J45" s="32"/>
      <c r="K45" s="32"/>
      <c r="L45" s="32"/>
      <c r="M45" s="32"/>
      <c r="N45" s="32"/>
      <c r="O45" s="32"/>
      <c r="P45" s="32"/>
      <c r="Q45" s="31"/>
      <c r="R45" s="32"/>
      <c r="S45" s="32"/>
      <c r="T45" s="32"/>
      <c r="U45" s="67">
        <f>U16</f>
        <v>1313</v>
      </c>
      <c r="V45" s="67">
        <f t="shared" ref="V45:AB45" si="649">V16</f>
        <v>1302</v>
      </c>
      <c r="W45" s="67">
        <f t="shared" si="649"/>
        <v>1360</v>
      </c>
      <c r="X45" s="67">
        <f t="shared" si="649"/>
        <v>1397</v>
      </c>
      <c r="Y45" s="67">
        <f t="shared" si="649"/>
        <v>1425</v>
      </c>
      <c r="Z45" s="67">
        <f t="shared" si="649"/>
        <v>1493</v>
      </c>
      <c r="AA45" s="67">
        <f t="shared" si="649"/>
        <v>1473</v>
      </c>
      <c r="AB45" s="67">
        <f t="shared" si="649"/>
        <v>1474</v>
      </c>
      <c r="AC45" s="67">
        <f t="shared" ref="AC45:AH45" si="650">AC16</f>
        <v>1486</v>
      </c>
      <c r="AD45" s="67">
        <f t="shared" si="650"/>
        <v>1478.5</v>
      </c>
      <c r="AE45" s="67">
        <f t="shared" si="650"/>
        <v>1480</v>
      </c>
      <c r="AF45" s="67">
        <f t="shared" si="650"/>
        <v>1461</v>
      </c>
      <c r="AG45" s="67">
        <f t="shared" si="650"/>
        <v>1461</v>
      </c>
      <c r="AH45" s="67">
        <f t="shared" si="650"/>
        <v>1444</v>
      </c>
      <c r="AI45" s="67">
        <f>AI16</f>
        <v>1431.5</v>
      </c>
      <c r="AJ45" s="67"/>
      <c r="AK45" s="67"/>
      <c r="AL45" s="67"/>
      <c r="AM45" s="67">
        <f>AM16</f>
        <v>1247.5</v>
      </c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</row>
    <row r="46" spans="6:77" ht="14">
      <c r="F46" s="60" t="s">
        <v>56</v>
      </c>
      <c r="G46" s="54" t="s">
        <v>24</v>
      </c>
      <c r="H46" s="60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68">
        <f>U19</f>
        <v>1475</v>
      </c>
      <c r="V46" s="68">
        <f t="shared" ref="V46:AC46" si="651">V19</f>
        <v>1475</v>
      </c>
      <c r="W46" s="68">
        <f t="shared" si="651"/>
        <v>1475</v>
      </c>
      <c r="X46" s="68">
        <f t="shared" si="651"/>
        <v>1475</v>
      </c>
      <c r="Y46" s="68">
        <f t="shared" si="651"/>
        <v>1460</v>
      </c>
      <c r="Z46" s="68">
        <f t="shared" si="651"/>
        <v>1555</v>
      </c>
      <c r="AA46" s="68">
        <f t="shared" si="651"/>
        <v>1555</v>
      </c>
      <c r="AB46" s="68">
        <f t="shared" si="651"/>
        <v>1555</v>
      </c>
      <c r="AC46" s="68">
        <f t="shared" si="651"/>
        <v>1545</v>
      </c>
      <c r="AD46" s="68">
        <f t="shared" ref="AD46:AI46" si="652">AD19</f>
        <v>1545</v>
      </c>
      <c r="AE46" s="68">
        <f t="shared" si="652"/>
        <v>1555</v>
      </c>
      <c r="AF46" s="68">
        <f t="shared" si="652"/>
        <v>1524</v>
      </c>
      <c r="AG46" s="68">
        <f t="shared" si="652"/>
        <v>1524</v>
      </c>
      <c r="AH46" s="68">
        <f t="shared" si="652"/>
        <v>1524</v>
      </c>
      <c r="AI46" s="68">
        <f t="shared" si="652"/>
        <v>1524</v>
      </c>
      <c r="AJ46" s="68"/>
      <c r="AK46" s="68"/>
      <c r="AL46" s="68"/>
      <c r="AM46" s="68">
        <f>AM19</f>
        <v>1422</v>
      </c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4229-C545-47EB-ADBA-4A9824DF5E37}">
  <sheetPr>
    <tabColor theme="4"/>
    <pageSetUpPr fitToPage="1"/>
  </sheetPr>
  <dimension ref="B8:AA86"/>
  <sheetViews>
    <sheetView showGridLines="0" topLeftCell="A7" zoomScale="80" zoomScaleNormal="80" workbookViewId="0">
      <selection activeCell="K36" sqref="K36"/>
    </sheetView>
  </sheetViews>
  <sheetFormatPr defaultColWidth="8.81640625" defaultRowHeight="14.5"/>
  <cols>
    <col min="1" max="1" width="5.81640625" customWidth="1"/>
    <col min="2" max="2" width="3.453125" bestFit="1" customWidth="1"/>
    <col min="3" max="3" width="18.1796875" customWidth="1"/>
    <col min="4" max="4" width="7.453125" customWidth="1"/>
    <col min="5" max="5" width="16.81640625" bestFit="1" customWidth="1"/>
    <col min="6" max="6" width="8.81640625" customWidth="1"/>
    <col min="7" max="7" width="14.1796875" bestFit="1" customWidth="1"/>
    <col min="8" max="8" width="17.1796875" bestFit="1" customWidth="1"/>
    <col min="11" max="11" width="10.453125" bestFit="1" customWidth="1"/>
    <col min="17" max="17" width="11.81640625" customWidth="1"/>
    <col min="21" max="21" width="12.81640625" customWidth="1"/>
    <col min="22" max="22" width="6" customWidth="1"/>
    <col min="23" max="23" width="13" customWidth="1"/>
  </cols>
  <sheetData>
    <row r="8" spans="24:24">
      <c r="X8" t="s">
        <v>156</v>
      </c>
    </row>
    <row r="11" spans="24:24">
      <c r="X11" t="s">
        <v>157</v>
      </c>
    </row>
    <row r="13" spans="24:24">
      <c r="X13" t="s">
        <v>158</v>
      </c>
    </row>
    <row r="16" spans="24:24">
      <c r="X16" t="s">
        <v>159</v>
      </c>
    </row>
    <row r="19" spans="24:24">
      <c r="X19" t="s">
        <v>160</v>
      </c>
    </row>
    <row r="42" spans="19:27" ht="15.65" customHeight="1"/>
    <row r="43" spans="19:27" ht="14.9" customHeight="1"/>
    <row r="46" spans="19:27" ht="15.5">
      <c r="S46" s="187"/>
      <c r="T46" s="187"/>
      <c r="AA46" s="70"/>
    </row>
    <row r="47" spans="19:27">
      <c r="S47" s="187"/>
      <c r="T47" s="187"/>
    </row>
    <row r="52" spans="19:19">
      <c r="S52" s="76"/>
    </row>
    <row r="53" spans="19:19">
      <c r="S53" s="76"/>
    </row>
    <row r="54" spans="19:19">
      <c r="S54" s="76"/>
    </row>
    <row r="55" spans="19:19">
      <c r="S55" s="76"/>
    </row>
    <row r="56" spans="19:19">
      <c r="S56" s="76"/>
    </row>
    <row r="65" spans="2:17" s="14" customFormat="1" ht="14"/>
    <row r="66" spans="2:17" s="14" customFormat="1" ht="14"/>
    <row r="67" spans="2:17" s="14" customFormat="1" ht="14"/>
    <row r="68" spans="2:17" s="14" customFormat="1" ht="14"/>
    <row r="69" spans="2:17" s="31" customFormat="1" ht="14">
      <c r="B69" s="78"/>
      <c r="C69" s="78"/>
      <c r="D69" s="79"/>
      <c r="E69" s="79"/>
      <c r="F69" s="79"/>
      <c r="G69" s="79"/>
      <c r="H69" s="80"/>
    </row>
    <row r="70" spans="2:17" s="61" customFormat="1" ht="14">
      <c r="B70" s="81"/>
      <c r="C70" s="82"/>
      <c r="D70" s="83"/>
      <c r="E70" s="83"/>
      <c r="F70" s="83"/>
      <c r="G70" s="83"/>
      <c r="H70" s="84"/>
    </row>
    <row r="71" spans="2:17" s="61" customFormat="1" ht="14">
      <c r="B71" s="81"/>
      <c r="C71" s="82"/>
      <c r="D71" s="83"/>
      <c r="E71" s="83"/>
      <c r="F71" s="83"/>
      <c r="G71" s="83"/>
      <c r="H71" s="84"/>
    </row>
    <row r="72" spans="2:17" s="61" customFormat="1" ht="14">
      <c r="B72" s="81"/>
      <c r="C72" s="82"/>
      <c r="D72" s="83"/>
      <c r="E72" s="83"/>
      <c r="F72" s="83"/>
      <c r="G72" s="83"/>
      <c r="H72" s="84"/>
    </row>
    <row r="73" spans="2:17" s="61" customFormat="1" ht="14">
      <c r="B73" s="81"/>
      <c r="C73" s="82"/>
      <c r="D73" s="83"/>
      <c r="E73" s="83"/>
      <c r="F73" s="83"/>
      <c r="G73" s="83"/>
      <c r="H73" s="84"/>
    </row>
    <row r="80" spans="2:17" ht="15">
      <c r="Q80" s="62"/>
    </row>
    <row r="81" spans="17:17" ht="15.5">
      <c r="Q81" s="63"/>
    </row>
    <row r="82" spans="17:17" ht="15.5">
      <c r="Q82" s="63"/>
    </row>
    <row r="83" spans="17:17" ht="15.5">
      <c r="Q83" s="63"/>
    </row>
    <row r="84" spans="17:17" ht="15.5">
      <c r="Q84" s="64"/>
    </row>
    <row r="86" spans="17:17" ht="15">
      <c r="Q86" s="62"/>
    </row>
  </sheetData>
  <mergeCells count="1">
    <mergeCell ref="S46:T47"/>
  </mergeCells>
  <pageMargins left="0.2" right="0.2" top="0.75" bottom="0.75" header="0.3" footer="0.3"/>
  <pageSetup paperSize="9" scale="6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6FC7-DB4F-46B6-8BC2-DB8B0C2B4FE1}">
  <sheetPr>
    <tabColor theme="4"/>
    <pageSetUpPr fitToPage="1"/>
  </sheetPr>
  <dimension ref="A16:Y85"/>
  <sheetViews>
    <sheetView showGridLines="0" topLeftCell="A13" zoomScale="80" zoomScaleNormal="80" workbookViewId="0">
      <selection activeCell="I35" sqref="I35"/>
    </sheetView>
  </sheetViews>
  <sheetFormatPr defaultColWidth="8.81640625" defaultRowHeight="14.5"/>
  <cols>
    <col min="1" max="1" width="3.453125" bestFit="1" customWidth="1"/>
    <col min="2" max="2" width="18.1796875" customWidth="1"/>
    <col min="3" max="3" width="7.453125" customWidth="1"/>
    <col min="4" max="4" width="16.81640625" bestFit="1" customWidth="1"/>
    <col min="5" max="5" width="8.81640625" customWidth="1"/>
    <col min="6" max="6" width="14.1796875" bestFit="1" customWidth="1"/>
    <col min="7" max="7" width="17.1796875" bestFit="1" customWidth="1"/>
    <col min="10" max="10" width="10.453125" bestFit="1" customWidth="1"/>
    <col min="16" max="16" width="11.81640625" customWidth="1"/>
    <col min="19" max="19" width="19.1796875" customWidth="1"/>
    <col min="20" max="20" width="11.1796875" customWidth="1"/>
    <col min="21" max="21" width="10" customWidth="1"/>
  </cols>
  <sheetData>
    <row r="16" ht="14.15" customHeight="1"/>
    <row r="33" spans="7:25">
      <c r="P33" s="76"/>
    </row>
    <row r="41" spans="7:25" ht="15.65" customHeight="1">
      <c r="R41" s="187"/>
      <c r="S41" s="187"/>
      <c r="T41" s="88"/>
      <c r="U41" s="88"/>
    </row>
    <row r="42" spans="7:25" ht="21" customHeight="1">
      <c r="R42" s="187"/>
      <c r="S42" s="187"/>
      <c r="T42" s="88"/>
      <c r="U42" s="88"/>
    </row>
    <row r="43" spans="7:25" ht="14.9" customHeight="1">
      <c r="T43" s="88"/>
      <c r="U43" s="88"/>
    </row>
    <row r="44" spans="7:25" ht="14.9" customHeight="1">
      <c r="T44" s="189"/>
      <c r="U44" s="189"/>
    </row>
    <row r="45" spans="7:25" ht="15.65" customHeight="1">
      <c r="T45" s="189"/>
      <c r="U45" s="189"/>
    </row>
    <row r="46" spans="7:25" ht="14.9" customHeight="1">
      <c r="T46" s="189"/>
      <c r="U46" s="189"/>
      <c r="X46" s="187"/>
      <c r="Y46" s="187"/>
    </row>
    <row r="47" spans="7:25" ht="32.15" customHeight="1">
      <c r="T47" s="189"/>
      <c r="U47" s="189"/>
      <c r="X47" s="187"/>
      <c r="Y47" s="187"/>
    </row>
    <row r="48" spans="7:25" ht="21">
      <c r="G48" s="98"/>
      <c r="T48" s="104"/>
      <c r="U48" s="104"/>
      <c r="X48" s="187"/>
      <c r="Y48" s="187"/>
    </row>
    <row r="49" spans="7:25">
      <c r="G49" s="98"/>
      <c r="X49" s="187"/>
      <c r="Y49" s="187"/>
    </row>
    <row r="50" spans="7:25" ht="59.15" customHeight="1">
      <c r="T50" s="188"/>
      <c r="U50" s="188"/>
    </row>
    <row r="51" spans="7:25" ht="45.65" customHeight="1">
      <c r="R51" s="76"/>
      <c r="T51" s="185"/>
      <c r="U51" s="185"/>
    </row>
    <row r="52" spans="7:25" ht="27.65" customHeight="1">
      <c r="R52" s="76"/>
      <c r="T52" s="185"/>
      <c r="U52" s="185"/>
    </row>
    <row r="53" spans="7:25" ht="27.65" customHeight="1">
      <c r="R53" s="76"/>
      <c r="T53" s="186"/>
      <c r="U53" s="186"/>
    </row>
    <row r="54" spans="7:25" ht="27.65" customHeight="1">
      <c r="R54" s="76"/>
      <c r="T54" s="186"/>
      <c r="U54" s="186"/>
    </row>
    <row r="55" spans="7:25">
      <c r="R55" s="76"/>
    </row>
    <row r="64" spans="7:25" s="14" customFormat="1" ht="14">
      <c r="U64" s="103"/>
    </row>
    <row r="65" spans="1:16" s="14" customFormat="1" ht="14"/>
    <row r="66" spans="1:16" s="14" customFormat="1" ht="14"/>
    <row r="67" spans="1:16" s="14" customFormat="1" ht="14"/>
    <row r="68" spans="1:16" s="31" customFormat="1" ht="14">
      <c r="A68" s="78"/>
      <c r="B68" s="78"/>
      <c r="C68" s="79"/>
      <c r="D68" s="79"/>
      <c r="E68" s="79"/>
      <c r="F68" s="79"/>
      <c r="G68" s="80"/>
    </row>
    <row r="69" spans="1:16" s="61" customFormat="1" ht="14">
      <c r="A69" s="81"/>
      <c r="B69" s="82"/>
      <c r="C69" s="83"/>
      <c r="D69" s="83"/>
      <c r="E69" s="83"/>
      <c r="F69" s="83"/>
      <c r="G69" s="84"/>
    </row>
    <row r="70" spans="1:16" s="61" customFormat="1" ht="14">
      <c r="A70" s="81"/>
      <c r="B70" s="82"/>
      <c r="C70" s="83"/>
      <c r="D70" s="83"/>
      <c r="E70" s="83"/>
      <c r="F70" s="83"/>
      <c r="G70" s="84"/>
    </row>
    <row r="71" spans="1:16" s="61" customFormat="1" ht="14">
      <c r="A71" s="81"/>
      <c r="B71" s="82"/>
      <c r="C71" s="83"/>
      <c r="D71" s="83"/>
      <c r="E71" s="83"/>
      <c r="F71" s="83"/>
      <c r="G71" s="84"/>
    </row>
    <row r="72" spans="1:16" s="61" customFormat="1">
      <c r="A72" s="81"/>
      <c r="B72" s="82"/>
      <c r="C72" s="83"/>
      <c r="D72" s="83"/>
      <c r="E72"/>
      <c r="F72" s="83"/>
      <c r="G72" s="84"/>
    </row>
    <row r="79" spans="1:16" ht="15">
      <c r="P79" s="62"/>
    </row>
    <row r="80" spans="1:16" ht="15.5">
      <c r="P80" s="63"/>
    </row>
    <row r="81" spans="16:16" ht="15.5">
      <c r="P81" s="63"/>
    </row>
    <row r="82" spans="16:16" ht="15.5">
      <c r="P82" s="63"/>
    </row>
    <row r="83" spans="16:16" ht="15.5">
      <c r="P83" s="64"/>
    </row>
    <row r="85" spans="16:16" ht="15">
      <c r="P85" s="62"/>
    </row>
  </sheetData>
  <mergeCells count="7">
    <mergeCell ref="T51:U52"/>
    <mergeCell ref="T53:U54"/>
    <mergeCell ref="R41:S42"/>
    <mergeCell ref="X46:Y47"/>
    <mergeCell ref="X48:Y49"/>
    <mergeCell ref="T50:U50"/>
    <mergeCell ref="T44:U47"/>
  </mergeCells>
  <pageMargins left="0.2" right="0.2" top="0.75" bottom="0.75" header="0.3" footer="0.3"/>
  <pageSetup paperSize="9" scale="6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8956-D652-4E41-986B-5B09D75DA276}">
  <dimension ref="A1:HJ35"/>
  <sheetViews>
    <sheetView showGridLines="0" topLeftCell="D3" zoomScale="90" zoomScaleNormal="90" workbookViewId="0">
      <pane xSplit="5" ySplit="4" topLeftCell="AW7" activePane="bottomRight" state="frozen"/>
      <selection activeCell="JO31" sqref="JO31"/>
      <selection pane="topRight" activeCell="JO31" sqref="JO31"/>
      <selection pane="bottomLeft" activeCell="JO31" sqref="JO31"/>
      <selection pane="bottomRight" activeCell="AX24" sqref="AX24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0.453125" style="1" hidden="1" customWidth="1"/>
    <col min="7" max="7" width="10.54296875" style="1" hidden="1" customWidth="1"/>
    <col min="8" max="8" width="30.81640625" style="1" customWidth="1"/>
    <col min="9" max="12" width="9" style="1" hidden="1" customWidth="1"/>
    <col min="13" max="24" width="7.1796875" style="1" hidden="1" customWidth="1"/>
    <col min="25" max="32" width="7.81640625" style="1" hidden="1" customWidth="1"/>
    <col min="33" max="48" width="7.81640625" style="1" customWidth="1"/>
    <col min="49" max="50" width="9.1796875" style="1"/>
    <col min="51" max="51" width="0" style="1" hidden="1" customWidth="1"/>
    <col min="52" max="52" width="23.54296875" style="1" customWidth="1"/>
    <col min="53" max="53" width="3.54296875" style="1" hidden="1" customWidth="1"/>
    <col min="54" max="54" width="8.1796875" style="1" hidden="1" customWidth="1"/>
    <col min="55" max="55" width="9.1796875" style="1" hidden="1" customWidth="1"/>
    <col min="56" max="77" width="10.1796875" style="1" hidden="1" customWidth="1"/>
    <col min="78" max="112" width="0" style="1" hidden="1" customWidth="1"/>
    <col min="113" max="205" width="7.81640625" style="1" hidden="1" customWidth="1"/>
    <col min="206" max="207" width="7.81640625" style="1" customWidth="1"/>
    <col min="208" max="218" width="7.54296875" style="1" customWidth="1"/>
    <col min="219" max="16384" width="9.1796875" style="1"/>
  </cols>
  <sheetData>
    <row r="1" spans="1:218" hidden="1"/>
    <row r="2" spans="1:218" hidden="1"/>
    <row r="3" spans="1:218" ht="19.399999999999999" customHeight="1">
      <c r="F3" s="15" t="s">
        <v>102</v>
      </c>
      <c r="H3" s="15" t="s">
        <v>102</v>
      </c>
      <c r="BB3" s="170">
        <v>2023</v>
      </c>
      <c r="BF3" s="116" t="s">
        <v>76</v>
      </c>
      <c r="BG3" s="116" t="s">
        <v>79</v>
      </c>
      <c r="BH3" s="116" t="s">
        <v>80</v>
      </c>
      <c r="BI3" s="116" t="s">
        <v>86</v>
      </c>
      <c r="BJ3" s="116">
        <v>7.03</v>
      </c>
      <c r="BK3" s="116">
        <v>14.03</v>
      </c>
      <c r="BL3" s="116">
        <v>21.03</v>
      </c>
      <c r="BM3" s="116">
        <v>28.03</v>
      </c>
      <c r="BN3" s="116">
        <v>30.03</v>
      </c>
      <c r="BO3" s="116">
        <v>6.04</v>
      </c>
      <c r="BP3" s="116">
        <v>13.04</v>
      </c>
      <c r="BQ3" s="116">
        <v>20.04</v>
      </c>
      <c r="BR3" s="1">
        <v>27.04</v>
      </c>
      <c r="BS3" s="1">
        <v>4.05</v>
      </c>
      <c r="BU3" s="1">
        <v>23.05</v>
      </c>
      <c r="BV3" s="1">
        <v>30.05</v>
      </c>
      <c r="BW3" s="1">
        <v>6.06</v>
      </c>
      <c r="BX3" s="1">
        <v>12.06</v>
      </c>
      <c r="BY3" s="1">
        <v>20.059999999999999</v>
      </c>
      <c r="DA3" s="170">
        <v>2024</v>
      </c>
      <c r="EY3" s="170">
        <v>2025</v>
      </c>
    </row>
    <row r="4" spans="1:218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>
        <v>24000</v>
      </c>
      <c r="K4" s="74">
        <v>24000</v>
      </c>
      <c r="L4" s="74">
        <v>24000</v>
      </c>
      <c r="M4" s="74">
        <v>24000</v>
      </c>
      <c r="N4" s="74">
        <v>24000</v>
      </c>
      <c r="O4" s="74">
        <v>24000</v>
      </c>
      <c r="P4" s="74">
        <v>24000</v>
      </c>
      <c r="Q4" s="74">
        <v>24000</v>
      </c>
      <c r="R4" s="74">
        <v>24000</v>
      </c>
      <c r="S4" s="74">
        <v>24000</v>
      </c>
      <c r="T4" s="74">
        <v>24000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>
        <v>24000</v>
      </c>
      <c r="BR4" s="74">
        <v>24000</v>
      </c>
      <c r="BS4" s="74">
        <v>24000</v>
      </c>
      <c r="BT4" s="74">
        <v>24000</v>
      </c>
      <c r="BU4" s="74">
        <v>24000</v>
      </c>
      <c r="BV4" s="74">
        <v>24000</v>
      </c>
      <c r="BW4" s="74">
        <v>24000</v>
      </c>
      <c r="BX4" s="74">
        <v>24000</v>
      </c>
      <c r="BY4" s="74">
        <v>24000</v>
      </c>
      <c r="BZ4" s="74">
        <v>24000</v>
      </c>
      <c r="CA4" s="74">
        <v>24000</v>
      </c>
      <c r="CB4" s="74">
        <v>24000</v>
      </c>
      <c r="CC4" s="74">
        <v>24000</v>
      </c>
      <c r="CD4" s="74">
        <v>24000</v>
      </c>
      <c r="CE4" s="74">
        <v>24000</v>
      </c>
      <c r="CF4" s="74">
        <v>24000</v>
      </c>
      <c r="CG4" s="74">
        <v>24000</v>
      </c>
      <c r="CH4" s="74">
        <v>24000</v>
      </c>
      <c r="CI4" s="74">
        <v>24000</v>
      </c>
      <c r="CJ4" s="74">
        <v>24000</v>
      </c>
      <c r="CK4" s="74">
        <v>24000</v>
      </c>
      <c r="CL4" s="74">
        <v>24000</v>
      </c>
      <c r="CM4" s="74">
        <v>24000</v>
      </c>
      <c r="CN4" s="74">
        <v>24000</v>
      </c>
      <c r="CO4" s="74">
        <v>24000</v>
      </c>
      <c r="CP4" s="74">
        <v>24000</v>
      </c>
      <c r="CQ4" s="74">
        <v>24000</v>
      </c>
      <c r="CR4" s="74">
        <v>24000</v>
      </c>
      <c r="CS4" s="74">
        <v>24000</v>
      </c>
      <c r="CT4" s="74">
        <v>24000</v>
      </c>
      <c r="CU4" s="74">
        <v>24000</v>
      </c>
      <c r="CV4" s="74">
        <v>24000</v>
      </c>
      <c r="CW4" s="74">
        <v>24000</v>
      </c>
      <c r="CX4" s="74">
        <v>24000</v>
      </c>
      <c r="CY4" s="74">
        <v>24000</v>
      </c>
      <c r="CZ4" s="74">
        <v>24000</v>
      </c>
      <c r="DA4" s="74">
        <v>24000</v>
      </c>
      <c r="DB4" s="74">
        <v>24000</v>
      </c>
      <c r="DC4" s="74">
        <v>24000</v>
      </c>
      <c r="DD4" s="74">
        <v>24000</v>
      </c>
      <c r="DE4" s="74"/>
      <c r="DF4" s="74"/>
      <c r="DG4" s="74"/>
      <c r="DH4" s="74"/>
      <c r="DI4" s="74"/>
      <c r="DJ4" s="74"/>
      <c r="DK4" s="74"/>
      <c r="GX4" s="178">
        <v>2026</v>
      </c>
    </row>
    <row r="5" spans="1:218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75</v>
      </c>
      <c r="J5" s="86">
        <v>2</v>
      </c>
      <c r="K5" s="86">
        <v>3</v>
      </c>
      <c r="L5" s="86">
        <v>4</v>
      </c>
      <c r="M5" s="86">
        <v>5</v>
      </c>
      <c r="N5" s="86">
        <v>6</v>
      </c>
      <c r="O5" s="86">
        <v>7</v>
      </c>
      <c r="P5" s="86">
        <v>8</v>
      </c>
      <c r="Q5" s="86">
        <v>9</v>
      </c>
      <c r="R5" s="86">
        <v>10</v>
      </c>
      <c r="S5" s="33">
        <v>11</v>
      </c>
      <c r="T5" s="33">
        <v>12</v>
      </c>
      <c r="U5" s="33" t="s">
        <v>122</v>
      </c>
      <c r="V5" s="33">
        <v>2</v>
      </c>
      <c r="W5" s="33">
        <v>3</v>
      </c>
      <c r="X5" s="33">
        <v>4</v>
      </c>
      <c r="Y5" s="33">
        <v>5</v>
      </c>
      <c r="Z5" s="33">
        <v>6</v>
      </c>
      <c r="AA5" s="33">
        <v>7</v>
      </c>
      <c r="AB5" s="33">
        <v>8</v>
      </c>
      <c r="AC5" s="33">
        <v>9</v>
      </c>
      <c r="AD5" s="33">
        <v>10</v>
      </c>
      <c r="AE5" s="33">
        <v>11</v>
      </c>
      <c r="AF5" s="33">
        <v>12</v>
      </c>
      <c r="AG5" s="33" t="s">
        <v>174</v>
      </c>
      <c r="AH5" s="33">
        <v>2</v>
      </c>
      <c r="AI5" s="33">
        <v>3</v>
      </c>
      <c r="AJ5" s="33">
        <v>4</v>
      </c>
      <c r="AK5" s="33">
        <v>5</v>
      </c>
      <c r="AL5" s="33">
        <v>6</v>
      </c>
      <c r="AM5" s="33">
        <v>7</v>
      </c>
      <c r="AN5" s="33">
        <v>8</v>
      </c>
      <c r="AO5" s="33">
        <v>9</v>
      </c>
      <c r="AP5" s="33">
        <v>10</v>
      </c>
      <c r="AQ5" s="33">
        <v>11</v>
      </c>
      <c r="AR5" s="33">
        <v>12</v>
      </c>
      <c r="AS5" s="33" t="s">
        <v>198</v>
      </c>
      <c r="AT5" s="33">
        <v>2</v>
      </c>
      <c r="AU5" s="33">
        <v>3</v>
      </c>
      <c r="AV5" s="33">
        <v>4</v>
      </c>
      <c r="AX5" s="34" t="s">
        <v>5</v>
      </c>
      <c r="AY5" s="33" t="s">
        <v>6</v>
      </c>
      <c r="AZ5" s="33" t="s">
        <v>2</v>
      </c>
      <c r="BA5" s="101">
        <v>52</v>
      </c>
      <c r="BB5" s="90" t="s">
        <v>97</v>
      </c>
      <c r="BC5" s="90">
        <v>2</v>
      </c>
      <c r="BD5" s="90">
        <v>3</v>
      </c>
      <c r="BE5" s="90">
        <v>5</v>
      </c>
      <c r="BF5" s="90">
        <v>6</v>
      </c>
      <c r="BG5" s="90">
        <v>7</v>
      </c>
      <c r="BH5" s="90">
        <v>8</v>
      </c>
      <c r="BI5" s="90">
        <v>9</v>
      </c>
      <c r="BJ5" s="90">
        <v>10</v>
      </c>
      <c r="BK5" s="90">
        <v>11</v>
      </c>
      <c r="BL5" s="90">
        <v>12</v>
      </c>
      <c r="BM5" s="90">
        <v>13</v>
      </c>
      <c r="BN5" s="90">
        <v>14</v>
      </c>
      <c r="BO5" s="90">
        <v>15</v>
      </c>
      <c r="BP5" s="90">
        <v>16</v>
      </c>
      <c r="BQ5" s="90">
        <v>17</v>
      </c>
      <c r="BR5" s="101">
        <v>18</v>
      </c>
      <c r="BS5" s="101">
        <v>19</v>
      </c>
      <c r="BT5" s="101">
        <v>20</v>
      </c>
      <c r="BU5" s="101">
        <v>21</v>
      </c>
      <c r="BV5" s="101">
        <v>22</v>
      </c>
      <c r="BW5" s="101">
        <v>23</v>
      </c>
      <c r="BX5" s="101">
        <v>24</v>
      </c>
      <c r="BY5" s="101">
        <v>25</v>
      </c>
      <c r="BZ5" s="101">
        <v>26</v>
      </c>
      <c r="CA5" s="101">
        <v>27</v>
      </c>
      <c r="CB5" s="101">
        <v>28</v>
      </c>
      <c r="CC5" s="101">
        <v>29</v>
      </c>
      <c r="CD5" s="101">
        <v>30</v>
      </c>
      <c r="CE5" s="101">
        <v>31</v>
      </c>
      <c r="CF5" s="101">
        <v>32</v>
      </c>
      <c r="CG5" s="101">
        <v>33</v>
      </c>
      <c r="CH5" s="101">
        <v>34</v>
      </c>
      <c r="CI5" s="101">
        <v>35</v>
      </c>
      <c r="CJ5" s="101">
        <v>36</v>
      </c>
      <c r="CK5" s="101">
        <v>37</v>
      </c>
      <c r="CL5" s="101">
        <v>38</v>
      </c>
      <c r="CM5" s="101">
        <v>39</v>
      </c>
      <c r="CN5" s="101">
        <v>40</v>
      </c>
      <c r="CO5" s="101">
        <v>41</v>
      </c>
      <c r="CP5" s="101">
        <v>42</v>
      </c>
      <c r="CQ5" s="101">
        <v>43</v>
      </c>
      <c r="CR5" s="101">
        <v>44</v>
      </c>
      <c r="CS5" s="101">
        <v>45</v>
      </c>
      <c r="CT5" s="101">
        <v>46</v>
      </c>
      <c r="CU5" s="101">
        <v>47</v>
      </c>
      <c r="CV5" s="101">
        <v>48</v>
      </c>
      <c r="CW5" s="101">
        <v>49</v>
      </c>
      <c r="CX5" s="101">
        <v>50</v>
      </c>
      <c r="CY5" s="101">
        <v>51</v>
      </c>
      <c r="CZ5" s="101">
        <v>52</v>
      </c>
      <c r="DA5" s="101" t="s">
        <v>117</v>
      </c>
      <c r="DB5" s="90" t="s">
        <v>123</v>
      </c>
      <c r="DC5" s="90" t="s">
        <v>124</v>
      </c>
      <c r="DD5" s="90" t="s">
        <v>125</v>
      </c>
      <c r="DE5" s="90" t="s">
        <v>126</v>
      </c>
      <c r="DF5" s="90" t="s">
        <v>142</v>
      </c>
      <c r="DG5" s="90" t="s">
        <v>143</v>
      </c>
      <c r="DH5" s="90" t="s">
        <v>144</v>
      </c>
      <c r="DI5" s="90" t="s">
        <v>145</v>
      </c>
      <c r="DJ5" s="90" t="s">
        <v>146</v>
      </c>
      <c r="DK5" s="90" t="s">
        <v>147</v>
      </c>
      <c r="DL5" s="90" t="s">
        <v>148</v>
      </c>
      <c r="DM5" s="90" t="s">
        <v>149</v>
      </c>
      <c r="DN5" s="90" t="s">
        <v>150</v>
      </c>
      <c r="DO5" s="90" t="s">
        <v>151</v>
      </c>
      <c r="DP5" s="90" t="s">
        <v>152</v>
      </c>
      <c r="DQ5" s="90" t="s">
        <v>153</v>
      </c>
      <c r="DR5" s="90" t="s">
        <v>154</v>
      </c>
      <c r="DS5" s="90" t="s">
        <v>155</v>
      </c>
      <c r="DT5" s="90" t="s">
        <v>162</v>
      </c>
      <c r="DU5" s="90" t="s">
        <v>163</v>
      </c>
      <c r="DV5" s="90" t="s">
        <v>164</v>
      </c>
      <c r="DW5" s="90" t="s">
        <v>165</v>
      </c>
      <c r="DX5" s="90" t="s">
        <v>166</v>
      </c>
      <c r="DY5" s="90" t="s">
        <v>167</v>
      </c>
      <c r="DZ5" s="90" t="s">
        <v>168</v>
      </c>
      <c r="EA5" s="90" t="s">
        <v>169</v>
      </c>
      <c r="EB5" s="90" t="s">
        <v>170</v>
      </c>
      <c r="EC5" s="90" t="s">
        <v>171</v>
      </c>
      <c r="ED5" s="90" t="s">
        <v>172</v>
      </c>
      <c r="EE5" s="90" t="s">
        <v>173</v>
      </c>
      <c r="EF5" s="90">
        <v>34</v>
      </c>
      <c r="EG5" s="90">
        <v>35</v>
      </c>
      <c r="EH5" s="90">
        <v>36</v>
      </c>
      <c r="EI5" s="90">
        <v>37</v>
      </c>
      <c r="EJ5" s="90">
        <v>38</v>
      </c>
      <c r="EK5" s="90">
        <v>39</v>
      </c>
      <c r="EL5" s="90">
        <v>40</v>
      </c>
      <c r="EM5" s="90">
        <v>41</v>
      </c>
      <c r="EN5" s="90">
        <v>42</v>
      </c>
      <c r="EO5" s="90">
        <v>43</v>
      </c>
      <c r="EP5" s="90">
        <v>44</v>
      </c>
      <c r="EQ5" s="90">
        <v>45</v>
      </c>
      <c r="ER5" s="90">
        <v>46</v>
      </c>
      <c r="ES5" s="90">
        <v>47</v>
      </c>
      <c r="ET5" s="90">
        <v>48</v>
      </c>
      <c r="EU5" s="90">
        <v>49</v>
      </c>
      <c r="EV5" s="90">
        <v>50</v>
      </c>
      <c r="EW5" s="90">
        <v>51</v>
      </c>
      <c r="EX5" s="90">
        <v>52</v>
      </c>
      <c r="EY5" s="90" t="s">
        <v>121</v>
      </c>
      <c r="EZ5" s="90" t="s">
        <v>123</v>
      </c>
      <c r="FA5" s="90" t="s">
        <v>124</v>
      </c>
      <c r="FB5" s="90" t="s">
        <v>125</v>
      </c>
      <c r="FC5" s="90" t="s">
        <v>175</v>
      </c>
      <c r="FD5" s="90" t="s">
        <v>177</v>
      </c>
      <c r="FE5" s="90" t="s">
        <v>142</v>
      </c>
      <c r="FF5" s="90" t="s">
        <v>143</v>
      </c>
      <c r="FG5" s="90" t="s">
        <v>144</v>
      </c>
      <c r="FH5" s="90" t="s">
        <v>145</v>
      </c>
      <c r="FI5" s="90" t="s">
        <v>146</v>
      </c>
      <c r="FJ5" s="90" t="s">
        <v>147</v>
      </c>
      <c r="FK5" s="90" t="s">
        <v>148</v>
      </c>
      <c r="FL5" s="90" t="s">
        <v>149</v>
      </c>
      <c r="FM5" s="90" t="s">
        <v>150</v>
      </c>
      <c r="FN5" s="90" t="s">
        <v>151</v>
      </c>
      <c r="FO5" s="90" t="s">
        <v>152</v>
      </c>
      <c r="FP5" s="90" t="s">
        <v>153</v>
      </c>
      <c r="FQ5" s="90" t="s">
        <v>154</v>
      </c>
      <c r="FR5" s="90" t="s">
        <v>155</v>
      </c>
      <c r="FS5" s="90" t="s">
        <v>162</v>
      </c>
      <c r="FT5" s="90" t="s">
        <v>163</v>
      </c>
      <c r="FU5" s="90" t="s">
        <v>164</v>
      </c>
      <c r="FV5" s="90" t="s">
        <v>165</v>
      </c>
      <c r="FW5" s="90" t="s">
        <v>166</v>
      </c>
      <c r="FX5" s="90" t="s">
        <v>167</v>
      </c>
      <c r="FY5" s="90" t="s">
        <v>168</v>
      </c>
      <c r="FZ5" s="90" t="s">
        <v>169</v>
      </c>
      <c r="GA5" s="90" t="s">
        <v>170</v>
      </c>
      <c r="GB5" s="90" t="s">
        <v>171</v>
      </c>
      <c r="GC5" s="90" t="s">
        <v>172</v>
      </c>
      <c r="GD5" s="90" t="s">
        <v>173</v>
      </c>
      <c r="GE5" s="90" t="s">
        <v>179</v>
      </c>
      <c r="GF5" s="90" t="s">
        <v>180</v>
      </c>
      <c r="GG5" s="90" t="s">
        <v>181</v>
      </c>
      <c r="GH5" s="90" t="s">
        <v>182</v>
      </c>
      <c r="GI5" s="90" t="s">
        <v>183</v>
      </c>
      <c r="GJ5" s="90" t="s">
        <v>184</v>
      </c>
      <c r="GK5" s="90">
        <v>40</v>
      </c>
      <c r="GL5" s="90">
        <v>41</v>
      </c>
      <c r="GM5" s="90">
        <v>42</v>
      </c>
      <c r="GN5" s="90">
        <v>43</v>
      </c>
      <c r="GO5" s="90">
        <v>44</v>
      </c>
      <c r="GP5" s="90">
        <v>45</v>
      </c>
      <c r="GQ5" s="90">
        <v>46</v>
      </c>
      <c r="GR5" s="90">
        <v>47</v>
      </c>
      <c r="GS5" s="90">
        <v>48</v>
      </c>
      <c r="GT5" s="90">
        <v>49</v>
      </c>
      <c r="GU5" s="90">
        <v>50</v>
      </c>
      <c r="GV5" s="90">
        <v>51</v>
      </c>
      <c r="GW5" s="90">
        <v>52</v>
      </c>
      <c r="GX5" s="90" t="s">
        <v>121</v>
      </c>
      <c r="GY5" s="90" t="s">
        <v>123</v>
      </c>
      <c r="GZ5" s="90" t="s">
        <v>124</v>
      </c>
      <c r="HA5" s="90" t="s">
        <v>125</v>
      </c>
      <c r="HB5" s="90" t="s">
        <v>126</v>
      </c>
      <c r="HC5" s="90" t="s">
        <v>175</v>
      </c>
      <c r="HD5" s="90" t="s">
        <v>177</v>
      </c>
      <c r="HE5" s="90" t="s">
        <v>142</v>
      </c>
      <c r="HF5" s="90" t="s">
        <v>143</v>
      </c>
      <c r="HG5" s="90">
        <v>10</v>
      </c>
      <c r="HH5" s="90">
        <v>11</v>
      </c>
      <c r="HI5" s="90">
        <v>12</v>
      </c>
      <c r="HJ5" s="90">
        <v>13</v>
      </c>
    </row>
    <row r="6" spans="1:218" ht="18" hidden="1" customHeight="1">
      <c r="A6" s="4"/>
      <c r="B6" s="8"/>
      <c r="C6" s="8"/>
      <c r="D6" s="105" t="s">
        <v>21</v>
      </c>
      <c r="E6" s="5" t="s">
        <v>22</v>
      </c>
      <c r="F6" s="7" t="s">
        <v>92</v>
      </c>
      <c r="G6" s="4" t="s">
        <v>24</v>
      </c>
      <c r="H6" s="7" t="str">
        <f>F6</f>
        <v>Vảy PP tuyển mua ngoài - ICIS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X6" s="4"/>
      <c r="AY6" s="5" t="s">
        <v>22</v>
      </c>
      <c r="AZ6" s="7" t="str">
        <f>F6</f>
        <v>Vảy PP tuyển mua ngoài - ICIS</v>
      </c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140"/>
      <c r="CB6" s="140"/>
      <c r="CC6" s="140"/>
      <c r="CD6" s="140"/>
      <c r="CE6" s="140"/>
      <c r="CF6" s="140"/>
      <c r="CG6" s="140"/>
      <c r="CH6" s="140"/>
      <c r="CI6" s="134"/>
      <c r="CJ6" s="134"/>
      <c r="CK6" s="134"/>
      <c r="CL6" s="134"/>
      <c r="CM6" s="134"/>
      <c r="CN6" s="134"/>
      <c r="CO6" s="134"/>
      <c r="CP6" s="134"/>
      <c r="CQ6" s="134"/>
      <c r="CR6" s="134"/>
      <c r="CS6" s="134"/>
      <c r="CT6" s="134"/>
      <c r="CU6" s="134"/>
      <c r="CV6" s="134"/>
      <c r="CW6" s="134"/>
      <c r="CX6" s="134"/>
      <c r="CY6" s="134"/>
      <c r="CZ6" s="134"/>
      <c r="DA6" s="134"/>
      <c r="DB6" s="134"/>
      <c r="DC6" s="134"/>
      <c r="DD6" s="134"/>
      <c r="DE6" s="134"/>
      <c r="DF6" s="134"/>
      <c r="DG6" s="134"/>
      <c r="DH6" s="134"/>
      <c r="DI6" s="134"/>
      <c r="DJ6" s="134"/>
      <c r="DK6" s="134"/>
    </row>
    <row r="7" spans="1:218" ht="14">
      <c r="A7" s="4">
        <v>5</v>
      </c>
      <c r="B7" s="8" t="s">
        <v>25</v>
      </c>
      <c r="C7" s="8" t="s">
        <v>26</v>
      </c>
      <c r="D7" s="4"/>
      <c r="E7" s="8" t="s">
        <v>28</v>
      </c>
      <c r="F7" s="8" t="s">
        <v>138</v>
      </c>
      <c r="G7" s="4" t="s">
        <v>24</v>
      </c>
      <c r="H7" s="8" t="s">
        <v>178</v>
      </c>
      <c r="I7" s="24">
        <f>+SUM(BB7:BE7)/COUNT(BB7:BE7)</f>
        <v>1250</v>
      </c>
      <c r="J7" s="10">
        <f>+SUM(BF7:BI7)/COUNT(BF7:BI7)</f>
        <v>1250</v>
      </c>
      <c r="K7" s="95">
        <v>1250</v>
      </c>
      <c r="L7" s="95">
        <v>1250</v>
      </c>
      <c r="M7" s="95">
        <v>1250</v>
      </c>
      <c r="N7" s="95">
        <v>1250</v>
      </c>
      <c r="O7" s="95">
        <f t="shared" ref="O7:Q11" si="0">CA7</f>
        <v>1250</v>
      </c>
      <c r="P7" s="95">
        <f t="shared" si="0"/>
        <v>1250</v>
      </c>
      <c r="Q7" s="95">
        <f t="shared" si="0"/>
        <v>1250</v>
      </c>
      <c r="R7" s="95">
        <v>1250</v>
      </c>
      <c r="S7" s="160">
        <v>1250</v>
      </c>
      <c r="T7" s="160">
        <v>1250</v>
      </c>
      <c r="U7" s="160">
        <v>1250</v>
      </c>
      <c r="V7" s="160">
        <v>1250</v>
      </c>
      <c r="W7" s="160">
        <v>1250</v>
      </c>
      <c r="X7" s="160">
        <v>1250</v>
      </c>
      <c r="Y7" s="160">
        <v>1250</v>
      </c>
      <c r="Z7" s="160">
        <v>1250</v>
      </c>
      <c r="AA7" s="160">
        <v>1250</v>
      </c>
      <c r="AB7" s="160">
        <v>1250</v>
      </c>
      <c r="AC7" s="160">
        <v>1250</v>
      </c>
      <c r="AD7" s="160">
        <f t="shared" ref="AD7:AD11" si="1">+SUM(EM7:EO7)/COUNT(EM7:EO7)</f>
        <v>1250</v>
      </c>
      <c r="AE7" s="160">
        <f>+SUM(EP7:ET7)/COUNT(EP7:ET7)</f>
        <v>1250</v>
      </c>
      <c r="AF7" s="160">
        <f t="shared" ref="AF7:AF11" si="2">+SUM(EU7:EX7)/COUNT(EU7:EX7)</f>
        <v>1250</v>
      </c>
      <c r="AG7" s="160">
        <f>+SUM(EY7:FB7)/COUNT(EY7:FB7)</f>
        <v>1250</v>
      </c>
      <c r="AH7" s="160">
        <v>1250</v>
      </c>
      <c r="AI7" s="160">
        <v>1045</v>
      </c>
      <c r="AJ7" s="160">
        <v>1045</v>
      </c>
      <c r="AK7" s="160">
        <v>990.00000000000011</v>
      </c>
      <c r="AL7" s="160">
        <v>990.00000000000011</v>
      </c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X7" s="4"/>
      <c r="AY7" s="8" t="s">
        <v>28</v>
      </c>
      <c r="AZ7" s="8" t="s">
        <v>178</v>
      </c>
      <c r="BA7" s="24">
        <v>1250</v>
      </c>
      <c r="BB7" s="137">
        <v>1250</v>
      </c>
      <c r="BC7" s="137">
        <v>1250</v>
      </c>
      <c r="BD7" s="137">
        <v>1250</v>
      </c>
      <c r="BE7" s="137">
        <v>1250</v>
      </c>
      <c r="BF7" s="137">
        <v>1250</v>
      </c>
      <c r="BG7" s="137">
        <v>1250</v>
      </c>
      <c r="BH7" s="137">
        <v>1250</v>
      </c>
      <c r="BI7" s="137">
        <v>1250</v>
      </c>
      <c r="BJ7" s="137">
        <v>1250</v>
      </c>
      <c r="BK7" s="137">
        <v>1250</v>
      </c>
      <c r="BL7" s="137">
        <v>1250</v>
      </c>
      <c r="BM7" s="137">
        <v>1250</v>
      </c>
      <c r="BN7" s="137">
        <v>1250</v>
      </c>
      <c r="BO7" s="137">
        <v>1250</v>
      </c>
      <c r="BP7" s="24">
        <v>1250</v>
      </c>
      <c r="BQ7" s="24">
        <v>1250</v>
      </c>
      <c r="BR7" s="24">
        <v>1250</v>
      </c>
      <c r="BS7" s="24">
        <v>1250</v>
      </c>
      <c r="BT7" s="24">
        <v>1250</v>
      </c>
      <c r="BU7" s="24">
        <v>1250</v>
      </c>
      <c r="BV7" s="24">
        <v>1250</v>
      </c>
      <c r="BW7" s="24">
        <v>1250</v>
      </c>
      <c r="BX7" s="24">
        <v>1250</v>
      </c>
      <c r="BY7" s="24">
        <v>1250</v>
      </c>
      <c r="BZ7" s="24">
        <v>1250</v>
      </c>
      <c r="CA7" s="24">
        <v>1250</v>
      </c>
      <c r="CB7" s="24">
        <v>1250</v>
      </c>
      <c r="CC7" s="24">
        <v>1250</v>
      </c>
      <c r="CD7" s="24">
        <v>1250</v>
      </c>
      <c r="CE7" s="24">
        <v>1250</v>
      </c>
      <c r="CF7" s="24">
        <v>1250</v>
      </c>
      <c r="CG7" s="24">
        <v>1250</v>
      </c>
      <c r="CH7" s="24">
        <v>1250</v>
      </c>
      <c r="CI7" s="49">
        <v>1250</v>
      </c>
      <c r="CJ7" s="49">
        <v>1250</v>
      </c>
      <c r="CK7" s="49">
        <v>1250</v>
      </c>
      <c r="CL7" s="49">
        <v>1250</v>
      </c>
      <c r="CM7" s="49">
        <v>1250</v>
      </c>
      <c r="CN7" s="49">
        <v>1250</v>
      </c>
      <c r="CO7" s="49">
        <v>1250</v>
      </c>
      <c r="CP7" s="49">
        <v>1250</v>
      </c>
      <c r="CQ7" s="49">
        <v>1250</v>
      </c>
      <c r="CR7" s="49">
        <v>1250</v>
      </c>
      <c r="CS7" s="49">
        <v>1250</v>
      </c>
      <c r="CT7" s="49">
        <v>1250</v>
      </c>
      <c r="CU7" s="49">
        <v>1250</v>
      </c>
      <c r="CV7" s="49">
        <v>1250</v>
      </c>
      <c r="CW7" s="49">
        <v>1250</v>
      </c>
      <c r="CX7" s="49">
        <v>1250</v>
      </c>
      <c r="CY7" s="49">
        <v>1250</v>
      </c>
      <c r="CZ7" s="49">
        <v>1250</v>
      </c>
      <c r="DA7" s="49">
        <v>1250</v>
      </c>
      <c r="DB7" s="49">
        <v>1250</v>
      </c>
      <c r="DC7" s="49">
        <v>1250</v>
      </c>
      <c r="DD7" s="49">
        <v>1250</v>
      </c>
      <c r="DE7" s="49">
        <v>1250</v>
      </c>
      <c r="DF7" s="49">
        <v>1250</v>
      </c>
      <c r="DG7" s="49">
        <v>1250</v>
      </c>
      <c r="DH7" s="49">
        <v>1250</v>
      </c>
      <c r="DI7" s="49">
        <v>1250</v>
      </c>
      <c r="DJ7" s="49">
        <v>1250</v>
      </c>
      <c r="DK7" s="49">
        <v>1250</v>
      </c>
      <c r="DL7" s="49">
        <v>1250</v>
      </c>
      <c r="DM7" s="49">
        <v>1250</v>
      </c>
      <c r="DN7" s="49">
        <v>1250</v>
      </c>
      <c r="DO7" s="49">
        <v>1250</v>
      </c>
      <c r="DP7" s="49">
        <v>1250</v>
      </c>
      <c r="DQ7" s="49">
        <v>1250</v>
      </c>
      <c r="DR7" s="49">
        <v>1250</v>
      </c>
      <c r="DS7" s="49">
        <v>1250</v>
      </c>
      <c r="DT7" s="49">
        <v>1250</v>
      </c>
      <c r="DU7" s="49">
        <v>1250</v>
      </c>
      <c r="DV7" s="49">
        <v>1250</v>
      </c>
      <c r="DW7" s="49">
        <v>1250</v>
      </c>
      <c r="DX7" s="49">
        <v>1250</v>
      </c>
      <c r="DY7" s="49">
        <v>1250</v>
      </c>
      <c r="DZ7" s="49">
        <v>1250</v>
      </c>
      <c r="EA7" s="49">
        <v>1250</v>
      </c>
      <c r="EB7" s="49">
        <v>1250</v>
      </c>
      <c r="EC7" s="49">
        <v>1250</v>
      </c>
      <c r="ED7" s="49">
        <v>1250</v>
      </c>
      <c r="EE7" s="49">
        <v>1250</v>
      </c>
      <c r="EF7" s="49">
        <v>1250</v>
      </c>
      <c r="EG7" s="49">
        <v>1250</v>
      </c>
      <c r="EH7" s="49">
        <v>1250</v>
      </c>
      <c r="EI7" s="49">
        <v>1250</v>
      </c>
      <c r="EJ7" s="49">
        <v>1250</v>
      </c>
      <c r="EK7" s="49">
        <v>1250</v>
      </c>
      <c r="EL7" s="49">
        <v>1250</v>
      </c>
      <c r="EM7" s="49">
        <v>1250</v>
      </c>
      <c r="EN7" s="49">
        <v>1250</v>
      </c>
      <c r="EO7" s="49">
        <v>1250</v>
      </c>
      <c r="EP7" s="49">
        <v>1250</v>
      </c>
      <c r="EQ7" s="49">
        <v>1250</v>
      </c>
      <c r="ER7" s="49">
        <v>1250</v>
      </c>
      <c r="ES7" s="49">
        <v>1250</v>
      </c>
      <c r="ET7" s="49">
        <v>1250</v>
      </c>
      <c r="EU7" s="49">
        <v>1250</v>
      </c>
      <c r="EV7" s="49">
        <v>1250</v>
      </c>
      <c r="EW7" s="49">
        <v>1250</v>
      </c>
      <c r="EX7" s="49">
        <v>1250</v>
      </c>
      <c r="EY7" s="49">
        <v>1250</v>
      </c>
      <c r="EZ7" s="49">
        <v>1250</v>
      </c>
      <c r="FA7" s="49">
        <v>1250</v>
      </c>
      <c r="FB7" s="49">
        <v>1250</v>
      </c>
      <c r="FC7" s="49">
        <v>1250</v>
      </c>
      <c r="FD7" s="49">
        <v>1250</v>
      </c>
      <c r="FE7" s="49">
        <v>1250</v>
      </c>
      <c r="FF7" s="49">
        <v>1250</v>
      </c>
      <c r="FG7" s="49">
        <v>1045</v>
      </c>
      <c r="FH7" s="49">
        <v>1045</v>
      </c>
      <c r="FI7" s="49">
        <v>1045</v>
      </c>
      <c r="FJ7" s="49">
        <v>1045</v>
      </c>
      <c r="FK7" s="49">
        <v>1045</v>
      </c>
      <c r="FL7" s="49">
        <v>1045</v>
      </c>
      <c r="FM7" s="49">
        <v>1045</v>
      </c>
      <c r="FN7" s="49">
        <v>1045</v>
      </c>
      <c r="FO7" s="49">
        <v>990.00000000000011</v>
      </c>
      <c r="FP7" s="49">
        <v>990.00000000000011</v>
      </c>
      <c r="FQ7" s="49">
        <v>990.00000000000011</v>
      </c>
      <c r="FR7" s="49">
        <v>990.00000000000011</v>
      </c>
      <c r="FS7" s="49">
        <v>990.00000000000011</v>
      </c>
      <c r="FT7" s="49">
        <v>990.00000000000011</v>
      </c>
      <c r="FU7" s="49">
        <v>990.00000000000011</v>
      </c>
      <c r="FV7" s="49">
        <v>990.00000000000011</v>
      </c>
      <c r="FW7" s="49">
        <v>990.00000000000011</v>
      </c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</row>
    <row r="8" spans="1:218" ht="14">
      <c r="A8" s="4"/>
      <c r="B8" s="8"/>
      <c r="C8" s="8"/>
      <c r="D8" s="4"/>
      <c r="E8" s="8"/>
      <c r="F8" s="8" t="s">
        <v>161</v>
      </c>
      <c r="G8" s="4"/>
      <c r="H8" s="8" t="s">
        <v>161</v>
      </c>
      <c r="I8" s="24"/>
      <c r="J8" s="10"/>
      <c r="K8" s="95"/>
      <c r="L8" s="95"/>
      <c r="M8" s="95"/>
      <c r="N8" s="95"/>
      <c r="O8" s="95"/>
      <c r="P8" s="95"/>
      <c r="Q8" s="95"/>
      <c r="R8" s="95"/>
      <c r="S8" s="160"/>
      <c r="T8" s="160"/>
      <c r="U8" s="160">
        <v>950</v>
      </c>
      <c r="V8" s="160">
        <v>950</v>
      </c>
      <c r="W8" s="160">
        <v>950</v>
      </c>
      <c r="X8" s="160">
        <v>950</v>
      </c>
      <c r="Y8" s="160">
        <v>920</v>
      </c>
      <c r="Z8" s="160">
        <v>920</v>
      </c>
      <c r="AA8" s="160">
        <v>920</v>
      </c>
      <c r="AB8" s="160">
        <v>920</v>
      </c>
      <c r="AC8" s="160">
        <v>890</v>
      </c>
      <c r="AD8" s="160">
        <f t="shared" si="1"/>
        <v>880</v>
      </c>
      <c r="AE8" s="160">
        <f>+SUM(EP8:ET8)/COUNT(EP8:ET8)</f>
        <v>870</v>
      </c>
      <c r="AF8" s="160">
        <f t="shared" si="2"/>
        <v>870</v>
      </c>
      <c r="AG8" s="160">
        <f t="shared" ref="AG8:AG10" si="3">+SUM(EY8:FB8)/COUNT(EY8:FB8)</f>
        <v>870</v>
      </c>
      <c r="AH8" s="160">
        <v>800</v>
      </c>
      <c r="AI8" s="160">
        <v>805</v>
      </c>
      <c r="AJ8" s="160">
        <v>805</v>
      </c>
      <c r="AK8" s="160">
        <v>765</v>
      </c>
      <c r="AL8" s="160">
        <v>765</v>
      </c>
      <c r="AM8" s="160">
        <v>780</v>
      </c>
      <c r="AN8" s="160">
        <f>780-20</f>
        <v>760</v>
      </c>
      <c r="AO8" s="160">
        <f>780-20</f>
        <v>760</v>
      </c>
      <c r="AP8" s="160">
        <f>780-20</f>
        <v>760</v>
      </c>
      <c r="AQ8" s="160">
        <v>740</v>
      </c>
      <c r="AR8" s="160">
        <v>740</v>
      </c>
      <c r="AS8" s="160">
        <v>740</v>
      </c>
      <c r="AT8" s="160">
        <v>740</v>
      </c>
      <c r="AU8" s="160">
        <v>740</v>
      </c>
      <c r="AV8" s="160"/>
      <c r="AX8" s="4"/>
      <c r="AY8" s="8"/>
      <c r="AZ8" s="8" t="s">
        <v>161</v>
      </c>
      <c r="BA8" s="24"/>
      <c r="BB8" s="24">
        <v>950</v>
      </c>
      <c r="BC8" s="24">
        <v>950</v>
      </c>
      <c r="BD8" s="24">
        <v>950</v>
      </c>
      <c r="BE8" s="24">
        <v>950</v>
      </c>
      <c r="BF8" s="24">
        <v>950</v>
      </c>
      <c r="BG8" s="24">
        <v>950</v>
      </c>
      <c r="BH8" s="24">
        <v>950</v>
      </c>
      <c r="BI8" s="24">
        <v>950</v>
      </c>
      <c r="BJ8" s="24">
        <v>950</v>
      </c>
      <c r="BK8" s="24">
        <v>950</v>
      </c>
      <c r="BL8" s="24">
        <v>950</v>
      </c>
      <c r="BM8" s="24">
        <v>950</v>
      </c>
      <c r="BN8" s="24">
        <v>950</v>
      </c>
      <c r="BO8" s="24">
        <v>950</v>
      </c>
      <c r="BP8" s="24">
        <v>950</v>
      </c>
      <c r="BQ8" s="24">
        <v>950</v>
      </c>
      <c r="BR8" s="24">
        <v>950</v>
      </c>
      <c r="BS8" s="24">
        <v>950</v>
      </c>
      <c r="BT8" s="24">
        <v>950</v>
      </c>
      <c r="BU8" s="24">
        <v>950</v>
      </c>
      <c r="BV8" s="24">
        <v>950</v>
      </c>
      <c r="BW8" s="24">
        <v>950</v>
      </c>
      <c r="BX8" s="24">
        <v>950</v>
      </c>
      <c r="BY8" s="24">
        <v>950</v>
      </c>
      <c r="BZ8" s="24">
        <v>950</v>
      </c>
      <c r="CA8" s="24">
        <v>950</v>
      </c>
      <c r="CB8" s="24">
        <v>950</v>
      </c>
      <c r="CC8" s="24">
        <v>950</v>
      </c>
      <c r="CD8" s="24">
        <v>950</v>
      </c>
      <c r="CE8" s="24">
        <v>950</v>
      </c>
      <c r="CF8" s="24">
        <v>950</v>
      </c>
      <c r="CG8" s="24">
        <v>950</v>
      </c>
      <c r="CH8" s="24">
        <v>950</v>
      </c>
      <c r="CI8" s="49">
        <v>950</v>
      </c>
      <c r="CJ8" s="49">
        <v>950</v>
      </c>
      <c r="CK8" s="49">
        <v>950</v>
      </c>
      <c r="CL8" s="49">
        <v>950</v>
      </c>
      <c r="CM8" s="49">
        <v>950</v>
      </c>
      <c r="CN8" s="49">
        <v>950</v>
      </c>
      <c r="CO8" s="49">
        <v>950</v>
      </c>
      <c r="CP8" s="49">
        <v>950</v>
      </c>
      <c r="CQ8" s="49">
        <v>950</v>
      </c>
      <c r="CR8" s="49">
        <v>950</v>
      </c>
      <c r="CS8" s="49">
        <v>950</v>
      </c>
      <c r="CT8" s="49">
        <v>950</v>
      </c>
      <c r="CU8" s="49">
        <v>950</v>
      </c>
      <c r="CV8" s="49">
        <v>950</v>
      </c>
      <c r="CW8" s="49">
        <v>950</v>
      </c>
      <c r="CX8" s="49">
        <v>950</v>
      </c>
      <c r="CY8" s="49">
        <v>950</v>
      </c>
      <c r="CZ8" s="49">
        <v>950</v>
      </c>
      <c r="DA8" s="49">
        <v>950</v>
      </c>
      <c r="DB8" s="49">
        <v>950</v>
      </c>
      <c r="DC8" s="49">
        <v>950</v>
      </c>
      <c r="DD8" s="49">
        <v>950</v>
      </c>
      <c r="DE8" s="49">
        <v>950</v>
      </c>
      <c r="DF8" s="49">
        <v>950</v>
      </c>
      <c r="DG8" s="49">
        <v>950</v>
      </c>
      <c r="DH8" s="49">
        <v>950</v>
      </c>
      <c r="DI8" s="49">
        <v>950</v>
      </c>
      <c r="DJ8" s="49">
        <v>950</v>
      </c>
      <c r="DK8" s="49">
        <v>950</v>
      </c>
      <c r="DL8" s="49">
        <v>950</v>
      </c>
      <c r="DM8" s="49">
        <v>950</v>
      </c>
      <c r="DN8" s="49">
        <v>950</v>
      </c>
      <c r="DO8" s="49">
        <v>950</v>
      </c>
      <c r="DP8" s="49">
        <v>920</v>
      </c>
      <c r="DQ8" s="49">
        <v>920</v>
      </c>
      <c r="DR8" s="49">
        <v>920</v>
      </c>
      <c r="DS8" s="49">
        <v>920</v>
      </c>
      <c r="DT8" s="49">
        <v>920</v>
      </c>
      <c r="DU8" s="49">
        <v>920</v>
      </c>
      <c r="DV8" s="49">
        <v>920</v>
      </c>
      <c r="DW8" s="49">
        <v>920</v>
      </c>
      <c r="DX8" s="49">
        <v>920</v>
      </c>
      <c r="DY8" s="49">
        <v>920</v>
      </c>
      <c r="DZ8" s="49">
        <v>920</v>
      </c>
      <c r="EA8" s="49">
        <v>920</v>
      </c>
      <c r="EB8" s="49">
        <v>920</v>
      </c>
      <c r="EC8" s="49">
        <v>920</v>
      </c>
      <c r="ED8" s="49">
        <v>920</v>
      </c>
      <c r="EE8" s="49">
        <v>920</v>
      </c>
      <c r="EF8" s="49">
        <v>920</v>
      </c>
      <c r="EG8" s="49">
        <v>920</v>
      </c>
      <c r="EH8" s="49">
        <v>890</v>
      </c>
      <c r="EI8" s="49">
        <v>890</v>
      </c>
      <c r="EJ8" s="49">
        <v>890</v>
      </c>
      <c r="EK8" s="49">
        <v>890</v>
      </c>
      <c r="EL8" s="49">
        <v>880</v>
      </c>
      <c r="EM8" s="49">
        <v>880</v>
      </c>
      <c r="EN8" s="49">
        <v>880</v>
      </c>
      <c r="EO8" s="49">
        <v>880</v>
      </c>
      <c r="EP8" s="49">
        <v>870</v>
      </c>
      <c r="EQ8" s="49">
        <v>870</v>
      </c>
      <c r="ER8" s="49">
        <v>870</v>
      </c>
      <c r="ES8" s="49">
        <v>870</v>
      </c>
      <c r="ET8" s="49">
        <v>870</v>
      </c>
      <c r="EU8" s="49">
        <v>870</v>
      </c>
      <c r="EV8" s="49">
        <v>870</v>
      </c>
      <c r="EW8" s="49">
        <v>870</v>
      </c>
      <c r="EX8" s="49">
        <v>870</v>
      </c>
      <c r="EY8" s="49">
        <v>870</v>
      </c>
      <c r="EZ8" s="49">
        <v>870</v>
      </c>
      <c r="FA8" s="49">
        <v>870</v>
      </c>
      <c r="FB8" s="49">
        <v>870</v>
      </c>
      <c r="FC8" s="49">
        <v>870</v>
      </c>
      <c r="FD8" s="49">
        <v>870</v>
      </c>
      <c r="FE8" s="49">
        <v>870</v>
      </c>
      <c r="FF8" s="49">
        <v>870</v>
      </c>
      <c r="FG8" s="49">
        <v>805</v>
      </c>
      <c r="FH8" s="49">
        <v>805</v>
      </c>
      <c r="FI8" s="49">
        <v>805</v>
      </c>
      <c r="FJ8" s="49">
        <v>805</v>
      </c>
      <c r="FK8" s="49">
        <v>805</v>
      </c>
      <c r="FL8" s="49">
        <v>805</v>
      </c>
      <c r="FM8" s="49">
        <v>805</v>
      </c>
      <c r="FN8" s="49">
        <v>805</v>
      </c>
      <c r="FO8" s="49">
        <v>765</v>
      </c>
      <c r="FP8" s="49">
        <v>765</v>
      </c>
      <c r="FQ8" s="49">
        <v>765</v>
      </c>
      <c r="FR8" s="49">
        <v>765</v>
      </c>
      <c r="FS8" s="49">
        <v>765</v>
      </c>
      <c r="FT8" s="49">
        <v>765</v>
      </c>
      <c r="FU8" s="49">
        <v>765</v>
      </c>
      <c r="FV8" s="49">
        <v>765</v>
      </c>
      <c r="FW8" s="49">
        <v>765</v>
      </c>
      <c r="FX8" s="49">
        <v>780</v>
      </c>
      <c r="FY8" s="49">
        <v>780</v>
      </c>
      <c r="FZ8" s="49">
        <v>780</v>
      </c>
      <c r="GA8" s="49">
        <v>780</v>
      </c>
      <c r="GB8" s="49">
        <v>780</v>
      </c>
      <c r="GC8" s="49">
        <f>780-20</f>
        <v>760</v>
      </c>
      <c r="GD8" s="49">
        <f t="shared" ref="GD8:GO8" si="4">780-20</f>
        <v>760</v>
      </c>
      <c r="GE8" s="49">
        <f t="shared" si="4"/>
        <v>760</v>
      </c>
      <c r="GF8" s="49">
        <f t="shared" si="4"/>
        <v>760</v>
      </c>
      <c r="GG8" s="49">
        <f t="shared" si="4"/>
        <v>760</v>
      </c>
      <c r="GH8" s="49">
        <f t="shared" si="4"/>
        <v>760</v>
      </c>
      <c r="GI8" s="49">
        <f t="shared" si="4"/>
        <v>760</v>
      </c>
      <c r="GJ8" s="49">
        <f t="shared" si="4"/>
        <v>760</v>
      </c>
      <c r="GK8" s="49">
        <f t="shared" si="4"/>
        <v>760</v>
      </c>
      <c r="GL8" s="49">
        <f t="shared" si="4"/>
        <v>760</v>
      </c>
      <c r="GM8" s="49">
        <f t="shared" si="4"/>
        <v>760</v>
      </c>
      <c r="GN8" s="49">
        <f t="shared" si="4"/>
        <v>760</v>
      </c>
      <c r="GO8" s="49">
        <f t="shared" si="4"/>
        <v>760</v>
      </c>
      <c r="GP8" s="49">
        <v>740</v>
      </c>
      <c r="GQ8" s="49">
        <v>740</v>
      </c>
      <c r="GR8" s="49">
        <v>740</v>
      </c>
      <c r="GS8" s="49">
        <v>740</v>
      </c>
      <c r="GT8" s="49">
        <v>740</v>
      </c>
      <c r="GU8" s="49">
        <v>740</v>
      </c>
      <c r="GV8" s="49">
        <v>740</v>
      </c>
      <c r="GW8" s="49">
        <v>740</v>
      </c>
      <c r="GX8" s="49">
        <v>740</v>
      </c>
      <c r="GY8" s="49">
        <v>740</v>
      </c>
      <c r="GZ8" s="49">
        <v>740</v>
      </c>
      <c r="HA8" s="49">
        <v>740</v>
      </c>
      <c r="HB8" s="49">
        <v>740</v>
      </c>
      <c r="HC8" s="49">
        <v>740</v>
      </c>
      <c r="HD8" s="49">
        <v>740</v>
      </c>
      <c r="HE8" s="49">
        <v>740</v>
      </c>
      <c r="HF8" s="49">
        <v>740</v>
      </c>
      <c r="HG8" s="49">
        <v>740</v>
      </c>
      <c r="HH8" s="49">
        <v>740</v>
      </c>
      <c r="HI8" s="49">
        <f>740+50</f>
        <v>790</v>
      </c>
      <c r="HJ8" s="49">
        <f>740+50</f>
        <v>790</v>
      </c>
    </row>
    <row r="9" spans="1:218" ht="14" hidden="1">
      <c r="A9" s="4"/>
      <c r="B9" s="8"/>
      <c r="C9" s="8"/>
      <c r="D9" s="4"/>
      <c r="E9" s="8"/>
      <c r="F9" s="8" t="s">
        <v>104</v>
      </c>
      <c r="G9" s="4"/>
      <c r="H9" s="136" t="s">
        <v>104</v>
      </c>
      <c r="I9" s="24">
        <f>+SUM(BB9:BE9)/COUNT(BB9:BE9)</f>
        <v>1290</v>
      </c>
      <c r="J9" s="10">
        <f>+SUM(BF9:BI9)/COUNT(BF9:BI9)</f>
        <v>1290</v>
      </c>
      <c r="K9" s="95">
        <f>K7+40</f>
        <v>1290</v>
      </c>
      <c r="L9" s="95">
        <f>L7+40</f>
        <v>1290</v>
      </c>
      <c r="M9" s="95">
        <f>M7+40</f>
        <v>1290</v>
      </c>
      <c r="N9" s="95">
        <f>N7+40</f>
        <v>1290</v>
      </c>
      <c r="O9" s="95">
        <f t="shared" si="0"/>
        <v>1290</v>
      </c>
      <c r="P9" s="95">
        <f t="shared" si="0"/>
        <v>1290</v>
      </c>
      <c r="Q9" s="95">
        <f t="shared" si="0"/>
        <v>1290</v>
      </c>
      <c r="R9" s="95">
        <f>R7+40</f>
        <v>1290</v>
      </c>
      <c r="S9" s="160">
        <f t="shared" ref="S9:W9" si="5">S7+40</f>
        <v>1290</v>
      </c>
      <c r="T9" s="160">
        <f t="shared" si="5"/>
        <v>1290</v>
      </c>
      <c r="U9" s="160">
        <f t="shared" si="5"/>
        <v>1290</v>
      </c>
      <c r="V9" s="160">
        <f t="shared" si="5"/>
        <v>1290</v>
      </c>
      <c r="W9" s="160">
        <f t="shared" si="5"/>
        <v>1290</v>
      </c>
      <c r="X9" s="160">
        <f t="shared" ref="X9:Y9" si="6">X7+40</f>
        <v>1290</v>
      </c>
      <c r="Y9" s="160">
        <f t="shared" si="6"/>
        <v>1290</v>
      </c>
      <c r="Z9" s="160">
        <f t="shared" ref="Z9:AA9" si="7">Z7+40</f>
        <v>1290</v>
      </c>
      <c r="AA9" s="160">
        <f t="shared" si="7"/>
        <v>1290</v>
      </c>
      <c r="AB9" s="160">
        <f t="shared" ref="AB9:AC9" si="8">AB7+40</f>
        <v>1290</v>
      </c>
      <c r="AC9" s="160">
        <f t="shared" si="8"/>
        <v>1290</v>
      </c>
      <c r="AD9" s="160">
        <f t="shared" si="1"/>
        <v>1290</v>
      </c>
      <c r="AE9" s="160">
        <f t="shared" ref="AE9:AE13" si="9">+SUM(EP9:ET9)/COUNT(EP9:ET9)</f>
        <v>1290</v>
      </c>
      <c r="AF9" s="160">
        <f t="shared" si="2"/>
        <v>1290</v>
      </c>
      <c r="AG9" s="160">
        <f t="shared" si="3"/>
        <v>1290</v>
      </c>
      <c r="AH9" s="160">
        <f>AH7+20</f>
        <v>1270</v>
      </c>
      <c r="AI9" s="160">
        <f t="shared" ref="AI9:AN9" si="10">AI7+22</f>
        <v>1067</v>
      </c>
      <c r="AJ9" s="160">
        <f t="shared" si="10"/>
        <v>1067</v>
      </c>
      <c r="AK9" s="160">
        <f t="shared" si="10"/>
        <v>1012.0000000000001</v>
      </c>
      <c r="AL9" s="160">
        <f t="shared" si="10"/>
        <v>1012.0000000000001</v>
      </c>
      <c r="AM9" s="160">
        <f t="shared" si="10"/>
        <v>22</v>
      </c>
      <c r="AN9" s="160">
        <f t="shared" si="10"/>
        <v>22</v>
      </c>
      <c r="AO9" s="160">
        <f t="shared" ref="AO9:AP9" si="11">AO7+22</f>
        <v>22</v>
      </c>
      <c r="AP9" s="160">
        <f t="shared" si="11"/>
        <v>22</v>
      </c>
      <c r="AQ9" s="160">
        <f t="shared" ref="AQ9:AR9" si="12">AQ7+22</f>
        <v>22</v>
      </c>
      <c r="AR9" s="160">
        <f t="shared" si="12"/>
        <v>22</v>
      </c>
      <c r="AS9" s="160">
        <f t="shared" ref="AS9:AT9" si="13">AS7+22</f>
        <v>22</v>
      </c>
      <c r="AT9" s="160">
        <f t="shared" si="13"/>
        <v>22</v>
      </c>
      <c r="AU9" s="160">
        <f t="shared" ref="AU9" si="14">AU7+22</f>
        <v>22</v>
      </c>
      <c r="AV9" s="160"/>
      <c r="AX9" s="4"/>
      <c r="AY9" s="8"/>
      <c r="AZ9" s="8" t="s">
        <v>104</v>
      </c>
      <c r="BA9" s="24">
        <f t="shared" ref="BA9:BV9" si="15">+BA7+40</f>
        <v>1290</v>
      </c>
      <c r="BB9" s="137">
        <f t="shared" si="15"/>
        <v>1290</v>
      </c>
      <c r="BC9" s="137">
        <f t="shared" si="15"/>
        <v>1290</v>
      </c>
      <c r="BD9" s="137">
        <f t="shared" si="15"/>
        <v>1290</v>
      </c>
      <c r="BE9" s="138">
        <f t="shared" si="15"/>
        <v>1290</v>
      </c>
      <c r="BF9" s="138">
        <f t="shared" si="15"/>
        <v>1290</v>
      </c>
      <c r="BG9" s="138">
        <f t="shared" si="15"/>
        <v>1290</v>
      </c>
      <c r="BH9" s="138">
        <f t="shared" si="15"/>
        <v>1290</v>
      </c>
      <c r="BI9" s="138">
        <f t="shared" si="15"/>
        <v>1290</v>
      </c>
      <c r="BJ9" s="138">
        <f t="shared" si="15"/>
        <v>1290</v>
      </c>
      <c r="BK9" s="138">
        <f t="shared" si="15"/>
        <v>1290</v>
      </c>
      <c r="BL9" s="138">
        <f t="shared" si="15"/>
        <v>1290</v>
      </c>
      <c r="BM9" s="138">
        <f t="shared" si="15"/>
        <v>1290</v>
      </c>
      <c r="BN9" s="138">
        <f t="shared" si="15"/>
        <v>1290</v>
      </c>
      <c r="BO9" s="138">
        <f t="shared" si="15"/>
        <v>1290</v>
      </c>
      <c r="BP9" s="92">
        <f t="shared" si="15"/>
        <v>1290</v>
      </c>
      <c r="BQ9" s="92">
        <f t="shared" si="15"/>
        <v>1290</v>
      </c>
      <c r="BR9" s="92">
        <f t="shared" si="15"/>
        <v>1290</v>
      </c>
      <c r="BS9" s="92">
        <f t="shared" si="15"/>
        <v>1290</v>
      </c>
      <c r="BT9" s="92">
        <f t="shared" si="15"/>
        <v>1290</v>
      </c>
      <c r="BU9" s="92">
        <f t="shared" si="15"/>
        <v>1290</v>
      </c>
      <c r="BV9" s="92">
        <f t="shared" si="15"/>
        <v>1290</v>
      </c>
      <c r="BW9" s="92">
        <f t="shared" ref="BW9:CB9" si="16">+BW7+40</f>
        <v>1290</v>
      </c>
      <c r="BX9" s="92">
        <f t="shared" si="16"/>
        <v>1290</v>
      </c>
      <c r="BY9" s="92">
        <f t="shared" si="16"/>
        <v>1290</v>
      </c>
      <c r="BZ9" s="92">
        <f t="shared" si="16"/>
        <v>1290</v>
      </c>
      <c r="CA9" s="92">
        <f t="shared" si="16"/>
        <v>1290</v>
      </c>
      <c r="CB9" s="92">
        <f t="shared" si="16"/>
        <v>1290</v>
      </c>
      <c r="CC9" s="92">
        <f t="shared" ref="CC9:CH9" si="17">+CC7+40</f>
        <v>1290</v>
      </c>
      <c r="CD9" s="92">
        <f t="shared" si="17"/>
        <v>1290</v>
      </c>
      <c r="CE9" s="92">
        <f t="shared" si="17"/>
        <v>1290</v>
      </c>
      <c r="CF9" s="92">
        <f t="shared" si="17"/>
        <v>1290</v>
      </c>
      <c r="CG9" s="92">
        <f t="shared" si="17"/>
        <v>1290</v>
      </c>
      <c r="CH9" s="92">
        <f t="shared" si="17"/>
        <v>1290</v>
      </c>
      <c r="CI9" s="92">
        <f t="shared" ref="CI9:CQ9" si="18">+CI7+40</f>
        <v>1290</v>
      </c>
      <c r="CJ9" s="92">
        <f t="shared" si="18"/>
        <v>1290</v>
      </c>
      <c r="CK9" s="92">
        <f t="shared" si="18"/>
        <v>1290</v>
      </c>
      <c r="CL9" s="92">
        <f t="shared" si="18"/>
        <v>1290</v>
      </c>
      <c r="CM9" s="92">
        <f t="shared" si="18"/>
        <v>1290</v>
      </c>
      <c r="CN9" s="92">
        <f t="shared" si="18"/>
        <v>1290</v>
      </c>
      <c r="CO9" s="92">
        <f t="shared" si="18"/>
        <v>1290</v>
      </c>
      <c r="CP9" s="92">
        <f t="shared" si="18"/>
        <v>1290</v>
      </c>
      <c r="CQ9" s="92">
        <f t="shared" si="18"/>
        <v>1290</v>
      </c>
      <c r="CR9" s="92">
        <f t="shared" ref="CR9:CS9" si="19">+CR7+40</f>
        <v>1290</v>
      </c>
      <c r="CS9" s="92">
        <f t="shared" si="19"/>
        <v>1290</v>
      </c>
      <c r="CT9" s="92">
        <f t="shared" ref="CT9:CU9" si="20">+CT7+40</f>
        <v>1290</v>
      </c>
      <c r="CU9" s="92">
        <f t="shared" si="20"/>
        <v>1290</v>
      </c>
      <c r="CV9" s="92">
        <f t="shared" ref="CV9:CW9" si="21">+CV7+40</f>
        <v>1290</v>
      </c>
      <c r="CW9" s="92">
        <f t="shared" si="21"/>
        <v>1290</v>
      </c>
      <c r="CX9" s="92">
        <f t="shared" ref="CX9:CZ9" si="22">+CX7+40</f>
        <v>1290</v>
      </c>
      <c r="CY9" s="92">
        <f t="shared" si="22"/>
        <v>1290</v>
      </c>
      <c r="CZ9" s="92">
        <f t="shared" si="22"/>
        <v>1290</v>
      </c>
      <c r="DA9" s="92">
        <f t="shared" ref="DA9:DB9" si="23">+DA7+40</f>
        <v>1290</v>
      </c>
      <c r="DB9" s="92">
        <f t="shared" si="23"/>
        <v>1290</v>
      </c>
      <c r="DC9" s="92">
        <f t="shared" ref="DC9:DD9" si="24">+DC7+40</f>
        <v>1290</v>
      </c>
      <c r="DD9" s="92">
        <f t="shared" si="24"/>
        <v>1290</v>
      </c>
      <c r="DE9" s="92">
        <f t="shared" ref="DE9:DF9" si="25">+DE7+40</f>
        <v>1290</v>
      </c>
      <c r="DF9" s="92">
        <f t="shared" si="25"/>
        <v>1290</v>
      </c>
      <c r="DG9" s="92">
        <f t="shared" ref="DG9:DH9" si="26">+DG7+40</f>
        <v>1290</v>
      </c>
      <c r="DH9" s="92">
        <f t="shared" si="26"/>
        <v>1290</v>
      </c>
      <c r="DI9" s="92">
        <f t="shared" ref="DI9:DJ9" si="27">+DI7+40</f>
        <v>1290</v>
      </c>
      <c r="DJ9" s="92">
        <f t="shared" si="27"/>
        <v>1290</v>
      </c>
      <c r="DK9" s="92">
        <f t="shared" ref="DK9:DL9" si="28">+DK7+40</f>
        <v>1290</v>
      </c>
      <c r="DL9" s="92">
        <f t="shared" si="28"/>
        <v>1290</v>
      </c>
      <c r="DM9" s="92">
        <f t="shared" ref="DM9:DO9" si="29">+DM7+40</f>
        <v>1290</v>
      </c>
      <c r="DN9" s="92">
        <f t="shared" si="29"/>
        <v>1290</v>
      </c>
      <c r="DO9" s="92">
        <f t="shared" si="29"/>
        <v>1290</v>
      </c>
      <c r="DP9" s="92">
        <f t="shared" ref="DP9:DQ9" si="30">+DP7+40</f>
        <v>1290</v>
      </c>
      <c r="DQ9" s="92">
        <f t="shared" si="30"/>
        <v>1290</v>
      </c>
      <c r="DR9" s="92">
        <f t="shared" ref="DR9:DS9" si="31">+DR7+40</f>
        <v>1290</v>
      </c>
      <c r="DS9" s="92">
        <f t="shared" si="31"/>
        <v>1290</v>
      </c>
      <c r="DT9" s="92">
        <f t="shared" ref="DT9:DU9" si="32">+DT7+40</f>
        <v>1290</v>
      </c>
      <c r="DU9" s="92">
        <f t="shared" si="32"/>
        <v>1290</v>
      </c>
      <c r="DV9" s="92">
        <f t="shared" ref="DV9:DW9" si="33">+DV7+40</f>
        <v>1290</v>
      </c>
      <c r="DW9" s="92">
        <f t="shared" si="33"/>
        <v>1290</v>
      </c>
      <c r="DX9" s="92">
        <f t="shared" ref="DX9:DY9" si="34">+DX7+40</f>
        <v>1290</v>
      </c>
      <c r="DY9" s="92">
        <f t="shared" si="34"/>
        <v>1290</v>
      </c>
      <c r="DZ9" s="92">
        <f t="shared" ref="DZ9:EA9" si="35">+DZ7+40</f>
        <v>1290</v>
      </c>
      <c r="EA9" s="92">
        <f t="shared" si="35"/>
        <v>1290</v>
      </c>
      <c r="EB9" s="92">
        <f t="shared" ref="EB9:EC9" si="36">+EB7+40</f>
        <v>1290</v>
      </c>
      <c r="EC9" s="92">
        <f t="shared" si="36"/>
        <v>1290</v>
      </c>
      <c r="ED9" s="92">
        <f t="shared" ref="ED9:EE9" si="37">+ED7+40</f>
        <v>1290</v>
      </c>
      <c r="EE9" s="92">
        <f t="shared" si="37"/>
        <v>1290</v>
      </c>
      <c r="EF9" s="92">
        <f t="shared" ref="EF9:EG9" si="38">+EF7+40</f>
        <v>1290</v>
      </c>
      <c r="EG9" s="92">
        <f t="shared" si="38"/>
        <v>1290</v>
      </c>
      <c r="EH9" s="92">
        <f t="shared" ref="EH9:EI9" si="39">+EH7+40</f>
        <v>1290</v>
      </c>
      <c r="EI9" s="92">
        <f t="shared" si="39"/>
        <v>1290</v>
      </c>
      <c r="EJ9" s="92">
        <f t="shared" ref="EJ9:EK9" si="40">+EJ7+40</f>
        <v>1290</v>
      </c>
      <c r="EK9" s="92">
        <f t="shared" si="40"/>
        <v>1290</v>
      </c>
      <c r="EL9" s="92">
        <f t="shared" ref="EL9:EM9" si="41">+EL7+40</f>
        <v>1290</v>
      </c>
      <c r="EM9" s="92">
        <f t="shared" si="41"/>
        <v>1290</v>
      </c>
      <c r="EN9" s="92">
        <f t="shared" ref="EN9:EO9" si="42">+EN7+40</f>
        <v>1290</v>
      </c>
      <c r="EO9" s="92">
        <f t="shared" si="42"/>
        <v>1290</v>
      </c>
      <c r="EP9" s="92">
        <f>+EP7+40</f>
        <v>1290</v>
      </c>
      <c r="EQ9" s="92">
        <f t="shared" ref="EQ9:ET9" si="43">+EQ7+40</f>
        <v>1290</v>
      </c>
      <c r="ER9" s="92">
        <f t="shared" si="43"/>
        <v>1290</v>
      </c>
      <c r="ES9" s="92">
        <f t="shared" si="43"/>
        <v>1290</v>
      </c>
      <c r="ET9" s="92">
        <f t="shared" si="43"/>
        <v>1290</v>
      </c>
      <c r="EU9" s="92">
        <f t="shared" ref="EU9:EX9" si="44">+EU7+40</f>
        <v>1290</v>
      </c>
      <c r="EV9" s="92">
        <f t="shared" si="44"/>
        <v>1290</v>
      </c>
      <c r="EW9" s="92">
        <f t="shared" si="44"/>
        <v>1290</v>
      </c>
      <c r="EX9" s="92">
        <f t="shared" si="44"/>
        <v>1290</v>
      </c>
      <c r="EY9" s="92">
        <f t="shared" ref="EY9:EZ9" si="45">+EY7+40</f>
        <v>1290</v>
      </c>
      <c r="EZ9" s="92">
        <f t="shared" si="45"/>
        <v>1290</v>
      </c>
      <c r="FA9" s="92">
        <f t="shared" ref="FA9:FB9" si="46">+FA7+40</f>
        <v>1290</v>
      </c>
      <c r="FB9" s="92">
        <f t="shared" si="46"/>
        <v>1290</v>
      </c>
      <c r="FC9" s="92">
        <f t="shared" ref="FC9:FD9" si="47">+FC7+40</f>
        <v>1290</v>
      </c>
      <c r="FD9" s="92">
        <f t="shared" si="47"/>
        <v>1290</v>
      </c>
      <c r="FE9" s="92">
        <f t="shared" ref="FE9:FF9" si="48">+FE7+40</f>
        <v>1290</v>
      </c>
      <c r="FF9" s="92">
        <f t="shared" si="48"/>
        <v>1290</v>
      </c>
      <c r="FG9" s="92">
        <f t="shared" ref="FG9:FJ9" si="49">+FG7+40</f>
        <v>1085</v>
      </c>
      <c r="FH9" s="92">
        <f t="shared" si="49"/>
        <v>1085</v>
      </c>
      <c r="FI9" s="92">
        <f t="shared" si="49"/>
        <v>1085</v>
      </c>
      <c r="FJ9" s="92">
        <f t="shared" si="49"/>
        <v>1085</v>
      </c>
      <c r="FK9" s="92">
        <f t="shared" ref="FK9:FN9" si="50">+FK7+40</f>
        <v>1085</v>
      </c>
      <c r="FL9" s="92">
        <f t="shared" si="50"/>
        <v>1085</v>
      </c>
      <c r="FM9" s="92">
        <f t="shared" si="50"/>
        <v>1085</v>
      </c>
      <c r="FN9" s="92">
        <f t="shared" si="50"/>
        <v>1085</v>
      </c>
      <c r="FO9" s="92">
        <f t="shared" ref="FO9:FS9" si="51">+FO7+40</f>
        <v>1030</v>
      </c>
      <c r="FP9" s="92">
        <f t="shared" si="51"/>
        <v>1030</v>
      </c>
      <c r="FQ9" s="92">
        <f t="shared" si="51"/>
        <v>1030</v>
      </c>
      <c r="FR9" s="92">
        <f t="shared" si="51"/>
        <v>1030</v>
      </c>
      <c r="FS9" s="92">
        <f t="shared" si="51"/>
        <v>1030</v>
      </c>
      <c r="FT9" s="92">
        <f t="shared" ref="FT9:FW9" si="52">+FT7+40</f>
        <v>1030</v>
      </c>
      <c r="FU9" s="92">
        <f t="shared" si="52"/>
        <v>1030</v>
      </c>
      <c r="FV9" s="92">
        <f t="shared" si="52"/>
        <v>1030</v>
      </c>
      <c r="FW9" s="92">
        <f t="shared" si="52"/>
        <v>1030</v>
      </c>
      <c r="FX9" s="92">
        <f t="shared" ref="FX9:GB9" si="53">+FX7+40</f>
        <v>40</v>
      </c>
      <c r="FY9" s="92">
        <f t="shared" si="53"/>
        <v>40</v>
      </c>
      <c r="FZ9" s="92">
        <f t="shared" si="53"/>
        <v>40</v>
      </c>
      <c r="GA9" s="92">
        <f t="shared" si="53"/>
        <v>40</v>
      </c>
      <c r="GB9" s="92">
        <f t="shared" si="53"/>
        <v>40</v>
      </c>
      <c r="GC9" s="92">
        <f t="shared" ref="GC9:GF9" si="54">+GC7+40</f>
        <v>40</v>
      </c>
      <c r="GD9" s="92">
        <f t="shared" si="54"/>
        <v>40</v>
      </c>
      <c r="GE9" s="92">
        <f t="shared" si="54"/>
        <v>40</v>
      </c>
      <c r="GF9" s="92">
        <f t="shared" si="54"/>
        <v>40</v>
      </c>
      <c r="GG9" s="92">
        <f t="shared" ref="GG9:GI9" si="55">+GG7+40</f>
        <v>40</v>
      </c>
      <c r="GH9" s="92">
        <f t="shared" si="55"/>
        <v>40</v>
      </c>
      <c r="GI9" s="92">
        <f t="shared" si="55"/>
        <v>40</v>
      </c>
      <c r="GJ9" s="92">
        <f t="shared" ref="GJ9:GO9" si="56">+GJ7+40</f>
        <v>40</v>
      </c>
      <c r="GK9" s="92">
        <f t="shared" si="56"/>
        <v>40</v>
      </c>
      <c r="GL9" s="92">
        <f t="shared" si="56"/>
        <v>40</v>
      </c>
      <c r="GM9" s="92">
        <f t="shared" si="56"/>
        <v>40</v>
      </c>
      <c r="GN9" s="92">
        <f t="shared" si="56"/>
        <v>40</v>
      </c>
      <c r="GO9" s="92">
        <f t="shared" si="56"/>
        <v>40</v>
      </c>
      <c r="GP9" s="92">
        <f t="shared" ref="GP9:GS9" si="57">+GP7+40</f>
        <v>40</v>
      </c>
      <c r="GQ9" s="92">
        <f t="shared" si="57"/>
        <v>40</v>
      </c>
      <c r="GR9" s="92">
        <f t="shared" si="57"/>
        <v>40</v>
      </c>
      <c r="GS9" s="92">
        <f t="shared" si="57"/>
        <v>40</v>
      </c>
      <c r="GT9" s="92">
        <f t="shared" ref="GT9:GW9" si="58">+GT7+40</f>
        <v>40</v>
      </c>
      <c r="GU9" s="92">
        <f t="shared" si="58"/>
        <v>40</v>
      </c>
      <c r="GV9" s="92">
        <f t="shared" si="58"/>
        <v>40</v>
      </c>
      <c r="GW9" s="92">
        <f t="shared" si="58"/>
        <v>40</v>
      </c>
      <c r="GX9" s="92">
        <f t="shared" ref="GX9:HB9" si="59">+GX7+40</f>
        <v>40</v>
      </c>
      <c r="GY9" s="92">
        <f t="shared" si="59"/>
        <v>40</v>
      </c>
      <c r="GZ9" s="92">
        <f t="shared" si="59"/>
        <v>40</v>
      </c>
      <c r="HA9" s="92">
        <f t="shared" si="59"/>
        <v>40</v>
      </c>
      <c r="HB9" s="92">
        <f t="shared" si="59"/>
        <v>40</v>
      </c>
    </row>
    <row r="10" spans="1:218" ht="14" hidden="1">
      <c r="A10" s="4"/>
      <c r="B10" s="8"/>
      <c r="C10" s="8"/>
      <c r="D10" s="4"/>
      <c r="E10" s="8"/>
      <c r="F10" s="8" t="s">
        <v>139</v>
      </c>
      <c r="G10" s="4"/>
      <c r="H10" s="8" t="s">
        <v>139</v>
      </c>
      <c r="I10" s="24"/>
      <c r="J10" s="10"/>
      <c r="K10" s="95">
        <v>1310</v>
      </c>
      <c r="L10" s="95">
        <v>1310</v>
      </c>
      <c r="M10" s="95">
        <v>1310</v>
      </c>
      <c r="N10" s="95">
        <v>1310</v>
      </c>
      <c r="O10" s="95">
        <f t="shared" si="0"/>
        <v>1310</v>
      </c>
      <c r="P10" s="95">
        <f t="shared" si="0"/>
        <v>1310</v>
      </c>
      <c r="Q10" s="95">
        <f t="shared" si="0"/>
        <v>1310</v>
      </c>
      <c r="R10" s="95">
        <v>1310</v>
      </c>
      <c r="S10" s="160">
        <v>1310</v>
      </c>
      <c r="T10" s="160">
        <v>1310</v>
      </c>
      <c r="U10" s="160">
        <v>1310</v>
      </c>
      <c r="V10" s="160">
        <v>1310</v>
      </c>
      <c r="W10" s="160">
        <v>1310</v>
      </c>
      <c r="X10" s="160">
        <v>1310</v>
      </c>
      <c r="Y10" s="160">
        <v>1310</v>
      </c>
      <c r="Z10" s="160">
        <v>1310</v>
      </c>
      <c r="AA10" s="160">
        <v>1310</v>
      </c>
      <c r="AB10" s="160">
        <v>1310</v>
      </c>
      <c r="AC10" s="160">
        <v>1310</v>
      </c>
      <c r="AD10" s="160">
        <f t="shared" si="1"/>
        <v>1310</v>
      </c>
      <c r="AE10" s="160">
        <f t="shared" si="9"/>
        <v>1310</v>
      </c>
      <c r="AF10" s="160">
        <f t="shared" si="2"/>
        <v>1310</v>
      </c>
      <c r="AG10" s="160">
        <f t="shared" si="3"/>
        <v>1310</v>
      </c>
      <c r="AH10" s="160">
        <f t="shared" ref="AH10:AU11" si="60">+SUM(FC10:FG10)/COUNT(FC10:FG10)</f>
        <v>1310</v>
      </c>
      <c r="AI10" s="160">
        <f t="shared" si="60"/>
        <v>1310</v>
      </c>
      <c r="AJ10" s="160">
        <f t="shared" si="60"/>
        <v>1310</v>
      </c>
      <c r="AK10" s="160">
        <f t="shared" si="60"/>
        <v>1310</v>
      </c>
      <c r="AL10" s="160">
        <f t="shared" si="60"/>
        <v>1310</v>
      </c>
      <c r="AM10" s="160">
        <f t="shared" si="60"/>
        <v>1310</v>
      </c>
      <c r="AN10" s="160">
        <f t="shared" si="60"/>
        <v>1310</v>
      </c>
      <c r="AO10" s="160">
        <f t="shared" si="60"/>
        <v>1310</v>
      </c>
      <c r="AP10" s="160">
        <f t="shared" si="60"/>
        <v>1310</v>
      </c>
      <c r="AQ10" s="160">
        <f t="shared" si="60"/>
        <v>1310</v>
      </c>
      <c r="AR10" s="160">
        <f t="shared" si="60"/>
        <v>1310</v>
      </c>
      <c r="AS10" s="160">
        <f t="shared" si="60"/>
        <v>1310</v>
      </c>
      <c r="AT10" s="160">
        <f t="shared" si="60"/>
        <v>1310</v>
      </c>
      <c r="AU10" s="160">
        <f t="shared" si="60"/>
        <v>1310</v>
      </c>
      <c r="AV10" s="160"/>
      <c r="AX10" s="4"/>
      <c r="AY10" s="8"/>
      <c r="AZ10" s="8" t="s">
        <v>105</v>
      </c>
      <c r="BA10" s="24"/>
      <c r="BB10" s="139">
        <v>1310</v>
      </c>
      <c r="BC10" s="139">
        <v>1310</v>
      </c>
      <c r="BD10" s="139">
        <v>1310</v>
      </c>
      <c r="BE10" s="139">
        <v>1310</v>
      </c>
      <c r="BF10" s="139">
        <v>1310</v>
      </c>
      <c r="BG10" s="139">
        <v>1310</v>
      </c>
      <c r="BH10" s="139">
        <v>1310</v>
      </c>
      <c r="BI10" s="139">
        <v>1310</v>
      </c>
      <c r="BJ10" s="139">
        <v>1310</v>
      </c>
      <c r="BK10" s="139">
        <v>1310</v>
      </c>
      <c r="BL10" s="139">
        <v>1310</v>
      </c>
      <c r="BM10" s="139">
        <v>1310</v>
      </c>
      <c r="BN10" s="139">
        <v>1310</v>
      </c>
      <c r="BO10" s="139">
        <v>1310</v>
      </c>
      <c r="BP10" s="95">
        <v>1310</v>
      </c>
      <c r="BQ10" s="95">
        <v>1310</v>
      </c>
      <c r="BR10" s="95">
        <v>1310</v>
      </c>
      <c r="BS10" s="95">
        <v>1310</v>
      </c>
      <c r="BT10" s="95">
        <v>1310</v>
      </c>
      <c r="BU10" s="95">
        <v>1310</v>
      </c>
      <c r="BV10" s="95">
        <v>1310</v>
      </c>
      <c r="BW10" s="95">
        <v>1310</v>
      </c>
      <c r="BX10" s="95">
        <v>1310</v>
      </c>
      <c r="BY10" s="95">
        <v>1310</v>
      </c>
      <c r="BZ10" s="95">
        <v>1310</v>
      </c>
      <c r="CA10" s="95">
        <v>1310</v>
      </c>
      <c r="CB10" s="95">
        <v>1310</v>
      </c>
      <c r="CC10" s="95">
        <v>1310</v>
      </c>
      <c r="CD10" s="95">
        <v>1310</v>
      </c>
      <c r="CE10" s="95">
        <v>1310</v>
      </c>
      <c r="CF10" s="95">
        <v>1310</v>
      </c>
      <c r="CG10" s="95">
        <v>1310</v>
      </c>
      <c r="CH10" s="95">
        <v>1310</v>
      </c>
      <c r="CI10" s="95">
        <v>1310</v>
      </c>
      <c r="CJ10" s="95">
        <v>1310</v>
      </c>
      <c r="CK10" s="95">
        <v>1310</v>
      </c>
      <c r="CL10" s="95">
        <v>1310</v>
      </c>
      <c r="CM10" s="95">
        <v>1310</v>
      </c>
      <c r="CN10" s="95">
        <v>1310</v>
      </c>
      <c r="CO10" s="95">
        <v>1310</v>
      </c>
      <c r="CP10" s="95">
        <v>1310</v>
      </c>
      <c r="CQ10" s="95">
        <v>1310</v>
      </c>
      <c r="CR10" s="95">
        <v>1310</v>
      </c>
      <c r="CS10" s="95">
        <v>1310</v>
      </c>
      <c r="CT10" s="95">
        <v>1310</v>
      </c>
      <c r="CU10" s="95">
        <v>1310</v>
      </c>
      <c r="CV10" s="95">
        <v>1310</v>
      </c>
      <c r="CW10" s="95">
        <v>1310</v>
      </c>
      <c r="CX10" s="95">
        <v>1310</v>
      </c>
      <c r="CY10" s="95">
        <v>1310</v>
      </c>
      <c r="CZ10" s="95">
        <v>1310</v>
      </c>
      <c r="DA10" s="95">
        <v>1310</v>
      </c>
      <c r="DB10" s="95">
        <v>1310</v>
      </c>
      <c r="DC10" s="95">
        <v>1310</v>
      </c>
      <c r="DD10" s="95">
        <v>1310</v>
      </c>
      <c r="DE10" s="95">
        <v>1310</v>
      </c>
      <c r="DF10" s="95">
        <v>1310</v>
      </c>
      <c r="DG10" s="95">
        <v>1310</v>
      </c>
      <c r="DH10" s="95">
        <v>1310</v>
      </c>
      <c r="DI10" s="95">
        <v>1310</v>
      </c>
      <c r="DJ10" s="95">
        <v>1310</v>
      </c>
      <c r="DK10" s="95">
        <v>1310</v>
      </c>
      <c r="DL10" s="95">
        <v>1310</v>
      </c>
      <c r="DM10" s="95">
        <v>1310</v>
      </c>
      <c r="DN10" s="95">
        <v>1310</v>
      </c>
      <c r="DO10" s="95">
        <v>1310</v>
      </c>
      <c r="DP10" s="95">
        <v>1310</v>
      </c>
      <c r="DQ10" s="95">
        <v>1310</v>
      </c>
      <c r="DR10" s="95">
        <v>1310</v>
      </c>
      <c r="DS10" s="95">
        <v>1310</v>
      </c>
      <c r="DT10" s="95">
        <v>1310</v>
      </c>
      <c r="DU10" s="95">
        <v>1310</v>
      </c>
      <c r="DV10" s="95">
        <v>1310</v>
      </c>
      <c r="DW10" s="95">
        <v>1310</v>
      </c>
      <c r="DX10" s="95">
        <v>1310</v>
      </c>
      <c r="DY10" s="95">
        <v>1310</v>
      </c>
      <c r="DZ10" s="95">
        <v>1310</v>
      </c>
      <c r="EA10" s="95">
        <v>1310</v>
      </c>
      <c r="EB10" s="95">
        <v>1310</v>
      </c>
      <c r="EC10" s="95">
        <v>1310</v>
      </c>
      <c r="ED10" s="95">
        <v>1310</v>
      </c>
      <c r="EE10" s="95">
        <v>1310</v>
      </c>
      <c r="EF10" s="95">
        <v>1310</v>
      </c>
      <c r="EG10" s="95">
        <v>1310</v>
      </c>
      <c r="EH10" s="95">
        <v>1310</v>
      </c>
      <c r="EI10" s="95">
        <v>1310</v>
      </c>
      <c r="EJ10" s="95">
        <v>1310</v>
      </c>
      <c r="EK10" s="95">
        <v>1310</v>
      </c>
      <c r="EL10" s="95">
        <v>1310</v>
      </c>
      <c r="EM10" s="95">
        <v>1310</v>
      </c>
      <c r="EN10" s="95">
        <v>1310</v>
      </c>
      <c r="EO10" s="95">
        <v>1310</v>
      </c>
      <c r="EP10" s="95">
        <v>1310</v>
      </c>
      <c r="EQ10" s="95">
        <v>1310</v>
      </c>
      <c r="ER10" s="95">
        <v>1310</v>
      </c>
      <c r="ES10" s="95">
        <v>1310</v>
      </c>
      <c r="ET10" s="95">
        <v>1310</v>
      </c>
      <c r="EU10" s="95">
        <v>1310</v>
      </c>
      <c r="EV10" s="95">
        <v>1310</v>
      </c>
      <c r="EW10" s="95">
        <v>1310</v>
      </c>
      <c r="EX10" s="95">
        <v>1310</v>
      </c>
      <c r="EY10" s="95">
        <v>1310</v>
      </c>
      <c r="EZ10" s="95">
        <v>1310</v>
      </c>
      <c r="FA10" s="95">
        <v>1310</v>
      </c>
      <c r="FB10" s="95">
        <v>1310</v>
      </c>
      <c r="FC10" s="95">
        <v>1310</v>
      </c>
      <c r="FD10" s="95">
        <v>1310</v>
      </c>
      <c r="FE10" s="95">
        <v>1310</v>
      </c>
      <c r="FF10" s="95">
        <v>1310</v>
      </c>
      <c r="FG10" s="95">
        <v>1310</v>
      </c>
      <c r="FH10" s="95">
        <v>1310</v>
      </c>
      <c r="FI10" s="95">
        <v>1310</v>
      </c>
      <c r="FJ10" s="95">
        <v>1310</v>
      </c>
      <c r="FK10" s="95">
        <v>1310</v>
      </c>
      <c r="FL10" s="95">
        <v>1310</v>
      </c>
      <c r="FM10" s="95">
        <v>1310</v>
      </c>
      <c r="FN10" s="95">
        <v>1310</v>
      </c>
      <c r="FO10" s="95">
        <v>1310</v>
      </c>
      <c r="FP10" s="95">
        <v>1310</v>
      </c>
      <c r="FQ10" s="95">
        <v>1310</v>
      </c>
      <c r="FR10" s="95">
        <v>1310</v>
      </c>
      <c r="FS10" s="95">
        <v>1310</v>
      </c>
      <c r="FT10" s="95">
        <v>1310</v>
      </c>
      <c r="FU10" s="95">
        <v>1310</v>
      </c>
      <c r="FV10" s="95">
        <v>1310</v>
      </c>
      <c r="FW10" s="95">
        <v>1310</v>
      </c>
      <c r="FX10" s="95">
        <v>1310</v>
      </c>
      <c r="FY10" s="95">
        <v>1310</v>
      </c>
      <c r="FZ10" s="95">
        <v>1310</v>
      </c>
      <c r="GA10" s="95">
        <v>1310</v>
      </c>
      <c r="GB10" s="95">
        <v>1310</v>
      </c>
      <c r="GC10" s="95">
        <v>1310</v>
      </c>
      <c r="GD10" s="95">
        <v>1310</v>
      </c>
      <c r="GE10" s="95">
        <v>1310</v>
      </c>
      <c r="GF10" s="95">
        <v>1310</v>
      </c>
      <c r="GG10" s="95">
        <v>1310</v>
      </c>
      <c r="GH10" s="95">
        <v>1310</v>
      </c>
      <c r="GI10" s="95">
        <v>1310</v>
      </c>
      <c r="GJ10" s="95">
        <v>1310</v>
      </c>
      <c r="GK10" s="95">
        <v>1310</v>
      </c>
      <c r="GL10" s="95">
        <v>1310</v>
      </c>
      <c r="GM10" s="95">
        <v>1310</v>
      </c>
      <c r="GN10" s="95">
        <v>1310</v>
      </c>
      <c r="GO10" s="95">
        <v>1310</v>
      </c>
      <c r="GP10" s="95">
        <v>1310</v>
      </c>
      <c r="GQ10" s="95">
        <v>1310</v>
      </c>
      <c r="GR10" s="95">
        <v>1310</v>
      </c>
      <c r="GS10" s="95">
        <v>1310</v>
      </c>
      <c r="GT10" s="95">
        <v>1310</v>
      </c>
      <c r="GU10" s="95">
        <v>1310</v>
      </c>
      <c r="GV10" s="95">
        <v>1310</v>
      </c>
      <c r="GW10" s="95">
        <v>1310</v>
      </c>
      <c r="GX10" s="95">
        <v>1310</v>
      </c>
      <c r="GY10" s="95">
        <v>1310</v>
      </c>
      <c r="GZ10" s="95">
        <v>1310</v>
      </c>
      <c r="HA10" s="95">
        <v>1310</v>
      </c>
      <c r="HB10" s="95">
        <v>1310</v>
      </c>
    </row>
    <row r="11" spans="1:218" ht="14" hidden="1">
      <c r="A11" s="4"/>
      <c r="B11" s="8"/>
      <c r="C11" s="8"/>
      <c r="D11" s="4"/>
      <c r="E11" s="8"/>
      <c r="F11" s="8" t="s">
        <v>103</v>
      </c>
      <c r="G11" s="4"/>
      <c r="H11" s="136" t="s">
        <v>103</v>
      </c>
      <c r="I11" s="24"/>
      <c r="J11" s="10"/>
      <c r="K11" s="95">
        <f>K10+40</f>
        <v>1350</v>
      </c>
      <c r="L11" s="95">
        <f>L10+40</f>
        <v>1350</v>
      </c>
      <c r="M11" s="95">
        <f>M10+40</f>
        <v>1350</v>
      </c>
      <c r="N11" s="95">
        <f>N10+40</f>
        <v>1350</v>
      </c>
      <c r="O11" s="95">
        <f t="shared" si="0"/>
        <v>1350</v>
      </c>
      <c r="P11" s="95">
        <f t="shared" si="0"/>
        <v>1350</v>
      </c>
      <c r="Q11" s="95">
        <f t="shared" si="0"/>
        <v>1350</v>
      </c>
      <c r="R11" s="95">
        <f t="shared" ref="R11:W11" si="61">R10+40</f>
        <v>1350</v>
      </c>
      <c r="S11" s="160">
        <f t="shared" si="61"/>
        <v>1350</v>
      </c>
      <c r="T11" s="160">
        <f t="shared" si="61"/>
        <v>1350</v>
      </c>
      <c r="U11" s="160">
        <f t="shared" si="61"/>
        <v>1350</v>
      </c>
      <c r="V11" s="160">
        <f t="shared" si="61"/>
        <v>1350</v>
      </c>
      <c r="W11" s="160">
        <f t="shared" si="61"/>
        <v>1350</v>
      </c>
      <c r="X11" s="160">
        <f t="shared" ref="X11:Y11" si="62">X10+40</f>
        <v>1350</v>
      </c>
      <c r="Y11" s="160">
        <f t="shared" si="62"/>
        <v>1350</v>
      </c>
      <c r="Z11" s="160">
        <f t="shared" ref="Z11:AA11" si="63">Z10+40</f>
        <v>1350</v>
      </c>
      <c r="AA11" s="160">
        <f t="shared" si="63"/>
        <v>1350</v>
      </c>
      <c r="AB11" s="160">
        <f t="shared" ref="AB11:AC11" si="64">AB10+40</f>
        <v>1350</v>
      </c>
      <c r="AC11" s="160">
        <f t="shared" si="64"/>
        <v>1350</v>
      </c>
      <c r="AD11" s="160">
        <f t="shared" si="1"/>
        <v>1350</v>
      </c>
      <c r="AE11" s="160">
        <f t="shared" si="9"/>
        <v>1350</v>
      </c>
      <c r="AF11" s="160">
        <f t="shared" si="2"/>
        <v>1350</v>
      </c>
      <c r="AG11" s="160">
        <f>+SUM(EY11:FB11)/COUNT(EY11:FB11)</f>
        <v>1350</v>
      </c>
      <c r="AH11" s="160">
        <f t="shared" si="60"/>
        <v>1350</v>
      </c>
      <c r="AI11" s="160">
        <f t="shared" si="60"/>
        <v>1350</v>
      </c>
      <c r="AJ11" s="160">
        <f t="shared" si="60"/>
        <v>1350</v>
      </c>
      <c r="AK11" s="160">
        <f t="shared" si="60"/>
        <v>1350</v>
      </c>
      <c r="AL11" s="160">
        <f t="shared" si="60"/>
        <v>1350</v>
      </c>
      <c r="AM11" s="160">
        <f t="shared" si="60"/>
        <v>1350</v>
      </c>
      <c r="AN11" s="160">
        <f t="shared" si="60"/>
        <v>1350</v>
      </c>
      <c r="AO11" s="160">
        <f t="shared" si="60"/>
        <v>1350</v>
      </c>
      <c r="AP11" s="160">
        <f t="shared" si="60"/>
        <v>1350</v>
      </c>
      <c r="AQ11" s="160">
        <f t="shared" si="60"/>
        <v>1350</v>
      </c>
      <c r="AR11" s="160">
        <f t="shared" si="60"/>
        <v>1350</v>
      </c>
      <c r="AS11" s="160">
        <f t="shared" si="60"/>
        <v>1350</v>
      </c>
      <c r="AT11" s="160">
        <f t="shared" si="60"/>
        <v>1350</v>
      </c>
      <c r="AU11" s="160">
        <f t="shared" si="60"/>
        <v>1350</v>
      </c>
      <c r="AV11" s="160"/>
      <c r="AX11" s="4"/>
      <c r="AY11" s="8"/>
      <c r="AZ11" s="8" t="s">
        <v>103</v>
      </c>
      <c r="BA11" s="24"/>
      <c r="BB11" s="137">
        <f>BB10+40</f>
        <v>1350</v>
      </c>
      <c r="BC11" s="137">
        <f t="shared" ref="BC11:BY11" si="65">BC10+40</f>
        <v>1350</v>
      </c>
      <c r="BD11" s="137">
        <f t="shared" si="65"/>
        <v>1350</v>
      </c>
      <c r="BE11" s="137">
        <f t="shared" si="65"/>
        <v>1350</v>
      </c>
      <c r="BF11" s="137">
        <f t="shared" si="65"/>
        <v>1350</v>
      </c>
      <c r="BG11" s="137">
        <f t="shared" si="65"/>
        <v>1350</v>
      </c>
      <c r="BH11" s="137">
        <f t="shared" si="65"/>
        <v>1350</v>
      </c>
      <c r="BI11" s="137">
        <f t="shared" si="65"/>
        <v>1350</v>
      </c>
      <c r="BJ11" s="137">
        <f t="shared" si="65"/>
        <v>1350</v>
      </c>
      <c r="BK11" s="137">
        <f t="shared" si="65"/>
        <v>1350</v>
      </c>
      <c r="BL11" s="137">
        <f t="shared" si="65"/>
        <v>1350</v>
      </c>
      <c r="BM11" s="137">
        <f t="shared" si="65"/>
        <v>1350</v>
      </c>
      <c r="BN11" s="137">
        <f t="shared" si="65"/>
        <v>1350</v>
      </c>
      <c r="BO11" s="137">
        <f t="shared" si="65"/>
        <v>1350</v>
      </c>
      <c r="BP11" s="24">
        <f t="shared" si="65"/>
        <v>1350</v>
      </c>
      <c r="BQ11" s="24">
        <f t="shared" si="65"/>
        <v>1350</v>
      </c>
      <c r="BR11" s="24">
        <f t="shared" si="65"/>
        <v>1350</v>
      </c>
      <c r="BS11" s="24">
        <f t="shared" si="65"/>
        <v>1350</v>
      </c>
      <c r="BT11" s="24">
        <f t="shared" si="65"/>
        <v>1350</v>
      </c>
      <c r="BU11" s="24">
        <f t="shared" si="65"/>
        <v>1350</v>
      </c>
      <c r="BV11" s="24">
        <f t="shared" si="65"/>
        <v>1350</v>
      </c>
      <c r="BW11" s="24">
        <f t="shared" si="65"/>
        <v>1350</v>
      </c>
      <c r="BX11" s="24">
        <f t="shared" si="65"/>
        <v>1350</v>
      </c>
      <c r="BY11" s="24">
        <f t="shared" si="65"/>
        <v>1350</v>
      </c>
      <c r="BZ11" s="24">
        <f t="shared" ref="BZ11:CE11" si="66">BZ10+40</f>
        <v>1350</v>
      </c>
      <c r="CA11" s="24">
        <f t="shared" si="66"/>
        <v>1350</v>
      </c>
      <c r="CB11" s="24">
        <f t="shared" si="66"/>
        <v>1350</v>
      </c>
      <c r="CC11" s="24">
        <f t="shared" si="66"/>
        <v>1350</v>
      </c>
      <c r="CD11" s="24">
        <f t="shared" si="66"/>
        <v>1350</v>
      </c>
      <c r="CE11" s="24">
        <f t="shared" si="66"/>
        <v>1350</v>
      </c>
      <c r="CF11" s="24">
        <f t="shared" ref="CF11:CQ11" si="67">CF10+40</f>
        <v>1350</v>
      </c>
      <c r="CG11" s="24">
        <f t="shared" si="67"/>
        <v>1350</v>
      </c>
      <c r="CH11" s="24">
        <f t="shared" si="67"/>
        <v>1350</v>
      </c>
      <c r="CI11" s="24">
        <f t="shared" si="67"/>
        <v>1350</v>
      </c>
      <c r="CJ11" s="24">
        <f t="shared" si="67"/>
        <v>1350</v>
      </c>
      <c r="CK11" s="24">
        <f t="shared" si="67"/>
        <v>1350</v>
      </c>
      <c r="CL11" s="24">
        <f t="shared" si="67"/>
        <v>1350</v>
      </c>
      <c r="CM11" s="24">
        <f t="shared" si="67"/>
        <v>1350</v>
      </c>
      <c r="CN11" s="24">
        <f t="shared" si="67"/>
        <v>1350</v>
      </c>
      <c r="CO11" s="24">
        <f t="shared" si="67"/>
        <v>1350</v>
      </c>
      <c r="CP11" s="24">
        <f t="shared" si="67"/>
        <v>1350</v>
      </c>
      <c r="CQ11" s="24">
        <f t="shared" si="67"/>
        <v>1350</v>
      </c>
      <c r="CR11" s="24">
        <f t="shared" ref="CR11:CS11" si="68">CR10+40</f>
        <v>1350</v>
      </c>
      <c r="CS11" s="24">
        <f t="shared" si="68"/>
        <v>1350</v>
      </c>
      <c r="CT11" s="24">
        <f t="shared" ref="CT11:CU11" si="69">CT10+40</f>
        <v>1350</v>
      </c>
      <c r="CU11" s="24">
        <f t="shared" si="69"/>
        <v>1350</v>
      </c>
      <c r="CV11" s="24">
        <f t="shared" ref="CV11:CW11" si="70">CV10+40</f>
        <v>1350</v>
      </c>
      <c r="CW11" s="24">
        <f t="shared" si="70"/>
        <v>1350</v>
      </c>
      <c r="CX11" s="24">
        <f t="shared" ref="CX11:CZ11" si="71">CX10+40</f>
        <v>1350</v>
      </c>
      <c r="CY11" s="24">
        <f t="shared" si="71"/>
        <v>1350</v>
      </c>
      <c r="CZ11" s="24">
        <f t="shared" si="71"/>
        <v>1350</v>
      </c>
      <c r="DA11" s="24">
        <f t="shared" ref="DA11:DB11" si="72">DA10+40</f>
        <v>1350</v>
      </c>
      <c r="DB11" s="24">
        <f t="shared" si="72"/>
        <v>1350</v>
      </c>
      <c r="DC11" s="24">
        <f t="shared" ref="DC11:DD11" si="73">DC10+40</f>
        <v>1350</v>
      </c>
      <c r="DD11" s="24">
        <f t="shared" si="73"/>
        <v>1350</v>
      </c>
      <c r="DE11" s="24">
        <f t="shared" ref="DE11:DF11" si="74">DE10+40</f>
        <v>1350</v>
      </c>
      <c r="DF11" s="24">
        <f t="shared" si="74"/>
        <v>1350</v>
      </c>
      <c r="DG11" s="24">
        <f t="shared" ref="DG11:DH11" si="75">DG10+40</f>
        <v>1350</v>
      </c>
      <c r="DH11" s="24">
        <f t="shared" si="75"/>
        <v>1350</v>
      </c>
      <c r="DI11" s="24">
        <f t="shared" ref="DI11:DJ11" si="76">DI10+40</f>
        <v>1350</v>
      </c>
      <c r="DJ11" s="24">
        <f t="shared" si="76"/>
        <v>1350</v>
      </c>
      <c r="DK11" s="24">
        <f t="shared" ref="DK11:DL11" si="77">DK10+40</f>
        <v>1350</v>
      </c>
      <c r="DL11" s="24">
        <f t="shared" si="77"/>
        <v>1350</v>
      </c>
      <c r="DM11" s="24">
        <f t="shared" ref="DM11:DR11" si="78">DM10+40</f>
        <v>1350</v>
      </c>
      <c r="DN11" s="24">
        <f t="shared" si="78"/>
        <v>1350</v>
      </c>
      <c r="DO11" s="24">
        <f t="shared" si="78"/>
        <v>1350</v>
      </c>
      <c r="DP11" s="24">
        <f t="shared" si="78"/>
        <v>1350</v>
      </c>
      <c r="DQ11" s="24">
        <f t="shared" si="78"/>
        <v>1350</v>
      </c>
      <c r="DR11" s="24">
        <f t="shared" si="78"/>
        <v>1350</v>
      </c>
      <c r="DS11" s="24">
        <f t="shared" ref="DS11:DT11" si="79">DS10+40</f>
        <v>1350</v>
      </c>
      <c r="DT11" s="24">
        <f t="shared" si="79"/>
        <v>1350</v>
      </c>
      <c r="DU11" s="24">
        <f t="shared" ref="DU11:DV11" si="80">DU10+40</f>
        <v>1350</v>
      </c>
      <c r="DV11" s="24">
        <f t="shared" si="80"/>
        <v>1350</v>
      </c>
      <c r="DW11" s="24">
        <f t="shared" ref="DW11:DX11" si="81">DW10+40</f>
        <v>1350</v>
      </c>
      <c r="DX11" s="24">
        <f t="shared" si="81"/>
        <v>1350</v>
      </c>
      <c r="DY11" s="24">
        <f t="shared" ref="DY11:EA11" si="82">DY10+40</f>
        <v>1350</v>
      </c>
      <c r="DZ11" s="24">
        <f t="shared" si="82"/>
        <v>1350</v>
      </c>
      <c r="EA11" s="24">
        <f t="shared" si="82"/>
        <v>1350</v>
      </c>
      <c r="EB11" s="24">
        <f t="shared" ref="EB11:EC11" si="83">EB10+40</f>
        <v>1350</v>
      </c>
      <c r="EC11" s="24">
        <f t="shared" si="83"/>
        <v>1350</v>
      </c>
      <c r="ED11" s="24">
        <f t="shared" ref="ED11:EE11" si="84">ED10+40</f>
        <v>1350</v>
      </c>
      <c r="EE11" s="24">
        <f t="shared" si="84"/>
        <v>1350</v>
      </c>
      <c r="EF11" s="24">
        <f t="shared" ref="EF11:EG11" si="85">EF10+40</f>
        <v>1350</v>
      </c>
      <c r="EG11" s="24">
        <f t="shared" si="85"/>
        <v>1350</v>
      </c>
      <c r="EH11" s="24">
        <f t="shared" ref="EH11:EI11" si="86">EH10+40</f>
        <v>1350</v>
      </c>
      <c r="EI11" s="24">
        <f t="shared" si="86"/>
        <v>1350</v>
      </c>
      <c r="EJ11" s="24">
        <f t="shared" ref="EJ11:EK11" si="87">EJ10+40</f>
        <v>1350</v>
      </c>
      <c r="EK11" s="24">
        <f t="shared" si="87"/>
        <v>1350</v>
      </c>
      <c r="EL11" s="24">
        <f t="shared" ref="EL11:EM11" si="88">EL10+40</f>
        <v>1350</v>
      </c>
      <c r="EM11" s="24">
        <f t="shared" si="88"/>
        <v>1350</v>
      </c>
      <c r="EN11" s="24">
        <f t="shared" ref="EN11:EO11" si="89">EN10+40</f>
        <v>1350</v>
      </c>
      <c r="EO11" s="24">
        <f t="shared" si="89"/>
        <v>1350</v>
      </c>
      <c r="EP11" s="24">
        <f t="shared" ref="EP11:ET11" si="90">EP10+40</f>
        <v>1350</v>
      </c>
      <c r="EQ11" s="24">
        <f t="shared" si="90"/>
        <v>1350</v>
      </c>
      <c r="ER11" s="24">
        <f t="shared" si="90"/>
        <v>1350</v>
      </c>
      <c r="ES11" s="24">
        <f t="shared" si="90"/>
        <v>1350</v>
      </c>
      <c r="ET11" s="24">
        <f t="shared" si="90"/>
        <v>1350</v>
      </c>
      <c r="EU11" s="24">
        <f t="shared" ref="EU11:EX11" si="91">EU10+40</f>
        <v>1350</v>
      </c>
      <c r="EV11" s="24">
        <f t="shared" si="91"/>
        <v>1350</v>
      </c>
      <c r="EW11" s="24">
        <f t="shared" si="91"/>
        <v>1350</v>
      </c>
      <c r="EX11" s="24">
        <f t="shared" si="91"/>
        <v>1350</v>
      </c>
      <c r="EY11" s="24">
        <f t="shared" ref="EY11:EZ11" si="92">EY10+40</f>
        <v>1350</v>
      </c>
      <c r="EZ11" s="24">
        <f t="shared" si="92"/>
        <v>1350</v>
      </c>
      <c r="FA11" s="24">
        <f t="shared" ref="FA11:FB11" si="93">FA10+40</f>
        <v>1350</v>
      </c>
      <c r="FB11" s="24">
        <f t="shared" si="93"/>
        <v>1350</v>
      </c>
      <c r="FC11" s="24">
        <f t="shared" ref="FC11:FD11" si="94">FC10+40</f>
        <v>1350</v>
      </c>
      <c r="FD11" s="24">
        <f t="shared" si="94"/>
        <v>1350</v>
      </c>
      <c r="FE11" s="24">
        <f t="shared" ref="FE11:FF11" si="95">FE10+40</f>
        <v>1350</v>
      </c>
      <c r="FF11" s="24">
        <f t="shared" si="95"/>
        <v>1350</v>
      </c>
      <c r="FG11" s="24">
        <f t="shared" ref="FG11:FJ11" si="96">FG10+40</f>
        <v>1350</v>
      </c>
      <c r="FH11" s="24">
        <f t="shared" si="96"/>
        <v>1350</v>
      </c>
      <c r="FI11" s="24">
        <f t="shared" si="96"/>
        <v>1350</v>
      </c>
      <c r="FJ11" s="24">
        <f t="shared" si="96"/>
        <v>1350</v>
      </c>
      <c r="FK11" s="24">
        <f t="shared" ref="FK11:FN11" si="97">FK10+40</f>
        <v>1350</v>
      </c>
      <c r="FL11" s="24">
        <f t="shared" si="97"/>
        <v>1350</v>
      </c>
      <c r="FM11" s="24">
        <f t="shared" si="97"/>
        <v>1350</v>
      </c>
      <c r="FN11" s="24">
        <f t="shared" si="97"/>
        <v>1350</v>
      </c>
      <c r="FO11" s="24">
        <f t="shared" ref="FO11:FS11" si="98">FO10+40</f>
        <v>1350</v>
      </c>
      <c r="FP11" s="24">
        <f t="shared" si="98"/>
        <v>1350</v>
      </c>
      <c r="FQ11" s="24">
        <f t="shared" si="98"/>
        <v>1350</v>
      </c>
      <c r="FR11" s="24">
        <f t="shared" si="98"/>
        <v>1350</v>
      </c>
      <c r="FS11" s="24">
        <f t="shared" si="98"/>
        <v>1350</v>
      </c>
      <c r="FT11" s="24">
        <f t="shared" ref="FT11:FW11" si="99">FT10+40</f>
        <v>1350</v>
      </c>
      <c r="FU11" s="24">
        <f t="shared" si="99"/>
        <v>1350</v>
      </c>
      <c r="FV11" s="24">
        <f t="shared" si="99"/>
        <v>1350</v>
      </c>
      <c r="FW11" s="24">
        <f t="shared" si="99"/>
        <v>1350</v>
      </c>
      <c r="FX11" s="24">
        <f t="shared" ref="FX11:GB11" si="100">FX10+40</f>
        <v>1350</v>
      </c>
      <c r="FY11" s="24">
        <f t="shared" si="100"/>
        <v>1350</v>
      </c>
      <c r="FZ11" s="24">
        <f t="shared" si="100"/>
        <v>1350</v>
      </c>
      <c r="GA11" s="24">
        <f t="shared" si="100"/>
        <v>1350</v>
      </c>
      <c r="GB11" s="24">
        <f t="shared" si="100"/>
        <v>1350</v>
      </c>
      <c r="GC11" s="24">
        <f t="shared" ref="GC11:GF11" si="101">GC10+40</f>
        <v>1350</v>
      </c>
      <c r="GD11" s="24">
        <f t="shared" si="101"/>
        <v>1350</v>
      </c>
      <c r="GE11" s="24">
        <f t="shared" si="101"/>
        <v>1350</v>
      </c>
      <c r="GF11" s="24">
        <f t="shared" si="101"/>
        <v>1350</v>
      </c>
      <c r="GG11" s="24">
        <f t="shared" ref="GG11:GI11" si="102">GG10+40</f>
        <v>1350</v>
      </c>
      <c r="GH11" s="24">
        <f t="shared" si="102"/>
        <v>1350</v>
      </c>
      <c r="GI11" s="24">
        <f t="shared" si="102"/>
        <v>1350</v>
      </c>
      <c r="GJ11" s="24">
        <f t="shared" ref="GJ11:GO11" si="103">GJ10+40</f>
        <v>1350</v>
      </c>
      <c r="GK11" s="24">
        <f t="shared" si="103"/>
        <v>1350</v>
      </c>
      <c r="GL11" s="24">
        <f t="shared" si="103"/>
        <v>1350</v>
      </c>
      <c r="GM11" s="24">
        <f t="shared" si="103"/>
        <v>1350</v>
      </c>
      <c r="GN11" s="24">
        <f t="shared" si="103"/>
        <v>1350</v>
      </c>
      <c r="GO11" s="24">
        <f t="shared" si="103"/>
        <v>1350</v>
      </c>
      <c r="GP11" s="24">
        <f t="shared" ref="GP11:GS11" si="104">GP10+40</f>
        <v>1350</v>
      </c>
      <c r="GQ11" s="24">
        <f t="shared" si="104"/>
        <v>1350</v>
      </c>
      <c r="GR11" s="24">
        <f t="shared" si="104"/>
        <v>1350</v>
      </c>
      <c r="GS11" s="24">
        <f t="shared" si="104"/>
        <v>1350</v>
      </c>
      <c r="GT11" s="24">
        <f t="shared" ref="GT11:GW11" si="105">GT10+40</f>
        <v>1350</v>
      </c>
      <c r="GU11" s="24">
        <f t="shared" si="105"/>
        <v>1350</v>
      </c>
      <c r="GV11" s="24">
        <f t="shared" si="105"/>
        <v>1350</v>
      </c>
      <c r="GW11" s="24">
        <f t="shared" si="105"/>
        <v>1350</v>
      </c>
      <c r="GX11" s="24">
        <f t="shared" ref="GX11:HB11" si="106">GX10+40</f>
        <v>1350</v>
      </c>
      <c r="GY11" s="24">
        <f t="shared" si="106"/>
        <v>1350</v>
      </c>
      <c r="GZ11" s="24">
        <f t="shared" si="106"/>
        <v>1350</v>
      </c>
      <c r="HA11" s="24">
        <f t="shared" si="106"/>
        <v>1350</v>
      </c>
      <c r="HB11" s="24">
        <f t="shared" si="106"/>
        <v>1350</v>
      </c>
    </row>
    <row r="12" spans="1:218" s="13" customFormat="1" ht="14" hidden="1">
      <c r="A12" s="54">
        <v>9</v>
      </c>
      <c r="B12" s="55"/>
      <c r="C12" s="55"/>
      <c r="D12" s="106" t="s">
        <v>37</v>
      </c>
      <c r="E12" s="55" t="s">
        <v>38</v>
      </c>
      <c r="F12" s="55" t="s">
        <v>131</v>
      </c>
      <c r="G12" s="54" t="s">
        <v>24</v>
      </c>
      <c r="H12" s="111" t="str">
        <f>F12</f>
        <v>Hạt rHD ép (Châu Âu)-ICIS</v>
      </c>
      <c r="I12" s="129">
        <f>+SUM(BB12:BE12)/COUNT(BB12:BE12)</f>
        <v>1808.0749999999998</v>
      </c>
      <c r="J12" s="129">
        <f>+SUM(BF12:BI12)/COUNT(BF12:BI12)</f>
        <v>1790.9825000000001</v>
      </c>
      <c r="K12" s="129">
        <f>+SUM(BJ12:BN12)/COUNT(BJ12:BN12)</f>
        <v>1811.1759999999999</v>
      </c>
      <c r="L12" s="129">
        <f>+SUM(BO12:BR12)/COUNT(BO12:BR12)</f>
        <v>1850.0975000000001</v>
      </c>
      <c r="M12" s="129">
        <f>+SUM(BS12:BV12)/COUNT(BS12:BV12)</f>
        <v>1812.9749999999999</v>
      </c>
      <c r="N12" s="129">
        <f>+SUM(BW12:BZ12)/COUNT(BW12:BZ12)</f>
        <v>1828.0925</v>
      </c>
      <c r="O12" s="129">
        <f>+SUM(CA12:CD12)/COUNT(CA12:CD12)</f>
        <v>1851.3874999999998</v>
      </c>
      <c r="P12" s="129">
        <f>+SUM(CE12:CI12)/COUNT(CE12:CI12)</f>
        <v>1836.61</v>
      </c>
      <c r="Q12" s="129">
        <f>+SUM(CJ12:CM12)/COUNT(CJ12:CM12)</f>
        <v>1800.0174999999999</v>
      </c>
      <c r="R12" s="129">
        <f>+SUM(CN12:CQ12)/COUNT(CN12:CQ12)</f>
        <v>1790.5</v>
      </c>
      <c r="S12" s="161">
        <f>+SUM(CR12:CU12)/COUNT(CR12:CU12)</f>
        <v>1790.5</v>
      </c>
      <c r="T12" s="161">
        <f>+SUM(CV12:CZ12)/COUNT(CV12:CZ12)</f>
        <v>1790.5</v>
      </c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X12" s="54" t="s">
        <v>37</v>
      </c>
      <c r="AY12" s="55" t="s">
        <v>38</v>
      </c>
      <c r="AZ12" s="111" t="str">
        <f>H12</f>
        <v>Hạt rHD ép (Châu Âu)-ICIS</v>
      </c>
      <c r="BA12" s="114" t="e">
        <f>#REF!</f>
        <v>#REF!</v>
      </c>
      <c r="BB12" s="129">
        <v>1766.9</v>
      </c>
      <c r="BC12" s="129">
        <v>1815.71</v>
      </c>
      <c r="BD12" s="129">
        <v>1812.54</v>
      </c>
      <c r="BE12" s="129">
        <v>1837.15</v>
      </c>
      <c r="BF12" s="129">
        <v>1808.07</v>
      </c>
      <c r="BG12" s="129">
        <v>1793.1</v>
      </c>
      <c r="BH12" s="129">
        <v>1780.19</v>
      </c>
      <c r="BI12" s="129">
        <v>1782.57</v>
      </c>
      <c r="BJ12" s="129">
        <v>1775.65</v>
      </c>
      <c r="BK12" s="129">
        <v>1784.19</v>
      </c>
      <c r="BL12" s="129">
        <v>1829.54</v>
      </c>
      <c r="BM12" s="129">
        <v>1831.03</v>
      </c>
      <c r="BN12" s="129">
        <v>1835.47</v>
      </c>
      <c r="BO12" s="129">
        <v>1857.14</v>
      </c>
      <c r="BP12" s="130">
        <v>1842.99</v>
      </c>
      <c r="BQ12" s="130">
        <v>1850.83</v>
      </c>
      <c r="BR12" s="130">
        <v>1849.43</v>
      </c>
      <c r="BS12" s="130">
        <v>1833.85</v>
      </c>
      <c r="BT12" s="130">
        <v>1810.28</v>
      </c>
      <c r="BU12" s="130">
        <v>1801.57</v>
      </c>
      <c r="BV12" s="130">
        <v>1806.2</v>
      </c>
      <c r="BW12" s="130">
        <v>1811.01</v>
      </c>
      <c r="BX12" s="130">
        <v>1836.62</v>
      </c>
      <c r="BY12" s="130">
        <v>1836.62</v>
      </c>
      <c r="BZ12" s="58">
        <v>1828.12</v>
      </c>
      <c r="CA12" s="58">
        <v>1828.12</v>
      </c>
      <c r="CB12" s="58">
        <v>1826.4</v>
      </c>
      <c r="CC12" s="58">
        <v>1880.29</v>
      </c>
      <c r="CD12" s="58">
        <v>1870.74</v>
      </c>
      <c r="CE12" s="58">
        <v>1848.04</v>
      </c>
      <c r="CF12" s="58">
        <v>1838.9</v>
      </c>
      <c r="CG12" s="58">
        <v>1850.63</v>
      </c>
      <c r="CH12" s="58">
        <v>1826.65</v>
      </c>
      <c r="CI12" s="102">
        <v>1818.83</v>
      </c>
      <c r="CJ12" s="102">
        <v>1820.88</v>
      </c>
      <c r="CK12" s="102">
        <v>1798.19</v>
      </c>
      <c r="CL12" s="102">
        <v>1790.5</v>
      </c>
      <c r="CM12" s="102">
        <v>1790.5</v>
      </c>
      <c r="CN12" s="102">
        <v>1790.5</v>
      </c>
      <c r="CO12" s="102">
        <v>1790.5</v>
      </c>
      <c r="CP12" s="102">
        <v>1790.5</v>
      </c>
      <c r="CQ12" s="102">
        <v>1790.5</v>
      </c>
      <c r="CR12" s="102">
        <v>1790.5</v>
      </c>
      <c r="CS12" s="102">
        <v>1790.5</v>
      </c>
      <c r="CT12" s="102">
        <v>1790.5</v>
      </c>
      <c r="CU12" s="102">
        <v>1790.5</v>
      </c>
      <c r="CV12" s="102">
        <v>1790.5</v>
      </c>
      <c r="CW12" s="102">
        <v>1790.5</v>
      </c>
      <c r="CX12" s="102">
        <v>1790.5</v>
      </c>
      <c r="CY12" s="102">
        <v>1790.5</v>
      </c>
      <c r="CZ12" s="102">
        <v>1790.5</v>
      </c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</row>
    <row r="13" spans="1:218" ht="14">
      <c r="D13" s="54" t="s">
        <v>41</v>
      </c>
      <c r="E13" s="25"/>
      <c r="F13" s="59" t="s">
        <v>130</v>
      </c>
      <c r="G13" s="54" t="s">
        <v>24</v>
      </c>
      <c r="H13" s="111" t="str">
        <f>F13</f>
        <v>RESIN</v>
      </c>
      <c r="I13" s="129">
        <f>+SUM(BB13:BE13)/COUNT(BB13:BE13)</f>
        <v>1017.5</v>
      </c>
      <c r="J13" s="129">
        <f>+SUM(BF13:BI13)/COUNT(BF13:BI13)</f>
        <v>1092.5</v>
      </c>
      <c r="K13" s="129">
        <f>+SUM(BJ13:BN13)/COUNT(BJ13:BN13)</f>
        <v>1068</v>
      </c>
      <c r="L13" s="129">
        <f>+SUM(BO13:BR13)/COUNT(BO13:BR13)</f>
        <v>1050</v>
      </c>
      <c r="M13" s="129">
        <f>+SUM(BS13:BV13)/COUNT(BS13:BV13)</f>
        <v>1042.5</v>
      </c>
      <c r="N13" s="129">
        <f>+SUM(BW13:BZ13)/COUNT(BW13:BZ13)</f>
        <v>970</v>
      </c>
      <c r="O13" s="129">
        <f>+SUM(CA13:CD13)/COUNT(CA13:CD13)</f>
        <v>960</v>
      </c>
      <c r="P13" s="129">
        <f>+SUM(CE13:CI13)/COUNT(CE13:CI13)</f>
        <v>1008</v>
      </c>
      <c r="Q13" s="129">
        <f>+SUM(CJ13:CM13)/COUNT(CJ13:CM13)</f>
        <v>1027.5</v>
      </c>
      <c r="R13" s="129">
        <f>+SUM(CN13:CQ13)/COUNT(CN13:CQ13)</f>
        <v>1020</v>
      </c>
      <c r="S13" s="161">
        <f>+SUM(CR13:CU13)/COUNT(CR13:CU13)</f>
        <v>955</v>
      </c>
      <c r="T13" s="161">
        <f>+SUM(CV13:CZ13)/COUNT(CV13:CZ13)</f>
        <v>900</v>
      </c>
      <c r="U13" s="161">
        <f>+SUM(DA13:DD13)/COUNT(DA13:DD13)</f>
        <v>947.5</v>
      </c>
      <c r="V13" s="161">
        <f>+SUM(DE13:DG13)/COUNT(DE13:DG13)</f>
        <v>1010</v>
      </c>
      <c r="W13" s="161">
        <f>+SUM(DH13:DK13)/COUNT(DH13:DK13)</f>
        <v>995</v>
      </c>
      <c r="X13" s="161">
        <f>+SUM(DL13:DO13)/COUNT(DL13:DO13)</f>
        <v>975</v>
      </c>
      <c r="Y13" s="169">
        <f>+SUM(DP13:DT13)/COUNT(DP13:DT13)</f>
        <v>956</v>
      </c>
      <c r="Z13" s="161">
        <f>+SUM(DU13:DX13)/COUNT(DU13:DX13)</f>
        <v>980</v>
      </c>
      <c r="AA13" s="161">
        <f>+SUM(DY13:EB13)/COUNT(DY13:EB13)</f>
        <v>975</v>
      </c>
      <c r="AB13" s="161">
        <f>+SUM(EC13:EG13)/COUNT(EC13:EG13)</f>
        <v>946</v>
      </c>
      <c r="AC13" s="161">
        <f>+SUM(EH13:EK13)/COUNT(EH13:EK13)</f>
        <v>932.5</v>
      </c>
      <c r="AD13" s="161">
        <f>+SUM(EM13:EO13)/COUNT(EM13:EO13)</f>
        <v>926.66666666666663</v>
      </c>
      <c r="AE13" s="161">
        <f t="shared" si="9"/>
        <v>940</v>
      </c>
      <c r="AF13" s="161">
        <f>+SUM(EU13:EX13)/COUNT(EU13:EX13)</f>
        <v>940</v>
      </c>
      <c r="AG13" s="161">
        <f>+SUM(EY13:FB13)/COUNT(EY13:FB13)</f>
        <v>940</v>
      </c>
      <c r="AH13" s="161">
        <f>+SUM(FC13:FG13)/COUNT(FC13:FG13)</f>
        <v>946</v>
      </c>
      <c r="AI13" s="161">
        <f>+SUM(FG13:FJ13)/COUNT(FG13:FJ13)</f>
        <v>940</v>
      </c>
      <c r="AJ13" s="169">
        <f>+SUM(FK13:FN13)/COUNT(FK13:FN13)</f>
        <v>905</v>
      </c>
      <c r="AK13" s="169">
        <f>+SUM(FO13:FS13)/COUNT(FO13:FS13)</f>
        <v>908</v>
      </c>
      <c r="AL13" s="169">
        <f>+SUM(FT13:FW13)/COUNT(FT13:FW13)</f>
        <v>915</v>
      </c>
      <c r="AM13" s="169">
        <f>+SUM(FX13:GB13)/COUNT(FX13:GB13)</f>
        <v>930</v>
      </c>
      <c r="AN13" s="169">
        <f>+SUM(GC13:GF13)/COUNT(GC13:GF13)</f>
        <v>930</v>
      </c>
      <c r="AO13" s="161">
        <f>+SUM(GG13:GJ13)/COUNT(GG13:GJ13)</f>
        <v>915</v>
      </c>
      <c r="AP13" s="169">
        <f>+SUM(GK13:GO13)/COUNT(GK13:GO13)</f>
        <v>870</v>
      </c>
      <c r="AQ13" s="161">
        <f>+SUM(GP13:GS13)/COUNT(GP13:GS13)</f>
        <v>840</v>
      </c>
      <c r="AR13" s="161">
        <f>+SUM(GT13:GW13)/COUNT(GT13:GW13)</f>
        <v>830</v>
      </c>
      <c r="AS13" s="161">
        <f>+SUM(GX13:HB13)/COUNT(GX13:HB13)</f>
        <v>830</v>
      </c>
      <c r="AT13" s="161">
        <f>+SUM(HC13:HF13)/COUNT(HC13:HF13)</f>
        <v>830</v>
      </c>
      <c r="AU13" s="161">
        <f>+SUM(HG13:HJ13)/COUNT(HG13:HJ13)</f>
        <v>1268.75</v>
      </c>
      <c r="AV13" s="161">
        <v>1450</v>
      </c>
      <c r="AW13" s="51"/>
      <c r="AX13" s="54" t="s">
        <v>41</v>
      </c>
      <c r="AY13" s="25"/>
      <c r="AZ13" s="111" t="str">
        <f>H13</f>
        <v>RESIN</v>
      </c>
      <c r="BA13" s="56">
        <v>1000</v>
      </c>
      <c r="BB13" s="56">
        <v>940</v>
      </c>
      <c r="BC13" s="56">
        <v>1020</v>
      </c>
      <c r="BD13" s="56">
        <v>1030</v>
      </c>
      <c r="BE13" s="132">
        <v>1080</v>
      </c>
      <c r="BF13" s="132">
        <v>1100</v>
      </c>
      <c r="BG13" s="132">
        <v>1100</v>
      </c>
      <c r="BH13" s="132">
        <v>1090</v>
      </c>
      <c r="BI13" s="132">
        <v>1080</v>
      </c>
      <c r="BJ13" s="132">
        <v>1080</v>
      </c>
      <c r="BK13" s="132">
        <v>1070</v>
      </c>
      <c r="BL13" s="132">
        <v>1070</v>
      </c>
      <c r="BM13" s="132">
        <v>1070</v>
      </c>
      <c r="BN13" s="132">
        <v>1050</v>
      </c>
      <c r="BO13" s="132">
        <v>1050</v>
      </c>
      <c r="BP13" s="132">
        <v>1050</v>
      </c>
      <c r="BQ13" s="132">
        <v>1050</v>
      </c>
      <c r="BR13" s="132">
        <v>1050</v>
      </c>
      <c r="BS13" s="132">
        <v>1050</v>
      </c>
      <c r="BT13" s="132">
        <v>1050</v>
      </c>
      <c r="BU13" s="132">
        <v>1040</v>
      </c>
      <c r="BV13" s="132">
        <v>1030</v>
      </c>
      <c r="BW13" s="132">
        <v>1030</v>
      </c>
      <c r="BX13" s="132">
        <v>950</v>
      </c>
      <c r="BY13" s="132">
        <v>950</v>
      </c>
      <c r="BZ13" s="132">
        <v>950</v>
      </c>
      <c r="CA13" s="141">
        <v>950</v>
      </c>
      <c r="CB13" s="141">
        <v>950</v>
      </c>
      <c r="CC13" s="141">
        <v>970</v>
      </c>
      <c r="CD13" s="141">
        <v>970</v>
      </c>
      <c r="CE13" s="141">
        <v>1000</v>
      </c>
      <c r="CF13" s="141">
        <v>1000</v>
      </c>
      <c r="CG13" s="141">
        <v>1000</v>
      </c>
      <c r="CH13" s="141">
        <v>1020</v>
      </c>
      <c r="CI13" s="147">
        <v>1020</v>
      </c>
      <c r="CJ13" s="147">
        <v>1020</v>
      </c>
      <c r="CK13" s="147">
        <v>1030</v>
      </c>
      <c r="CL13" s="147">
        <v>1030</v>
      </c>
      <c r="CM13" s="147">
        <v>1030</v>
      </c>
      <c r="CN13" s="147">
        <v>1030</v>
      </c>
      <c r="CO13" s="147">
        <v>1030</v>
      </c>
      <c r="CP13" s="147">
        <v>1020</v>
      </c>
      <c r="CQ13" s="147">
        <v>1000</v>
      </c>
      <c r="CR13" s="147">
        <v>980</v>
      </c>
      <c r="CS13" s="147">
        <v>960</v>
      </c>
      <c r="CT13" s="147">
        <v>940</v>
      </c>
      <c r="CU13" s="147">
        <v>940</v>
      </c>
      <c r="CV13" s="147">
        <v>900</v>
      </c>
      <c r="CW13" s="147">
        <v>900</v>
      </c>
      <c r="CX13" s="147">
        <v>900</v>
      </c>
      <c r="CY13" s="147">
        <v>900</v>
      </c>
      <c r="CZ13" s="147">
        <v>900</v>
      </c>
      <c r="DA13" s="147">
        <v>900</v>
      </c>
      <c r="DB13" s="147">
        <v>930</v>
      </c>
      <c r="DC13" s="147">
        <v>930</v>
      </c>
      <c r="DD13" s="147">
        <v>1030</v>
      </c>
      <c r="DE13" s="147">
        <v>1030</v>
      </c>
      <c r="DF13" s="147">
        <v>1000</v>
      </c>
      <c r="DG13" s="147">
        <v>1000</v>
      </c>
      <c r="DH13" s="147">
        <v>1000</v>
      </c>
      <c r="DI13" s="147">
        <v>1000</v>
      </c>
      <c r="DJ13" s="147">
        <v>1000</v>
      </c>
      <c r="DK13" s="147">
        <v>980</v>
      </c>
      <c r="DL13" s="147">
        <v>980</v>
      </c>
      <c r="DM13" s="147">
        <v>980</v>
      </c>
      <c r="DN13" s="147">
        <v>980</v>
      </c>
      <c r="DO13" s="147">
        <v>960</v>
      </c>
      <c r="DP13" s="147">
        <v>950</v>
      </c>
      <c r="DQ13" s="147">
        <v>950</v>
      </c>
      <c r="DR13" s="147">
        <v>950</v>
      </c>
      <c r="DS13" s="147">
        <v>950</v>
      </c>
      <c r="DT13" s="147">
        <v>980</v>
      </c>
      <c r="DU13" s="147">
        <v>980</v>
      </c>
      <c r="DV13" s="147">
        <v>980</v>
      </c>
      <c r="DW13" s="147">
        <v>980</v>
      </c>
      <c r="DX13" s="147">
        <v>980</v>
      </c>
      <c r="DY13" s="147">
        <v>980</v>
      </c>
      <c r="DZ13" s="147">
        <v>980</v>
      </c>
      <c r="EA13" s="147">
        <v>980</v>
      </c>
      <c r="EB13" s="147">
        <v>960</v>
      </c>
      <c r="EC13" s="147">
        <v>950</v>
      </c>
      <c r="ED13" s="147">
        <v>950</v>
      </c>
      <c r="EE13" s="147">
        <v>950</v>
      </c>
      <c r="EF13" s="147">
        <v>940</v>
      </c>
      <c r="EG13" s="147">
        <v>940</v>
      </c>
      <c r="EH13" s="147">
        <v>940</v>
      </c>
      <c r="EI13" s="147">
        <v>930</v>
      </c>
      <c r="EJ13" s="147">
        <v>930</v>
      </c>
      <c r="EK13" s="147">
        <v>930</v>
      </c>
      <c r="EL13" s="147">
        <v>920</v>
      </c>
      <c r="EM13" s="147">
        <v>920</v>
      </c>
      <c r="EN13" s="147">
        <v>920</v>
      </c>
      <c r="EO13" s="147">
        <v>940</v>
      </c>
      <c r="EP13" s="147">
        <v>940</v>
      </c>
      <c r="EQ13" s="147">
        <v>940</v>
      </c>
      <c r="ER13" s="147">
        <v>940</v>
      </c>
      <c r="ES13" s="147">
        <v>940</v>
      </c>
      <c r="ET13" s="147">
        <v>940</v>
      </c>
      <c r="EU13" s="147">
        <v>940</v>
      </c>
      <c r="EV13" s="147">
        <v>940</v>
      </c>
      <c r="EW13" s="147">
        <v>940</v>
      </c>
      <c r="EX13" s="147">
        <v>940</v>
      </c>
      <c r="EY13" s="147">
        <v>940</v>
      </c>
      <c r="EZ13" s="147">
        <v>940</v>
      </c>
      <c r="FA13" s="147">
        <v>940</v>
      </c>
      <c r="FB13" s="147">
        <v>940</v>
      </c>
      <c r="FC13" s="147">
        <v>940</v>
      </c>
      <c r="FD13" s="147">
        <v>940</v>
      </c>
      <c r="FE13" s="147">
        <v>950</v>
      </c>
      <c r="FF13" s="147">
        <v>950</v>
      </c>
      <c r="FG13" s="147">
        <v>950</v>
      </c>
      <c r="FH13" s="147">
        <v>950</v>
      </c>
      <c r="FI13" s="147">
        <v>950</v>
      </c>
      <c r="FJ13" s="147">
        <v>910</v>
      </c>
      <c r="FK13" s="147">
        <v>910</v>
      </c>
      <c r="FL13" s="147">
        <v>900</v>
      </c>
      <c r="FM13" s="147">
        <v>900</v>
      </c>
      <c r="FN13" s="147">
        <v>910</v>
      </c>
      <c r="FO13" s="147">
        <v>910</v>
      </c>
      <c r="FP13" s="147">
        <v>910</v>
      </c>
      <c r="FQ13" s="147">
        <v>910</v>
      </c>
      <c r="FR13" s="147">
        <v>910</v>
      </c>
      <c r="FS13" s="147">
        <v>900</v>
      </c>
      <c r="FT13" s="147">
        <v>900</v>
      </c>
      <c r="FU13" s="147">
        <v>900</v>
      </c>
      <c r="FV13" s="147">
        <v>930</v>
      </c>
      <c r="FW13" s="147">
        <v>930</v>
      </c>
      <c r="FX13" s="147">
        <v>930</v>
      </c>
      <c r="FY13" s="147">
        <v>930</v>
      </c>
      <c r="FZ13" s="147">
        <v>930</v>
      </c>
      <c r="GA13" s="147">
        <v>930</v>
      </c>
      <c r="GB13" s="147">
        <v>930</v>
      </c>
      <c r="GC13" s="147">
        <v>930</v>
      </c>
      <c r="GD13" s="147">
        <v>930</v>
      </c>
      <c r="GE13" s="147">
        <v>930</v>
      </c>
      <c r="GF13" s="147">
        <v>930</v>
      </c>
      <c r="GG13" s="147">
        <v>930</v>
      </c>
      <c r="GH13" s="147">
        <v>930</v>
      </c>
      <c r="GI13" s="147">
        <v>930</v>
      </c>
      <c r="GJ13" s="147">
        <v>870</v>
      </c>
      <c r="GK13" s="147">
        <v>870</v>
      </c>
      <c r="GL13" s="147">
        <v>870</v>
      </c>
      <c r="GM13" s="147">
        <v>870</v>
      </c>
      <c r="GN13" s="147">
        <v>870</v>
      </c>
      <c r="GO13" s="147">
        <v>870</v>
      </c>
      <c r="GP13" s="147">
        <v>870</v>
      </c>
      <c r="GQ13" s="147">
        <v>830</v>
      </c>
      <c r="GR13" s="147">
        <v>830</v>
      </c>
      <c r="GS13" s="147">
        <v>830</v>
      </c>
      <c r="GT13" s="147">
        <v>830</v>
      </c>
      <c r="GU13" s="147">
        <v>830</v>
      </c>
      <c r="GV13" s="147">
        <v>830</v>
      </c>
      <c r="GW13" s="147">
        <v>830</v>
      </c>
      <c r="GX13" s="147">
        <v>830</v>
      </c>
      <c r="GY13" s="147">
        <v>830</v>
      </c>
      <c r="GZ13" s="147">
        <v>830</v>
      </c>
      <c r="HA13" s="147">
        <v>830</v>
      </c>
      <c r="HB13" s="147">
        <v>830</v>
      </c>
      <c r="HC13" s="147">
        <v>830</v>
      </c>
      <c r="HD13" s="147">
        <v>830</v>
      </c>
      <c r="HE13" s="147">
        <v>830</v>
      </c>
      <c r="HF13" s="147">
        <v>830</v>
      </c>
      <c r="HG13" s="147">
        <v>975</v>
      </c>
      <c r="HH13" s="147">
        <v>1250</v>
      </c>
      <c r="HI13" s="147">
        <v>1400</v>
      </c>
      <c r="HJ13" s="147">
        <v>1450</v>
      </c>
    </row>
    <row r="14" spans="1:218" ht="14">
      <c r="F14" s="117"/>
      <c r="H14" s="117" t="s">
        <v>82</v>
      </c>
      <c r="I14" s="131">
        <f t="shared" ref="I14:O14" si="107">I13</f>
        <v>1017.5</v>
      </c>
      <c r="J14" s="131">
        <f t="shared" si="107"/>
        <v>1092.5</v>
      </c>
      <c r="K14" s="131">
        <f t="shared" si="107"/>
        <v>1068</v>
      </c>
      <c r="L14" s="131">
        <f t="shared" si="107"/>
        <v>1050</v>
      </c>
      <c r="M14" s="131">
        <f t="shared" si="107"/>
        <v>1042.5</v>
      </c>
      <c r="N14" s="131">
        <f t="shared" si="107"/>
        <v>970</v>
      </c>
      <c r="O14" s="131">
        <f t="shared" si="107"/>
        <v>960</v>
      </c>
      <c r="P14" s="131">
        <f t="shared" ref="P14:U14" si="108">P13</f>
        <v>1008</v>
      </c>
      <c r="Q14" s="131">
        <f t="shared" si="108"/>
        <v>1027.5</v>
      </c>
      <c r="R14" s="131">
        <f t="shared" si="108"/>
        <v>1020</v>
      </c>
      <c r="S14" s="131">
        <f t="shared" si="108"/>
        <v>955</v>
      </c>
      <c r="T14" s="131">
        <f t="shared" si="108"/>
        <v>900</v>
      </c>
      <c r="U14" s="131">
        <f t="shared" si="108"/>
        <v>947.5</v>
      </c>
      <c r="V14" s="131">
        <f t="shared" ref="V14:W14" si="109">V13</f>
        <v>1010</v>
      </c>
      <c r="W14" s="131">
        <f t="shared" si="109"/>
        <v>995</v>
      </c>
      <c r="X14" s="131">
        <f t="shared" ref="X14:Y14" si="110">X13</f>
        <v>975</v>
      </c>
      <c r="Y14" s="131">
        <f t="shared" si="110"/>
        <v>956</v>
      </c>
      <c r="Z14" s="131">
        <f t="shared" ref="Z14:AA14" si="111">Z13</f>
        <v>980</v>
      </c>
      <c r="AA14" s="131">
        <f t="shared" si="111"/>
        <v>975</v>
      </c>
      <c r="AB14" s="131">
        <f t="shared" ref="AB14:AC14" si="112">AB13</f>
        <v>946</v>
      </c>
      <c r="AC14" s="131">
        <f t="shared" si="112"/>
        <v>932.5</v>
      </c>
      <c r="AD14" s="131">
        <f t="shared" ref="AD14:AE14" si="113">AD13</f>
        <v>926.66666666666663</v>
      </c>
      <c r="AE14" s="131">
        <f t="shared" si="113"/>
        <v>940</v>
      </c>
      <c r="AF14" s="131">
        <f t="shared" ref="AF14:AG14" si="114">AF13</f>
        <v>940</v>
      </c>
      <c r="AG14" s="131">
        <f t="shared" si="114"/>
        <v>940</v>
      </c>
      <c r="AH14" s="131">
        <f t="shared" ref="AH14:AI14" si="115">AH13</f>
        <v>946</v>
      </c>
      <c r="AI14" s="131">
        <f t="shared" si="115"/>
        <v>940</v>
      </c>
      <c r="AJ14" s="131">
        <f t="shared" ref="AJ14:AK14" si="116">AJ13</f>
        <v>905</v>
      </c>
      <c r="AK14" s="131">
        <f t="shared" si="116"/>
        <v>908</v>
      </c>
      <c r="AL14" s="131">
        <f t="shared" ref="AL14:AM14" si="117">AL13</f>
        <v>915</v>
      </c>
      <c r="AM14" s="131">
        <f t="shared" si="117"/>
        <v>930</v>
      </c>
      <c r="AN14" s="131">
        <f t="shared" ref="AN14:AS14" si="118">AN13</f>
        <v>930</v>
      </c>
      <c r="AO14" s="131">
        <f t="shared" si="118"/>
        <v>915</v>
      </c>
      <c r="AP14" s="131">
        <f t="shared" si="118"/>
        <v>870</v>
      </c>
      <c r="AQ14" s="131">
        <f t="shared" si="118"/>
        <v>840</v>
      </c>
      <c r="AR14" s="131">
        <f t="shared" si="118"/>
        <v>830</v>
      </c>
      <c r="AS14" s="131">
        <f t="shared" si="118"/>
        <v>830</v>
      </c>
      <c r="AT14" s="131">
        <f t="shared" ref="AT14:AU14" si="119">AT13</f>
        <v>830</v>
      </c>
      <c r="AU14" s="131">
        <f t="shared" si="119"/>
        <v>1268.75</v>
      </c>
      <c r="AV14" s="131">
        <f t="shared" ref="AV14" si="120">AV13</f>
        <v>1450</v>
      </c>
      <c r="AZ14" s="117" t="s">
        <v>82</v>
      </c>
      <c r="BA14" s="41">
        <f t="shared" ref="BA14:BX14" si="121">BA13</f>
        <v>1000</v>
      </c>
      <c r="BB14" s="41">
        <f>BB13</f>
        <v>940</v>
      </c>
      <c r="BC14" s="41">
        <f t="shared" si="121"/>
        <v>1020</v>
      </c>
      <c r="BD14" s="41">
        <f t="shared" si="121"/>
        <v>1030</v>
      </c>
      <c r="BE14" s="41">
        <f t="shared" si="121"/>
        <v>1080</v>
      </c>
      <c r="BF14" s="41">
        <f t="shared" si="121"/>
        <v>1100</v>
      </c>
      <c r="BG14" s="41">
        <f t="shared" si="121"/>
        <v>1100</v>
      </c>
      <c r="BH14" s="41">
        <f t="shared" si="121"/>
        <v>1090</v>
      </c>
      <c r="BI14" s="41">
        <f t="shared" si="121"/>
        <v>1080</v>
      </c>
      <c r="BJ14" s="41">
        <f t="shared" si="121"/>
        <v>1080</v>
      </c>
      <c r="BK14" s="41">
        <f t="shared" si="121"/>
        <v>1070</v>
      </c>
      <c r="BL14" s="41">
        <f t="shared" si="121"/>
        <v>1070</v>
      </c>
      <c r="BM14" s="41">
        <f t="shared" si="121"/>
        <v>1070</v>
      </c>
      <c r="BN14" s="41">
        <f t="shared" si="121"/>
        <v>1050</v>
      </c>
      <c r="BO14" s="41">
        <f t="shared" si="121"/>
        <v>1050</v>
      </c>
      <c r="BP14" s="41">
        <f t="shared" si="121"/>
        <v>1050</v>
      </c>
      <c r="BQ14" s="41">
        <f t="shared" si="121"/>
        <v>1050</v>
      </c>
      <c r="BR14" s="41">
        <f t="shared" si="121"/>
        <v>1050</v>
      </c>
      <c r="BS14" s="41">
        <f t="shared" si="121"/>
        <v>1050</v>
      </c>
      <c r="BT14" s="41">
        <f t="shared" si="121"/>
        <v>1050</v>
      </c>
      <c r="BU14" s="41">
        <f t="shared" si="121"/>
        <v>1040</v>
      </c>
      <c r="BV14" s="41">
        <f t="shared" si="121"/>
        <v>1030</v>
      </c>
      <c r="BW14" s="41">
        <f t="shared" si="121"/>
        <v>1030</v>
      </c>
      <c r="BX14" s="41">
        <f t="shared" si="121"/>
        <v>950</v>
      </c>
      <c r="BY14" s="41">
        <f t="shared" ref="BY14:CD14" si="122">BY13</f>
        <v>950</v>
      </c>
      <c r="BZ14" s="41">
        <f t="shared" si="122"/>
        <v>950</v>
      </c>
      <c r="CA14" s="41">
        <f t="shared" si="122"/>
        <v>950</v>
      </c>
      <c r="CB14" s="41">
        <f t="shared" si="122"/>
        <v>950</v>
      </c>
      <c r="CC14" s="41">
        <f t="shared" si="122"/>
        <v>970</v>
      </c>
      <c r="CD14" s="41">
        <f t="shared" si="122"/>
        <v>970</v>
      </c>
      <c r="CE14" s="41">
        <f t="shared" ref="CE14:CQ14" si="123">CE13</f>
        <v>1000</v>
      </c>
      <c r="CF14" s="41">
        <f t="shared" si="123"/>
        <v>1000</v>
      </c>
      <c r="CG14" s="41">
        <f t="shared" si="123"/>
        <v>1000</v>
      </c>
      <c r="CH14" s="41">
        <f t="shared" si="123"/>
        <v>1020</v>
      </c>
      <c r="CI14" s="41">
        <f t="shared" si="123"/>
        <v>1020</v>
      </c>
      <c r="CJ14" s="41">
        <f t="shared" si="123"/>
        <v>1020</v>
      </c>
      <c r="CK14" s="41">
        <f t="shared" si="123"/>
        <v>1030</v>
      </c>
      <c r="CL14" s="41">
        <f t="shared" si="123"/>
        <v>1030</v>
      </c>
      <c r="CM14" s="41">
        <f t="shared" si="123"/>
        <v>1030</v>
      </c>
      <c r="CN14" s="41">
        <f t="shared" si="123"/>
        <v>1030</v>
      </c>
      <c r="CO14" s="41">
        <f t="shared" si="123"/>
        <v>1030</v>
      </c>
      <c r="CP14" s="41">
        <f t="shared" si="123"/>
        <v>1020</v>
      </c>
      <c r="CQ14" s="41">
        <f t="shared" si="123"/>
        <v>1000</v>
      </c>
      <c r="CR14" s="41">
        <f t="shared" ref="CR14:CS14" si="124">CR13</f>
        <v>980</v>
      </c>
      <c r="CS14" s="41">
        <f t="shared" si="124"/>
        <v>960</v>
      </c>
      <c r="CT14" s="41">
        <f t="shared" ref="CT14:CU14" si="125">CT13</f>
        <v>940</v>
      </c>
      <c r="CU14" s="41">
        <f t="shared" si="125"/>
        <v>940</v>
      </c>
      <c r="CV14" s="41">
        <f t="shared" ref="CV14:CW14" si="126">CV13</f>
        <v>900</v>
      </c>
      <c r="CW14" s="41">
        <f t="shared" si="126"/>
        <v>900</v>
      </c>
      <c r="CX14" s="41">
        <f t="shared" ref="CX14:CY14" si="127">CX13</f>
        <v>900</v>
      </c>
      <c r="CY14" s="41">
        <f t="shared" si="127"/>
        <v>900</v>
      </c>
      <c r="CZ14" s="41">
        <f t="shared" ref="CZ14:DA14" si="128">CZ13</f>
        <v>900</v>
      </c>
      <c r="DA14" s="41">
        <f t="shared" si="128"/>
        <v>900</v>
      </c>
      <c r="DB14" s="41">
        <f t="shared" ref="DB14:DC14" si="129">DB13</f>
        <v>930</v>
      </c>
      <c r="DC14" s="41">
        <f t="shared" si="129"/>
        <v>930</v>
      </c>
      <c r="DD14" s="41">
        <f t="shared" ref="DD14:DE14" si="130">DD13</f>
        <v>1030</v>
      </c>
      <c r="DE14" s="41">
        <f t="shared" si="130"/>
        <v>1030</v>
      </c>
      <c r="DF14" s="41">
        <f t="shared" ref="DF14:DG14" si="131">DF13</f>
        <v>1000</v>
      </c>
      <c r="DG14" s="41">
        <f t="shared" si="131"/>
        <v>1000</v>
      </c>
      <c r="DH14" s="41">
        <f t="shared" ref="DH14:DI14" si="132">DH13</f>
        <v>1000</v>
      </c>
      <c r="DI14" s="41">
        <f t="shared" si="132"/>
        <v>1000</v>
      </c>
      <c r="DJ14" s="41">
        <f t="shared" ref="DJ14:DK14" si="133">DJ13</f>
        <v>1000</v>
      </c>
      <c r="DK14" s="41">
        <f t="shared" si="133"/>
        <v>980</v>
      </c>
      <c r="DL14" s="41">
        <f t="shared" ref="DL14:DM14" si="134">DL13</f>
        <v>980</v>
      </c>
      <c r="DM14" s="41">
        <f t="shared" si="134"/>
        <v>980</v>
      </c>
      <c r="DN14" s="41">
        <f t="shared" ref="DN14:DO14" si="135">DN13</f>
        <v>980</v>
      </c>
      <c r="DO14" s="41">
        <f t="shared" si="135"/>
        <v>960</v>
      </c>
      <c r="DP14" s="41">
        <f t="shared" ref="DP14:DQ14" si="136">DP13</f>
        <v>950</v>
      </c>
      <c r="DQ14" s="41">
        <f t="shared" si="136"/>
        <v>950</v>
      </c>
      <c r="DR14" s="41">
        <f t="shared" ref="DR14:DS14" si="137">DR13</f>
        <v>950</v>
      </c>
      <c r="DS14" s="41">
        <f t="shared" si="137"/>
        <v>950</v>
      </c>
      <c r="DT14" s="41">
        <f t="shared" ref="DT14:DU14" si="138">DT13</f>
        <v>980</v>
      </c>
      <c r="DU14" s="41">
        <f t="shared" si="138"/>
        <v>980</v>
      </c>
      <c r="DV14" s="41">
        <f t="shared" ref="DV14:DW14" si="139">DV13</f>
        <v>980</v>
      </c>
      <c r="DW14" s="41">
        <f t="shared" si="139"/>
        <v>980</v>
      </c>
      <c r="DX14" s="41">
        <f t="shared" ref="DX14:DY14" si="140">DX13</f>
        <v>980</v>
      </c>
      <c r="DY14" s="41">
        <f t="shared" si="140"/>
        <v>980</v>
      </c>
      <c r="DZ14" s="41">
        <f t="shared" ref="DZ14:EA14" si="141">DZ13</f>
        <v>980</v>
      </c>
      <c r="EA14" s="41">
        <f t="shared" si="141"/>
        <v>980</v>
      </c>
      <c r="EB14" s="41">
        <f t="shared" ref="EB14:EC14" si="142">EB13</f>
        <v>960</v>
      </c>
      <c r="EC14" s="41">
        <f t="shared" si="142"/>
        <v>950</v>
      </c>
      <c r="ED14" s="41">
        <f t="shared" ref="ED14:EE14" si="143">ED13</f>
        <v>950</v>
      </c>
      <c r="EE14" s="41">
        <f t="shared" si="143"/>
        <v>950</v>
      </c>
      <c r="EF14" s="41">
        <f t="shared" ref="EF14:EG14" si="144">EF13</f>
        <v>940</v>
      </c>
      <c r="EG14" s="41">
        <f t="shared" si="144"/>
        <v>940</v>
      </c>
      <c r="EH14" s="41">
        <f t="shared" ref="EH14:EI14" si="145">EH13</f>
        <v>940</v>
      </c>
      <c r="EI14" s="41">
        <f t="shared" si="145"/>
        <v>930</v>
      </c>
      <c r="EJ14" s="41">
        <f t="shared" ref="EJ14:EK14" si="146">EJ13</f>
        <v>930</v>
      </c>
      <c r="EK14" s="41">
        <f t="shared" si="146"/>
        <v>930</v>
      </c>
      <c r="EL14" s="41">
        <f t="shared" ref="EL14:EM14" si="147">EL13</f>
        <v>920</v>
      </c>
      <c r="EM14" s="41">
        <f t="shared" si="147"/>
        <v>920</v>
      </c>
      <c r="EN14" s="41">
        <f t="shared" ref="EN14:EO14" si="148">EN13</f>
        <v>920</v>
      </c>
      <c r="EO14" s="41">
        <f t="shared" si="148"/>
        <v>940</v>
      </c>
      <c r="EP14" s="41">
        <f t="shared" ref="EP14:ET14" si="149">EP13</f>
        <v>940</v>
      </c>
      <c r="EQ14" s="41">
        <f t="shared" si="149"/>
        <v>940</v>
      </c>
      <c r="ER14" s="41">
        <f t="shared" si="149"/>
        <v>940</v>
      </c>
      <c r="ES14" s="41">
        <f t="shared" si="149"/>
        <v>940</v>
      </c>
      <c r="ET14" s="41">
        <f t="shared" si="149"/>
        <v>940</v>
      </c>
      <c r="EU14" s="41">
        <f t="shared" ref="EU14:EX14" si="150">EU13</f>
        <v>940</v>
      </c>
      <c r="EV14" s="41">
        <f t="shared" si="150"/>
        <v>940</v>
      </c>
      <c r="EW14" s="41">
        <f t="shared" si="150"/>
        <v>940</v>
      </c>
      <c r="EX14" s="41">
        <f t="shared" si="150"/>
        <v>940</v>
      </c>
      <c r="EY14" s="41">
        <f t="shared" ref="EY14:EZ14" si="151">EY13</f>
        <v>940</v>
      </c>
      <c r="EZ14" s="41">
        <f t="shared" si="151"/>
        <v>940</v>
      </c>
      <c r="FA14" s="41">
        <f t="shared" ref="FA14:FB14" si="152">FA13</f>
        <v>940</v>
      </c>
      <c r="FB14" s="41">
        <f t="shared" si="152"/>
        <v>940</v>
      </c>
      <c r="FC14" s="41">
        <f t="shared" ref="FC14:FD14" si="153">FC13</f>
        <v>940</v>
      </c>
      <c r="FD14" s="41">
        <f t="shared" si="153"/>
        <v>940</v>
      </c>
      <c r="FE14" s="41">
        <f t="shared" ref="FE14:FF14" si="154">FE13</f>
        <v>950</v>
      </c>
      <c r="FF14" s="41">
        <f t="shared" si="154"/>
        <v>950</v>
      </c>
      <c r="FG14" s="41">
        <f t="shared" ref="FG14:FJ14" si="155">FG13</f>
        <v>950</v>
      </c>
      <c r="FH14" s="41">
        <f t="shared" si="155"/>
        <v>950</v>
      </c>
      <c r="FI14" s="41">
        <f t="shared" si="155"/>
        <v>950</v>
      </c>
      <c r="FJ14" s="41">
        <f t="shared" si="155"/>
        <v>910</v>
      </c>
      <c r="FK14" s="41">
        <f t="shared" ref="FK14:FN14" si="156">FK13</f>
        <v>910</v>
      </c>
      <c r="FL14" s="41">
        <f t="shared" si="156"/>
        <v>900</v>
      </c>
      <c r="FM14" s="41">
        <f t="shared" si="156"/>
        <v>900</v>
      </c>
      <c r="FN14" s="41">
        <f t="shared" si="156"/>
        <v>910</v>
      </c>
      <c r="FO14" s="41">
        <f t="shared" ref="FO14:FS14" si="157">FO13</f>
        <v>910</v>
      </c>
      <c r="FP14" s="41">
        <f t="shared" si="157"/>
        <v>910</v>
      </c>
      <c r="FQ14" s="41">
        <f t="shared" si="157"/>
        <v>910</v>
      </c>
      <c r="FR14" s="41">
        <f t="shared" si="157"/>
        <v>910</v>
      </c>
      <c r="FS14" s="41">
        <f t="shared" si="157"/>
        <v>900</v>
      </c>
      <c r="FT14" s="41">
        <f t="shared" ref="FT14:FW14" si="158">FT13</f>
        <v>900</v>
      </c>
      <c r="FU14" s="41">
        <f t="shared" si="158"/>
        <v>900</v>
      </c>
      <c r="FV14" s="41">
        <f t="shared" si="158"/>
        <v>930</v>
      </c>
      <c r="FW14" s="41">
        <f t="shared" si="158"/>
        <v>930</v>
      </c>
      <c r="FX14" s="41">
        <f t="shared" ref="FX14:GB14" si="159">FX13</f>
        <v>930</v>
      </c>
      <c r="FY14" s="41">
        <f t="shared" si="159"/>
        <v>930</v>
      </c>
      <c r="FZ14" s="41">
        <f t="shared" si="159"/>
        <v>930</v>
      </c>
      <c r="GA14" s="41">
        <f t="shared" si="159"/>
        <v>930</v>
      </c>
      <c r="GB14" s="41">
        <f t="shared" si="159"/>
        <v>930</v>
      </c>
      <c r="GC14" s="41">
        <f t="shared" ref="GC14:GF14" si="160">GC13</f>
        <v>930</v>
      </c>
      <c r="GD14" s="41">
        <f t="shared" si="160"/>
        <v>930</v>
      </c>
      <c r="GE14" s="41">
        <f t="shared" si="160"/>
        <v>930</v>
      </c>
      <c r="GF14" s="41">
        <f t="shared" si="160"/>
        <v>930</v>
      </c>
      <c r="GG14" s="41">
        <f t="shared" ref="GG14:GI14" si="161">GG13</f>
        <v>930</v>
      </c>
      <c r="GH14" s="41">
        <f t="shared" si="161"/>
        <v>930</v>
      </c>
      <c r="GI14" s="41">
        <f t="shared" si="161"/>
        <v>930</v>
      </c>
      <c r="GJ14" s="41">
        <f t="shared" ref="GJ14:GO14" si="162">GJ13</f>
        <v>870</v>
      </c>
      <c r="GK14" s="41">
        <f t="shared" si="162"/>
        <v>870</v>
      </c>
      <c r="GL14" s="41">
        <f t="shared" si="162"/>
        <v>870</v>
      </c>
      <c r="GM14" s="41">
        <f t="shared" si="162"/>
        <v>870</v>
      </c>
      <c r="GN14" s="41">
        <f t="shared" si="162"/>
        <v>870</v>
      </c>
      <c r="GO14" s="41">
        <f t="shared" si="162"/>
        <v>870</v>
      </c>
      <c r="GP14" s="41">
        <f t="shared" ref="GP14:GS14" si="163">GP13</f>
        <v>870</v>
      </c>
      <c r="GQ14" s="41">
        <f t="shared" si="163"/>
        <v>830</v>
      </c>
      <c r="GR14" s="41">
        <f t="shared" si="163"/>
        <v>830</v>
      </c>
      <c r="GS14" s="41">
        <f t="shared" si="163"/>
        <v>830</v>
      </c>
      <c r="GT14" s="41">
        <f t="shared" ref="GT14:GW14" si="164">GT13</f>
        <v>830</v>
      </c>
      <c r="GU14" s="41">
        <f t="shared" si="164"/>
        <v>830</v>
      </c>
      <c r="GV14" s="41">
        <f t="shared" si="164"/>
        <v>830</v>
      </c>
      <c r="GW14" s="41">
        <f t="shared" si="164"/>
        <v>830</v>
      </c>
      <c r="GX14" s="41">
        <f t="shared" ref="GX14:HB14" si="165">GX13</f>
        <v>830</v>
      </c>
      <c r="GY14" s="41">
        <f t="shared" si="165"/>
        <v>830</v>
      </c>
      <c r="GZ14" s="41">
        <f t="shared" si="165"/>
        <v>830</v>
      </c>
      <c r="HA14" s="41">
        <f t="shared" si="165"/>
        <v>830</v>
      </c>
      <c r="HB14" s="41">
        <f t="shared" si="165"/>
        <v>830</v>
      </c>
      <c r="HC14" s="41">
        <f t="shared" ref="HC14:HF14" si="166">HC13</f>
        <v>830</v>
      </c>
      <c r="HD14" s="41">
        <f t="shared" si="166"/>
        <v>830</v>
      </c>
      <c r="HE14" s="41">
        <f t="shared" si="166"/>
        <v>830</v>
      </c>
      <c r="HF14" s="41">
        <f t="shared" si="166"/>
        <v>830</v>
      </c>
      <c r="HG14" s="41">
        <f t="shared" ref="HG14:HJ14" si="167">HG13</f>
        <v>975</v>
      </c>
      <c r="HH14" s="41">
        <f t="shared" si="167"/>
        <v>1250</v>
      </c>
      <c r="HI14" s="41">
        <f t="shared" si="167"/>
        <v>1400</v>
      </c>
      <c r="HJ14" s="41">
        <f t="shared" si="167"/>
        <v>1450</v>
      </c>
    </row>
    <row r="15" spans="1:218" ht="14">
      <c r="F15" s="117"/>
      <c r="H15" s="117" t="s">
        <v>83</v>
      </c>
      <c r="I15" s="41">
        <f t="shared" ref="I15:N15" si="168">+I7-I14</f>
        <v>232.5</v>
      </c>
      <c r="J15" s="41">
        <f t="shared" si="168"/>
        <v>157.5</v>
      </c>
      <c r="K15" s="41">
        <f t="shared" si="168"/>
        <v>182</v>
      </c>
      <c r="L15" s="41">
        <f t="shared" si="168"/>
        <v>200</v>
      </c>
      <c r="M15" s="41">
        <f t="shared" si="168"/>
        <v>207.5</v>
      </c>
      <c r="N15" s="41">
        <f t="shared" si="168"/>
        <v>280</v>
      </c>
      <c r="O15" s="41">
        <f t="shared" ref="O15:T15" si="169">+O7-O14</f>
        <v>290</v>
      </c>
      <c r="P15" s="41">
        <f t="shared" si="169"/>
        <v>242</v>
      </c>
      <c r="Q15" s="41">
        <f t="shared" si="169"/>
        <v>222.5</v>
      </c>
      <c r="R15" s="41">
        <f t="shared" si="169"/>
        <v>230</v>
      </c>
      <c r="S15" s="41">
        <f t="shared" si="169"/>
        <v>295</v>
      </c>
      <c r="T15" s="41">
        <f t="shared" si="169"/>
        <v>350</v>
      </c>
      <c r="U15" s="41">
        <f t="shared" ref="U15:V15" si="170">+U7-U14</f>
        <v>302.5</v>
      </c>
      <c r="V15" s="41">
        <f t="shared" si="170"/>
        <v>240</v>
      </c>
      <c r="W15" s="41">
        <f t="shared" ref="W15:X15" si="171">+W7-W14</f>
        <v>255</v>
      </c>
      <c r="X15" s="41">
        <f t="shared" si="171"/>
        <v>275</v>
      </c>
      <c r="Y15" s="41">
        <f t="shared" ref="Y15:Z15" si="172">+Y7-Y14</f>
        <v>294</v>
      </c>
      <c r="Z15" s="41">
        <f t="shared" si="172"/>
        <v>270</v>
      </c>
      <c r="AA15" s="41">
        <f t="shared" ref="AA15:AB15" si="173">+AA7-AA14</f>
        <v>275</v>
      </c>
      <c r="AB15" s="41">
        <f t="shared" si="173"/>
        <v>304</v>
      </c>
      <c r="AC15" s="41">
        <f t="shared" ref="AC15:AD15" si="174">+AC7-AC14</f>
        <v>317.5</v>
      </c>
      <c r="AD15" s="41">
        <f t="shared" si="174"/>
        <v>323.33333333333337</v>
      </c>
      <c r="AE15" s="41">
        <f t="shared" ref="AE15:AF15" si="175">+AE7-AE14</f>
        <v>310</v>
      </c>
      <c r="AF15" s="41">
        <f t="shared" si="175"/>
        <v>310</v>
      </c>
      <c r="AG15" s="41">
        <f t="shared" ref="AG15:AH15" si="176">+AG7-AG14</f>
        <v>310</v>
      </c>
      <c r="AH15" s="41">
        <f t="shared" si="176"/>
        <v>304</v>
      </c>
      <c r="AI15" s="41">
        <f t="shared" ref="AI15:AJ15" si="177">+AI7-AI14</f>
        <v>105</v>
      </c>
      <c r="AJ15" s="41">
        <f t="shared" si="177"/>
        <v>140</v>
      </c>
      <c r="AK15" s="41">
        <f t="shared" ref="AK15:AL15" si="178">+AK7-AK14</f>
        <v>82.000000000000114</v>
      </c>
      <c r="AL15" s="41">
        <f t="shared" si="178"/>
        <v>75.000000000000114</v>
      </c>
      <c r="AM15" s="41">
        <f t="shared" ref="AM15:AN15" si="179">+AM7-AM14</f>
        <v>-930</v>
      </c>
      <c r="AN15" s="41">
        <f t="shared" si="179"/>
        <v>-930</v>
      </c>
      <c r="AO15" s="41">
        <f t="shared" ref="AO15:AP15" si="180">+AO7-AO14</f>
        <v>-915</v>
      </c>
      <c r="AP15" s="41">
        <f t="shared" si="180"/>
        <v>-870</v>
      </c>
      <c r="AQ15" s="41">
        <f t="shared" ref="AQ15:AR15" si="181">+AQ7-AQ14</f>
        <v>-840</v>
      </c>
      <c r="AR15" s="41">
        <f t="shared" si="181"/>
        <v>-830</v>
      </c>
      <c r="AS15" s="41">
        <f t="shared" ref="AS15:AT15" si="182">+AS7-AS14</f>
        <v>-830</v>
      </c>
      <c r="AT15" s="41">
        <f t="shared" si="182"/>
        <v>-830</v>
      </c>
      <c r="AU15" s="41">
        <f t="shared" ref="AU15:AV15" si="183">+AU7-AU14</f>
        <v>-1268.75</v>
      </c>
      <c r="AV15" s="41">
        <f t="shared" si="183"/>
        <v>-1450</v>
      </c>
      <c r="AZ15" s="117" t="s">
        <v>83</v>
      </c>
      <c r="BA15" s="41">
        <f t="shared" ref="BA15:BY15" si="184">+BA7-BA14</f>
        <v>250</v>
      </c>
      <c r="BB15" s="41">
        <f>+BB7-BB14</f>
        <v>310</v>
      </c>
      <c r="BC15" s="41">
        <f t="shared" si="184"/>
        <v>230</v>
      </c>
      <c r="BD15" s="41">
        <f t="shared" si="184"/>
        <v>220</v>
      </c>
      <c r="BE15" s="41">
        <f t="shared" si="184"/>
        <v>170</v>
      </c>
      <c r="BF15" s="41">
        <f t="shared" si="184"/>
        <v>150</v>
      </c>
      <c r="BG15" s="41">
        <f t="shared" si="184"/>
        <v>150</v>
      </c>
      <c r="BH15" s="41">
        <f t="shared" si="184"/>
        <v>160</v>
      </c>
      <c r="BI15" s="41">
        <f t="shared" si="184"/>
        <v>170</v>
      </c>
      <c r="BJ15" s="41">
        <f t="shared" si="184"/>
        <v>170</v>
      </c>
      <c r="BK15" s="41">
        <f t="shared" si="184"/>
        <v>180</v>
      </c>
      <c r="BL15" s="41">
        <f t="shared" si="184"/>
        <v>180</v>
      </c>
      <c r="BM15" s="41">
        <f t="shared" si="184"/>
        <v>180</v>
      </c>
      <c r="BN15" s="41">
        <f t="shared" si="184"/>
        <v>200</v>
      </c>
      <c r="BO15" s="41">
        <f t="shared" si="184"/>
        <v>200</v>
      </c>
      <c r="BP15" s="41">
        <f t="shared" si="184"/>
        <v>200</v>
      </c>
      <c r="BQ15" s="41">
        <f t="shared" si="184"/>
        <v>200</v>
      </c>
      <c r="BR15" s="41">
        <f t="shared" si="184"/>
        <v>200</v>
      </c>
      <c r="BS15" s="41">
        <f t="shared" si="184"/>
        <v>200</v>
      </c>
      <c r="BT15" s="41">
        <f t="shared" si="184"/>
        <v>200</v>
      </c>
      <c r="BU15" s="41">
        <f t="shared" si="184"/>
        <v>210</v>
      </c>
      <c r="BV15" s="41">
        <f t="shared" si="184"/>
        <v>220</v>
      </c>
      <c r="BW15" s="41">
        <f t="shared" si="184"/>
        <v>220</v>
      </c>
      <c r="BX15" s="41">
        <f t="shared" si="184"/>
        <v>300</v>
      </c>
      <c r="BY15" s="41">
        <f t="shared" si="184"/>
        <v>300</v>
      </c>
      <c r="BZ15" s="41">
        <f t="shared" ref="BZ15:CE15" si="185">+BZ7-BZ14</f>
        <v>300</v>
      </c>
      <c r="CA15" s="41">
        <f t="shared" si="185"/>
        <v>300</v>
      </c>
      <c r="CB15" s="41">
        <f t="shared" si="185"/>
        <v>300</v>
      </c>
      <c r="CC15" s="41">
        <f t="shared" si="185"/>
        <v>280</v>
      </c>
      <c r="CD15" s="41">
        <f t="shared" si="185"/>
        <v>280</v>
      </c>
      <c r="CE15" s="41">
        <f t="shared" si="185"/>
        <v>250</v>
      </c>
      <c r="CF15" s="41">
        <f t="shared" ref="CF15:CQ15" si="186">+CF7-CF14</f>
        <v>250</v>
      </c>
      <c r="CG15" s="41">
        <f t="shared" si="186"/>
        <v>250</v>
      </c>
      <c r="CH15" s="41">
        <f t="shared" si="186"/>
        <v>230</v>
      </c>
      <c r="CI15" s="41">
        <f t="shared" si="186"/>
        <v>230</v>
      </c>
      <c r="CJ15" s="41">
        <f t="shared" si="186"/>
        <v>230</v>
      </c>
      <c r="CK15" s="41">
        <f t="shared" si="186"/>
        <v>220</v>
      </c>
      <c r="CL15" s="41">
        <f t="shared" si="186"/>
        <v>220</v>
      </c>
      <c r="CM15" s="41">
        <f t="shared" si="186"/>
        <v>220</v>
      </c>
      <c r="CN15" s="41">
        <f t="shared" si="186"/>
        <v>220</v>
      </c>
      <c r="CO15" s="41">
        <f t="shared" si="186"/>
        <v>220</v>
      </c>
      <c r="CP15" s="41">
        <f t="shared" si="186"/>
        <v>230</v>
      </c>
      <c r="CQ15" s="41">
        <f t="shared" si="186"/>
        <v>250</v>
      </c>
      <c r="CR15" s="41">
        <f t="shared" ref="CR15:CS15" si="187">+CR7-CR14</f>
        <v>270</v>
      </c>
      <c r="CS15" s="41">
        <f t="shared" si="187"/>
        <v>290</v>
      </c>
      <c r="CT15" s="41">
        <f t="shared" ref="CT15:CY15" si="188">+CT7-CT14</f>
        <v>310</v>
      </c>
      <c r="CU15" s="41">
        <f t="shared" si="188"/>
        <v>310</v>
      </c>
      <c r="CV15" s="41">
        <f t="shared" si="188"/>
        <v>350</v>
      </c>
      <c r="CW15" s="41">
        <f t="shared" si="188"/>
        <v>350</v>
      </c>
      <c r="CX15" s="41">
        <f t="shared" si="188"/>
        <v>350</v>
      </c>
      <c r="CY15" s="41">
        <f t="shared" si="188"/>
        <v>350</v>
      </c>
      <c r="CZ15" s="41">
        <f t="shared" ref="CZ15:DA15" si="189">+CZ7-CZ14</f>
        <v>350</v>
      </c>
      <c r="DA15" s="41">
        <f t="shared" si="189"/>
        <v>350</v>
      </c>
      <c r="DB15" s="41">
        <f t="shared" ref="DB15:DC15" si="190">+DB7-DB14</f>
        <v>320</v>
      </c>
      <c r="DC15" s="41">
        <f t="shared" si="190"/>
        <v>320</v>
      </c>
      <c r="DD15" s="41">
        <f t="shared" ref="DD15:DE15" si="191">+DD7-DD14</f>
        <v>220</v>
      </c>
      <c r="DE15" s="41">
        <f t="shared" si="191"/>
        <v>220</v>
      </c>
      <c r="DF15" s="41">
        <f t="shared" ref="DF15:DG15" si="192">+DF7-DF14</f>
        <v>250</v>
      </c>
      <c r="DG15" s="41">
        <f t="shared" si="192"/>
        <v>250</v>
      </c>
      <c r="DH15" s="41">
        <f t="shared" ref="DH15:DI15" si="193">+DH7-DH14</f>
        <v>250</v>
      </c>
      <c r="DI15" s="41">
        <f t="shared" si="193"/>
        <v>250</v>
      </c>
      <c r="DJ15" s="41">
        <f t="shared" ref="DJ15:DK15" si="194">+DJ7-DJ14</f>
        <v>250</v>
      </c>
      <c r="DK15" s="41">
        <f t="shared" si="194"/>
        <v>270</v>
      </c>
      <c r="DL15" s="41">
        <f t="shared" ref="DL15:DM15" si="195">+DL7-DL14</f>
        <v>270</v>
      </c>
      <c r="DM15" s="41">
        <f t="shared" si="195"/>
        <v>270</v>
      </c>
      <c r="DN15" s="41">
        <f t="shared" ref="DN15:DO15" si="196">+DN7-DN14</f>
        <v>270</v>
      </c>
      <c r="DO15" s="41">
        <f t="shared" si="196"/>
        <v>290</v>
      </c>
      <c r="DP15" s="41">
        <f t="shared" ref="DP15:DQ15" si="197">+DP7-DP14</f>
        <v>300</v>
      </c>
      <c r="DQ15" s="41">
        <f t="shared" si="197"/>
        <v>300</v>
      </c>
      <c r="DR15" s="41">
        <f t="shared" ref="DR15:DS15" si="198">+DR7-DR14</f>
        <v>300</v>
      </c>
      <c r="DS15" s="41">
        <f t="shared" si="198"/>
        <v>300</v>
      </c>
      <c r="DT15" s="41">
        <f t="shared" ref="DT15:DU15" si="199">+DT7-DT14</f>
        <v>270</v>
      </c>
      <c r="DU15" s="41">
        <f t="shared" si="199"/>
        <v>270</v>
      </c>
      <c r="DV15" s="41">
        <f t="shared" ref="DV15:DW15" si="200">+DV7-DV14</f>
        <v>270</v>
      </c>
      <c r="DW15" s="41">
        <f t="shared" si="200"/>
        <v>270</v>
      </c>
      <c r="DX15" s="41">
        <f t="shared" ref="DX15:DY15" si="201">+DX7-DX14</f>
        <v>270</v>
      </c>
      <c r="DY15" s="41">
        <f t="shared" si="201"/>
        <v>270</v>
      </c>
      <c r="DZ15" s="41">
        <f t="shared" ref="DZ15:EA15" si="202">+DZ7-DZ14</f>
        <v>270</v>
      </c>
      <c r="EA15" s="41">
        <f t="shared" si="202"/>
        <v>270</v>
      </c>
      <c r="EB15" s="41">
        <f t="shared" ref="EB15:EC15" si="203">+EB7-EB14</f>
        <v>290</v>
      </c>
      <c r="EC15" s="41">
        <f t="shared" si="203"/>
        <v>300</v>
      </c>
      <c r="ED15" s="41">
        <f t="shared" ref="ED15:EE15" si="204">+ED7-ED14</f>
        <v>300</v>
      </c>
      <c r="EE15" s="41">
        <f t="shared" si="204"/>
        <v>300</v>
      </c>
      <c r="EF15" s="41">
        <f t="shared" ref="EF15:EG15" si="205">+EF7-EF14</f>
        <v>310</v>
      </c>
      <c r="EG15" s="41">
        <f t="shared" si="205"/>
        <v>310</v>
      </c>
      <c r="EH15" s="41">
        <f t="shared" ref="EH15:EI15" si="206">+EH7-EH14</f>
        <v>310</v>
      </c>
      <c r="EI15" s="41">
        <f t="shared" si="206"/>
        <v>320</v>
      </c>
      <c r="EJ15" s="41">
        <f t="shared" ref="EJ15:EK15" si="207">+EJ7-EJ14</f>
        <v>320</v>
      </c>
      <c r="EK15" s="41">
        <f t="shared" si="207"/>
        <v>320</v>
      </c>
      <c r="EL15" s="41">
        <f t="shared" ref="EL15:EM15" si="208">+EL7-EL14</f>
        <v>330</v>
      </c>
      <c r="EM15" s="41">
        <f t="shared" si="208"/>
        <v>330</v>
      </c>
      <c r="EN15" s="41">
        <f t="shared" ref="EN15:EO15" si="209">+EN7-EN14</f>
        <v>330</v>
      </c>
      <c r="EO15" s="41">
        <f t="shared" si="209"/>
        <v>310</v>
      </c>
      <c r="EP15" s="41">
        <f t="shared" ref="EP15:ET15" si="210">+EP7-EP14</f>
        <v>310</v>
      </c>
      <c r="EQ15" s="41">
        <f t="shared" si="210"/>
        <v>310</v>
      </c>
      <c r="ER15" s="41">
        <f t="shared" si="210"/>
        <v>310</v>
      </c>
      <c r="ES15" s="41">
        <f t="shared" si="210"/>
        <v>310</v>
      </c>
      <c r="ET15" s="41">
        <f t="shared" si="210"/>
        <v>310</v>
      </c>
      <c r="EU15" s="41">
        <f t="shared" ref="EU15:EX15" si="211">+EU7-EU14</f>
        <v>310</v>
      </c>
      <c r="EV15" s="41">
        <f t="shared" si="211"/>
        <v>310</v>
      </c>
      <c r="EW15" s="41">
        <f t="shared" si="211"/>
        <v>310</v>
      </c>
      <c r="EX15" s="41">
        <f t="shared" si="211"/>
        <v>310</v>
      </c>
      <c r="EY15" s="41">
        <f t="shared" ref="EY15:EZ15" si="212">+EY7-EY14</f>
        <v>310</v>
      </c>
      <c r="EZ15" s="41">
        <f t="shared" si="212"/>
        <v>310</v>
      </c>
      <c r="FA15" s="41">
        <f t="shared" ref="FA15:FB15" si="213">+FA7-FA14</f>
        <v>310</v>
      </c>
      <c r="FB15" s="41">
        <f t="shared" si="213"/>
        <v>310</v>
      </c>
      <c r="FC15" s="41">
        <f t="shared" ref="FC15:FD15" si="214">+FC7-FC14</f>
        <v>310</v>
      </c>
      <c r="FD15" s="41">
        <f t="shared" si="214"/>
        <v>310</v>
      </c>
      <c r="FE15" s="41">
        <f t="shared" ref="FE15:FF15" si="215">+FE7-FE14</f>
        <v>300</v>
      </c>
      <c r="FF15" s="41">
        <f t="shared" si="215"/>
        <v>300</v>
      </c>
      <c r="FG15" s="41">
        <f t="shared" ref="FG15:FJ15" si="216">+FG7-FG14</f>
        <v>95</v>
      </c>
      <c r="FH15" s="41">
        <f t="shared" si="216"/>
        <v>95</v>
      </c>
      <c r="FI15" s="41">
        <f t="shared" si="216"/>
        <v>95</v>
      </c>
      <c r="FJ15" s="41">
        <f t="shared" si="216"/>
        <v>135</v>
      </c>
      <c r="FK15" s="41">
        <f t="shared" ref="FK15:FN15" si="217">+FK7-FK14</f>
        <v>135</v>
      </c>
      <c r="FL15" s="41">
        <f t="shared" si="217"/>
        <v>145</v>
      </c>
      <c r="FM15" s="41">
        <f t="shared" si="217"/>
        <v>145</v>
      </c>
      <c r="FN15" s="41">
        <f t="shared" si="217"/>
        <v>135</v>
      </c>
      <c r="FO15" s="41">
        <f t="shared" ref="FO15:FS15" si="218">+FO7-FO14</f>
        <v>80.000000000000114</v>
      </c>
      <c r="FP15" s="41">
        <f t="shared" si="218"/>
        <v>80.000000000000114</v>
      </c>
      <c r="FQ15" s="41">
        <f t="shared" si="218"/>
        <v>80.000000000000114</v>
      </c>
      <c r="FR15" s="41">
        <f t="shared" si="218"/>
        <v>80.000000000000114</v>
      </c>
      <c r="FS15" s="41">
        <f t="shared" si="218"/>
        <v>90.000000000000114</v>
      </c>
      <c r="FT15" s="41">
        <f t="shared" ref="FT15:FW15" si="219">+FT7-FT14</f>
        <v>90.000000000000114</v>
      </c>
      <c r="FU15" s="41">
        <f t="shared" si="219"/>
        <v>90.000000000000114</v>
      </c>
      <c r="FV15" s="41">
        <f t="shared" si="219"/>
        <v>60.000000000000114</v>
      </c>
      <c r="FW15" s="41">
        <f t="shared" si="219"/>
        <v>60.000000000000114</v>
      </c>
      <c r="FX15" s="41">
        <f t="shared" ref="FX15:GB15" si="220">+FX7-FX14</f>
        <v>-930</v>
      </c>
      <c r="FY15" s="41">
        <f t="shared" si="220"/>
        <v>-930</v>
      </c>
      <c r="FZ15" s="41">
        <f t="shared" si="220"/>
        <v>-930</v>
      </c>
      <c r="GA15" s="41">
        <f t="shared" si="220"/>
        <v>-930</v>
      </c>
      <c r="GB15" s="41">
        <f t="shared" si="220"/>
        <v>-930</v>
      </c>
      <c r="GC15" s="41">
        <f t="shared" ref="GC15:GF15" si="221">+GC7-GC14</f>
        <v>-930</v>
      </c>
      <c r="GD15" s="41">
        <f t="shared" si="221"/>
        <v>-930</v>
      </c>
      <c r="GE15" s="41">
        <f t="shared" si="221"/>
        <v>-930</v>
      </c>
      <c r="GF15" s="41">
        <f t="shared" si="221"/>
        <v>-930</v>
      </c>
      <c r="GG15" s="41">
        <f t="shared" ref="GG15:GI15" si="222">+GG7-GG14</f>
        <v>-930</v>
      </c>
      <c r="GH15" s="41">
        <f t="shared" si="222"/>
        <v>-930</v>
      </c>
      <c r="GI15" s="41">
        <f t="shared" si="222"/>
        <v>-930</v>
      </c>
      <c r="GJ15" s="41">
        <f t="shared" ref="GJ15:GO15" si="223">+GJ7-GJ14</f>
        <v>-870</v>
      </c>
      <c r="GK15" s="41">
        <f t="shared" si="223"/>
        <v>-870</v>
      </c>
      <c r="GL15" s="41">
        <f t="shared" si="223"/>
        <v>-870</v>
      </c>
      <c r="GM15" s="41">
        <f t="shared" si="223"/>
        <v>-870</v>
      </c>
      <c r="GN15" s="41">
        <f t="shared" si="223"/>
        <v>-870</v>
      </c>
      <c r="GO15" s="41">
        <f t="shared" si="223"/>
        <v>-870</v>
      </c>
      <c r="GP15" s="41">
        <f t="shared" ref="GP15:GS15" si="224">+GP7-GP14</f>
        <v>-870</v>
      </c>
      <c r="GQ15" s="41">
        <f t="shared" si="224"/>
        <v>-830</v>
      </c>
      <c r="GR15" s="41">
        <f t="shared" si="224"/>
        <v>-830</v>
      </c>
      <c r="GS15" s="41">
        <f t="shared" si="224"/>
        <v>-830</v>
      </c>
      <c r="GT15" s="41">
        <f t="shared" ref="GT15:GW15" si="225">+GT7-GT14</f>
        <v>-830</v>
      </c>
      <c r="GU15" s="41">
        <f t="shared" si="225"/>
        <v>-830</v>
      </c>
      <c r="GV15" s="41">
        <f t="shared" si="225"/>
        <v>-830</v>
      </c>
      <c r="GW15" s="41">
        <f t="shared" si="225"/>
        <v>-830</v>
      </c>
      <c r="GX15" s="41">
        <f t="shared" ref="GX15:HB15" si="226">+GX7-GX14</f>
        <v>-830</v>
      </c>
      <c r="GY15" s="41">
        <f t="shared" si="226"/>
        <v>-830</v>
      </c>
      <c r="GZ15" s="41">
        <f t="shared" si="226"/>
        <v>-830</v>
      </c>
      <c r="HA15" s="41">
        <f t="shared" si="226"/>
        <v>-830</v>
      </c>
      <c r="HB15" s="41">
        <f t="shared" si="226"/>
        <v>-830</v>
      </c>
      <c r="HC15" s="41">
        <f t="shared" ref="HC15:HF15" si="227">+HC7-HC14</f>
        <v>-830</v>
      </c>
      <c r="HD15" s="41">
        <f t="shared" si="227"/>
        <v>-830</v>
      </c>
      <c r="HE15" s="41">
        <f t="shared" si="227"/>
        <v>-830</v>
      </c>
      <c r="HF15" s="41">
        <f t="shared" si="227"/>
        <v>-830</v>
      </c>
      <c r="HG15" s="41">
        <f t="shared" ref="HG15:HJ15" si="228">+HG7-HG14</f>
        <v>-975</v>
      </c>
      <c r="HH15" s="41">
        <f t="shared" si="228"/>
        <v>-1250</v>
      </c>
      <c r="HI15" s="41">
        <f t="shared" si="228"/>
        <v>-1400</v>
      </c>
      <c r="HJ15" s="41">
        <f t="shared" si="228"/>
        <v>-1450</v>
      </c>
    </row>
    <row r="16" spans="1:218">
      <c r="H16" s="1" t="s">
        <v>81</v>
      </c>
      <c r="I16" s="51">
        <f t="shared" ref="I16:O16" si="229">+I15/I14</f>
        <v>0.2285012285012285</v>
      </c>
      <c r="J16" s="51">
        <f t="shared" si="229"/>
        <v>0.14416475972540047</v>
      </c>
      <c r="K16" s="51">
        <f t="shared" si="229"/>
        <v>0.17041198501872659</v>
      </c>
      <c r="L16" s="51">
        <f t="shared" si="229"/>
        <v>0.19047619047619047</v>
      </c>
      <c r="M16" s="51">
        <f t="shared" si="229"/>
        <v>0.19904076738609114</v>
      </c>
      <c r="N16" s="51">
        <f t="shared" si="229"/>
        <v>0.28865979381443296</v>
      </c>
      <c r="O16" s="51">
        <f t="shared" si="229"/>
        <v>0.30208333333333331</v>
      </c>
      <c r="P16" s="51">
        <f t="shared" ref="P16:U16" si="230">+P15/P14</f>
        <v>0.24007936507936509</v>
      </c>
      <c r="Q16" s="51">
        <f t="shared" si="230"/>
        <v>0.21654501216545013</v>
      </c>
      <c r="R16" s="51">
        <f t="shared" si="230"/>
        <v>0.22549019607843138</v>
      </c>
      <c r="S16" s="51">
        <f t="shared" si="230"/>
        <v>0.30890052356020942</v>
      </c>
      <c r="T16" s="51">
        <f t="shared" si="230"/>
        <v>0.3888888888888889</v>
      </c>
      <c r="U16" s="51">
        <f t="shared" si="230"/>
        <v>0.31926121372031663</v>
      </c>
      <c r="V16" s="51">
        <f t="shared" ref="V16:W16" si="231">+V15/V14</f>
        <v>0.23762376237623761</v>
      </c>
      <c r="W16" s="51">
        <f t="shared" si="231"/>
        <v>0.25628140703517588</v>
      </c>
      <c r="X16" s="51">
        <f t="shared" ref="X16:Y16" si="232">+X15/X14</f>
        <v>0.28205128205128205</v>
      </c>
      <c r="Y16" s="51">
        <f t="shared" si="232"/>
        <v>0.30753138075313807</v>
      </c>
      <c r="Z16" s="51">
        <f t="shared" ref="Z16:AA16" si="233">+Z15/Z14</f>
        <v>0.27551020408163263</v>
      </c>
      <c r="AA16" s="51">
        <f t="shared" si="233"/>
        <v>0.28205128205128205</v>
      </c>
      <c r="AB16" s="51">
        <f t="shared" ref="AB16:AC16" si="234">+AB15/AB14</f>
        <v>0.32135306553911203</v>
      </c>
      <c r="AC16" s="51">
        <f t="shared" si="234"/>
        <v>0.34048257372654156</v>
      </c>
      <c r="AD16" s="51">
        <f t="shared" ref="AD16:AE16" si="235">+AD15/AD14</f>
        <v>0.34892086330935257</v>
      </c>
      <c r="AE16" s="51">
        <f t="shared" si="235"/>
        <v>0.32978723404255317</v>
      </c>
      <c r="AF16" s="51">
        <f t="shared" ref="AF16:AG16" si="236">+AF15/AF14</f>
        <v>0.32978723404255317</v>
      </c>
      <c r="AG16" s="51">
        <f t="shared" si="236"/>
        <v>0.32978723404255317</v>
      </c>
      <c r="AH16" s="51">
        <f t="shared" ref="AH16:AI16" si="237">+AH15/AH14</f>
        <v>0.32135306553911203</v>
      </c>
      <c r="AI16" s="51">
        <f t="shared" si="237"/>
        <v>0.11170212765957446</v>
      </c>
      <c r="AJ16" s="51">
        <f t="shared" ref="AJ16:AK16" si="238">+AJ15/AJ14</f>
        <v>0.15469613259668508</v>
      </c>
      <c r="AK16" s="51">
        <f t="shared" si="238"/>
        <v>9.0308370044052982E-2</v>
      </c>
      <c r="AL16" s="51">
        <f t="shared" ref="AL16:AM16" si="239">+AL15/AL14</f>
        <v>8.1967213114754217E-2</v>
      </c>
      <c r="AM16" s="51">
        <f t="shared" si="239"/>
        <v>-1</v>
      </c>
      <c r="AN16" s="51">
        <f t="shared" ref="AN16" si="240">+AN15/AN14</f>
        <v>-1</v>
      </c>
      <c r="AO16" s="51">
        <f t="shared" ref="AO16:AP16" si="241">+AO15/AO14</f>
        <v>-1</v>
      </c>
      <c r="AP16" s="51">
        <f t="shared" si="241"/>
        <v>-1</v>
      </c>
      <c r="AQ16" s="51">
        <f t="shared" ref="AQ16:AR16" si="242">+AQ15/AQ14</f>
        <v>-1</v>
      </c>
      <c r="AR16" s="51">
        <f t="shared" si="242"/>
        <v>-1</v>
      </c>
      <c r="AS16" s="51">
        <f t="shared" ref="AS16:AT16" si="243">+AS15/AS14</f>
        <v>-1</v>
      </c>
      <c r="AT16" s="51">
        <f t="shared" si="243"/>
        <v>-1</v>
      </c>
      <c r="AU16" s="51">
        <f t="shared" ref="AU16:AV16" si="244">+AU15/AU14</f>
        <v>-1</v>
      </c>
      <c r="AV16" s="51">
        <f t="shared" si="244"/>
        <v>-1</v>
      </c>
      <c r="AZ16" s="1" t="s">
        <v>81</v>
      </c>
      <c r="BA16" s="51">
        <f t="shared" ref="BA16:BL16" si="245">+BA15/BA14</f>
        <v>0.25</v>
      </c>
      <c r="BB16" s="51">
        <f>+BB15/BB14</f>
        <v>0.32978723404255317</v>
      </c>
      <c r="BC16" s="51">
        <f t="shared" si="245"/>
        <v>0.22549019607843138</v>
      </c>
      <c r="BD16" s="51">
        <f t="shared" si="245"/>
        <v>0.21359223300970873</v>
      </c>
      <c r="BE16" s="51">
        <f t="shared" si="245"/>
        <v>0.15740740740740741</v>
      </c>
      <c r="BF16" s="51">
        <f t="shared" si="245"/>
        <v>0.13636363636363635</v>
      </c>
      <c r="BG16" s="51">
        <f t="shared" si="245"/>
        <v>0.13636363636363635</v>
      </c>
      <c r="BH16" s="51">
        <f t="shared" si="245"/>
        <v>0.14678899082568808</v>
      </c>
      <c r="BI16" s="51">
        <f t="shared" si="245"/>
        <v>0.15740740740740741</v>
      </c>
      <c r="BJ16" s="51">
        <f>+BJ15/BJ14</f>
        <v>0.15740740740740741</v>
      </c>
      <c r="BK16" s="51">
        <f t="shared" si="245"/>
        <v>0.16822429906542055</v>
      </c>
      <c r="BL16" s="51">
        <f t="shared" si="245"/>
        <v>0.16822429906542055</v>
      </c>
      <c r="BM16" s="51">
        <f>+BM15/BM14</f>
        <v>0.16822429906542055</v>
      </c>
      <c r="BN16" s="51">
        <f>+BN15/BN14</f>
        <v>0.19047619047619047</v>
      </c>
      <c r="BO16" s="51">
        <f>+BO15/BO14</f>
        <v>0.19047619047619047</v>
      </c>
      <c r="BP16" s="51">
        <f t="shared" ref="BP16:BX16" si="246">+BP15/BP14</f>
        <v>0.19047619047619047</v>
      </c>
      <c r="BQ16" s="51">
        <f t="shared" si="246"/>
        <v>0.19047619047619047</v>
      </c>
      <c r="BR16" s="51">
        <f t="shared" si="246"/>
        <v>0.19047619047619047</v>
      </c>
      <c r="BS16" s="51">
        <f t="shared" si="246"/>
        <v>0.19047619047619047</v>
      </c>
      <c r="BT16" s="51">
        <f t="shared" si="246"/>
        <v>0.19047619047619047</v>
      </c>
      <c r="BU16" s="51">
        <f t="shared" si="246"/>
        <v>0.20192307692307693</v>
      </c>
      <c r="BV16" s="51">
        <f t="shared" si="246"/>
        <v>0.21359223300970873</v>
      </c>
      <c r="BW16" s="51">
        <f t="shared" si="246"/>
        <v>0.21359223300970873</v>
      </c>
      <c r="BX16" s="51">
        <f t="shared" si="246"/>
        <v>0.31578947368421051</v>
      </c>
      <c r="BY16" s="51">
        <f t="shared" ref="BY16:CD16" si="247">+BY15/BY14</f>
        <v>0.31578947368421051</v>
      </c>
      <c r="BZ16" s="51">
        <f t="shared" si="247"/>
        <v>0.31578947368421051</v>
      </c>
      <c r="CA16" s="51">
        <f t="shared" si="247"/>
        <v>0.31578947368421051</v>
      </c>
      <c r="CB16" s="51">
        <f t="shared" si="247"/>
        <v>0.31578947368421051</v>
      </c>
      <c r="CC16" s="51">
        <f t="shared" si="247"/>
        <v>0.28865979381443296</v>
      </c>
      <c r="CD16" s="51">
        <f t="shared" si="247"/>
        <v>0.28865979381443296</v>
      </c>
      <c r="CE16" s="51">
        <f t="shared" ref="CE16:CJ16" si="248">+CE15/CE14</f>
        <v>0.25</v>
      </c>
      <c r="CF16" s="51">
        <f t="shared" si="248"/>
        <v>0.25</v>
      </c>
      <c r="CG16" s="51">
        <f t="shared" si="248"/>
        <v>0.25</v>
      </c>
      <c r="CH16" s="51">
        <f t="shared" si="248"/>
        <v>0.22549019607843138</v>
      </c>
      <c r="CI16" s="51">
        <f t="shared" si="248"/>
        <v>0.22549019607843138</v>
      </c>
      <c r="CJ16" s="51">
        <f t="shared" si="248"/>
        <v>0.22549019607843138</v>
      </c>
      <c r="CK16" s="51">
        <f t="shared" ref="CK16:CP16" si="249">+CK15/CK14</f>
        <v>0.21359223300970873</v>
      </c>
      <c r="CL16" s="51">
        <f t="shared" si="249"/>
        <v>0.21359223300970873</v>
      </c>
      <c r="CM16" s="51">
        <f t="shared" si="249"/>
        <v>0.21359223300970873</v>
      </c>
      <c r="CN16" s="51">
        <f t="shared" si="249"/>
        <v>0.21359223300970873</v>
      </c>
      <c r="CO16" s="51">
        <f t="shared" si="249"/>
        <v>0.21359223300970873</v>
      </c>
      <c r="CP16" s="51">
        <f t="shared" si="249"/>
        <v>0.22549019607843138</v>
      </c>
      <c r="CQ16" s="51">
        <f t="shared" ref="CQ16:CV16" si="250">+CQ15/CQ14</f>
        <v>0.25</v>
      </c>
      <c r="CR16" s="51">
        <f t="shared" si="250"/>
        <v>0.27551020408163263</v>
      </c>
      <c r="CS16" s="51">
        <f t="shared" si="250"/>
        <v>0.30208333333333331</v>
      </c>
      <c r="CT16" s="51">
        <f t="shared" si="250"/>
        <v>0.32978723404255317</v>
      </c>
      <c r="CU16" s="51">
        <f t="shared" si="250"/>
        <v>0.32978723404255317</v>
      </c>
      <c r="CV16" s="51">
        <f t="shared" si="250"/>
        <v>0.3888888888888889</v>
      </c>
      <c r="CW16" s="51">
        <f t="shared" ref="CW16:CX16" si="251">+CW15/CW14</f>
        <v>0.3888888888888889</v>
      </c>
      <c r="CX16" s="51">
        <f t="shared" si="251"/>
        <v>0.3888888888888889</v>
      </c>
      <c r="CY16" s="51">
        <f t="shared" ref="CY16:CZ16" si="252">+CY15/CY14</f>
        <v>0.3888888888888889</v>
      </c>
      <c r="CZ16" s="51">
        <f t="shared" si="252"/>
        <v>0.3888888888888889</v>
      </c>
      <c r="DA16" s="51">
        <f t="shared" ref="DA16:DB16" si="253">+DA15/DA14</f>
        <v>0.3888888888888889</v>
      </c>
      <c r="DB16" s="51">
        <f t="shared" si="253"/>
        <v>0.34408602150537637</v>
      </c>
      <c r="DC16" s="51">
        <f t="shared" ref="DC16:DD16" si="254">+DC15/DC14</f>
        <v>0.34408602150537637</v>
      </c>
      <c r="DD16" s="51">
        <f t="shared" si="254"/>
        <v>0.21359223300970873</v>
      </c>
      <c r="DE16" s="51">
        <f t="shared" ref="DE16:DF16" si="255">+DE15/DE14</f>
        <v>0.21359223300970873</v>
      </c>
      <c r="DF16" s="51">
        <f t="shared" si="255"/>
        <v>0.25</v>
      </c>
      <c r="DG16" s="51">
        <f t="shared" ref="DG16:DH16" si="256">+DG15/DG14</f>
        <v>0.25</v>
      </c>
      <c r="DH16" s="51">
        <f t="shared" si="256"/>
        <v>0.25</v>
      </c>
      <c r="DI16" s="51">
        <f t="shared" ref="DI16:DJ16" si="257">+DI15/DI14</f>
        <v>0.25</v>
      </c>
      <c r="DJ16" s="51">
        <f t="shared" si="257"/>
        <v>0.25</v>
      </c>
      <c r="DK16" s="51">
        <f t="shared" ref="DK16:DL16" si="258">+DK15/DK14</f>
        <v>0.27551020408163263</v>
      </c>
      <c r="DL16" s="51">
        <f t="shared" si="258"/>
        <v>0.27551020408163263</v>
      </c>
      <c r="DM16" s="51">
        <f t="shared" ref="DM16:DO16" si="259">+DM15/DM14</f>
        <v>0.27551020408163263</v>
      </c>
      <c r="DN16" s="51">
        <f t="shared" si="259"/>
        <v>0.27551020408163263</v>
      </c>
      <c r="DO16" s="51">
        <f t="shared" si="259"/>
        <v>0.30208333333333331</v>
      </c>
      <c r="DP16" s="51">
        <f t="shared" ref="DP16:DQ16" si="260">+DP15/DP14</f>
        <v>0.31578947368421051</v>
      </c>
      <c r="DQ16" s="51">
        <f t="shared" si="260"/>
        <v>0.31578947368421051</v>
      </c>
      <c r="DR16" s="51">
        <f t="shared" ref="DR16:DS16" si="261">+DR15/DR14</f>
        <v>0.31578947368421051</v>
      </c>
      <c r="DS16" s="51">
        <f t="shared" si="261"/>
        <v>0.31578947368421051</v>
      </c>
      <c r="DT16" s="51">
        <f t="shared" ref="DT16:DU16" si="262">+DT15/DT14</f>
        <v>0.27551020408163263</v>
      </c>
      <c r="DU16" s="51">
        <f t="shared" si="262"/>
        <v>0.27551020408163263</v>
      </c>
      <c r="DV16" s="51">
        <f t="shared" ref="DV16:DW16" si="263">+DV15/DV14</f>
        <v>0.27551020408163263</v>
      </c>
      <c r="DW16" s="51">
        <f t="shared" si="263"/>
        <v>0.27551020408163263</v>
      </c>
      <c r="DX16" s="51">
        <f t="shared" ref="DX16:DY16" si="264">+DX15/DX14</f>
        <v>0.27551020408163263</v>
      </c>
      <c r="DY16" s="51">
        <f t="shared" si="264"/>
        <v>0.27551020408163263</v>
      </c>
      <c r="DZ16" s="51">
        <f t="shared" ref="DZ16:EA16" si="265">+DZ15/DZ14</f>
        <v>0.27551020408163263</v>
      </c>
      <c r="EA16" s="51">
        <f t="shared" si="265"/>
        <v>0.27551020408163263</v>
      </c>
      <c r="EB16" s="51">
        <f t="shared" ref="EB16:EC16" si="266">+EB15/EB14</f>
        <v>0.30208333333333331</v>
      </c>
      <c r="EC16" s="51">
        <f t="shared" si="266"/>
        <v>0.31578947368421051</v>
      </c>
      <c r="ED16" s="51">
        <f t="shared" ref="ED16:EE16" si="267">+ED15/ED14</f>
        <v>0.31578947368421051</v>
      </c>
      <c r="EE16" s="51">
        <f t="shared" si="267"/>
        <v>0.31578947368421051</v>
      </c>
      <c r="EF16" s="51">
        <f t="shared" ref="EF16:EG16" si="268">+EF15/EF14</f>
        <v>0.32978723404255317</v>
      </c>
      <c r="EG16" s="51">
        <f t="shared" si="268"/>
        <v>0.32978723404255317</v>
      </c>
      <c r="EH16" s="51">
        <f t="shared" ref="EH16:EI16" si="269">+EH15/EH14</f>
        <v>0.32978723404255317</v>
      </c>
      <c r="EI16" s="51">
        <f t="shared" si="269"/>
        <v>0.34408602150537637</v>
      </c>
      <c r="EJ16" s="51">
        <f t="shared" ref="EJ16:EK16" si="270">+EJ15/EJ14</f>
        <v>0.34408602150537637</v>
      </c>
      <c r="EK16" s="51">
        <f t="shared" si="270"/>
        <v>0.34408602150537637</v>
      </c>
      <c r="EL16" s="51">
        <f t="shared" ref="EL16:EM16" si="271">+EL15/EL14</f>
        <v>0.35869565217391303</v>
      </c>
      <c r="EM16" s="51">
        <f t="shared" si="271"/>
        <v>0.35869565217391303</v>
      </c>
      <c r="EN16" s="51">
        <f t="shared" ref="EN16:EO16" si="272">+EN15/EN14</f>
        <v>0.35869565217391303</v>
      </c>
      <c r="EO16" s="51">
        <f t="shared" si="272"/>
        <v>0.32978723404255317</v>
      </c>
      <c r="EP16" s="51">
        <f t="shared" ref="EP16:ET16" si="273">+EP15/EP14</f>
        <v>0.32978723404255317</v>
      </c>
      <c r="EQ16" s="51">
        <f t="shared" si="273"/>
        <v>0.32978723404255317</v>
      </c>
      <c r="ER16" s="51">
        <f t="shared" si="273"/>
        <v>0.32978723404255317</v>
      </c>
      <c r="ES16" s="51">
        <f t="shared" si="273"/>
        <v>0.32978723404255317</v>
      </c>
      <c r="ET16" s="51">
        <f t="shared" si="273"/>
        <v>0.32978723404255317</v>
      </c>
      <c r="EU16" s="51">
        <f t="shared" ref="EU16:EX16" si="274">+EU15/EU14</f>
        <v>0.32978723404255317</v>
      </c>
      <c r="EV16" s="51">
        <f t="shared" si="274"/>
        <v>0.32978723404255317</v>
      </c>
      <c r="EW16" s="51">
        <f t="shared" si="274"/>
        <v>0.32978723404255317</v>
      </c>
      <c r="EX16" s="51">
        <f t="shared" si="274"/>
        <v>0.32978723404255317</v>
      </c>
      <c r="EY16" s="51">
        <f t="shared" ref="EY16:EZ16" si="275">+EY15/EY14</f>
        <v>0.32978723404255317</v>
      </c>
      <c r="EZ16" s="51">
        <f t="shared" si="275"/>
        <v>0.32978723404255317</v>
      </c>
      <c r="FA16" s="51">
        <f t="shared" ref="FA16:FB16" si="276">+FA15/FA14</f>
        <v>0.32978723404255317</v>
      </c>
      <c r="FB16" s="51">
        <f t="shared" si="276"/>
        <v>0.32978723404255317</v>
      </c>
      <c r="FC16" s="51">
        <f t="shared" ref="FC16:FD16" si="277">+FC15/FC14</f>
        <v>0.32978723404255317</v>
      </c>
      <c r="FD16" s="51">
        <f t="shared" si="277"/>
        <v>0.32978723404255317</v>
      </c>
      <c r="FE16" s="51">
        <f t="shared" ref="FE16:FF16" si="278">+FE15/FE14</f>
        <v>0.31578947368421051</v>
      </c>
      <c r="FF16" s="51">
        <f t="shared" si="278"/>
        <v>0.31578947368421051</v>
      </c>
      <c r="FG16" s="51">
        <f t="shared" ref="FG16:FJ16" si="279">+FG15/FG14</f>
        <v>0.1</v>
      </c>
      <c r="FH16" s="51">
        <f t="shared" si="279"/>
        <v>0.1</v>
      </c>
      <c r="FI16" s="51">
        <f t="shared" si="279"/>
        <v>0.1</v>
      </c>
      <c r="FJ16" s="51">
        <f t="shared" si="279"/>
        <v>0.14835164835164835</v>
      </c>
      <c r="FK16" s="51">
        <f t="shared" ref="FK16:FN16" si="280">+FK15/FK14</f>
        <v>0.14835164835164835</v>
      </c>
      <c r="FL16" s="51">
        <f t="shared" si="280"/>
        <v>0.16111111111111112</v>
      </c>
      <c r="FM16" s="51">
        <f t="shared" si="280"/>
        <v>0.16111111111111112</v>
      </c>
      <c r="FN16" s="51">
        <f t="shared" si="280"/>
        <v>0.14835164835164835</v>
      </c>
      <c r="FO16" s="51">
        <f t="shared" ref="FO16:FS16" si="281">+FO15/FO14</f>
        <v>8.7912087912088044E-2</v>
      </c>
      <c r="FP16" s="51">
        <f t="shared" si="281"/>
        <v>8.7912087912088044E-2</v>
      </c>
      <c r="FQ16" s="51">
        <f t="shared" si="281"/>
        <v>8.7912087912088044E-2</v>
      </c>
      <c r="FR16" s="51">
        <f t="shared" si="281"/>
        <v>8.7912087912088044E-2</v>
      </c>
      <c r="FS16" s="51">
        <f t="shared" si="281"/>
        <v>0.10000000000000013</v>
      </c>
      <c r="FT16" s="51">
        <f t="shared" ref="FT16:FW16" si="282">+FT15/FT14</f>
        <v>0.10000000000000013</v>
      </c>
      <c r="FU16" s="51">
        <f t="shared" si="282"/>
        <v>0.10000000000000013</v>
      </c>
      <c r="FV16" s="51">
        <f t="shared" si="282"/>
        <v>6.4516129032258188E-2</v>
      </c>
      <c r="FW16" s="51">
        <f t="shared" si="282"/>
        <v>6.4516129032258188E-2</v>
      </c>
      <c r="FX16" s="51">
        <f t="shared" ref="FX16:GB16" si="283">+FX15/FX14</f>
        <v>-1</v>
      </c>
      <c r="FY16" s="51">
        <f t="shared" si="283"/>
        <v>-1</v>
      </c>
      <c r="FZ16" s="51">
        <f t="shared" si="283"/>
        <v>-1</v>
      </c>
      <c r="GA16" s="51">
        <f t="shared" si="283"/>
        <v>-1</v>
      </c>
      <c r="GB16" s="51">
        <f t="shared" si="283"/>
        <v>-1</v>
      </c>
      <c r="GC16" s="51">
        <f t="shared" ref="GC16:GF16" si="284">+GC15/GC14</f>
        <v>-1</v>
      </c>
      <c r="GD16" s="51">
        <f t="shared" si="284"/>
        <v>-1</v>
      </c>
      <c r="GE16" s="51">
        <f t="shared" si="284"/>
        <v>-1</v>
      </c>
      <c r="GF16" s="51">
        <f t="shared" si="284"/>
        <v>-1</v>
      </c>
      <c r="GG16" s="51">
        <f t="shared" ref="GG16:GI16" si="285">+GG15/GG14</f>
        <v>-1</v>
      </c>
      <c r="GH16" s="51">
        <f t="shared" si="285"/>
        <v>-1</v>
      </c>
      <c r="GI16" s="51">
        <f t="shared" si="285"/>
        <v>-1</v>
      </c>
      <c r="GJ16" s="51">
        <f t="shared" ref="GJ16:GO16" si="286">+GJ15/GJ14</f>
        <v>-1</v>
      </c>
      <c r="GK16" s="51">
        <f t="shared" si="286"/>
        <v>-1</v>
      </c>
      <c r="GL16" s="51">
        <f t="shared" si="286"/>
        <v>-1</v>
      </c>
      <c r="GM16" s="51">
        <f t="shared" si="286"/>
        <v>-1</v>
      </c>
      <c r="GN16" s="51">
        <f t="shared" si="286"/>
        <v>-1</v>
      </c>
      <c r="GO16" s="51">
        <f t="shared" si="286"/>
        <v>-1</v>
      </c>
      <c r="GP16" s="51">
        <f t="shared" ref="GP16:GS16" si="287">+GP15/GP14</f>
        <v>-1</v>
      </c>
      <c r="GQ16" s="51">
        <f t="shared" si="287"/>
        <v>-1</v>
      </c>
      <c r="GR16" s="51">
        <f t="shared" si="287"/>
        <v>-1</v>
      </c>
      <c r="GS16" s="51">
        <f t="shared" si="287"/>
        <v>-1</v>
      </c>
      <c r="GT16" s="51">
        <f t="shared" ref="GT16:GW16" si="288">+GT15/GT14</f>
        <v>-1</v>
      </c>
      <c r="GU16" s="51">
        <f t="shared" si="288"/>
        <v>-1</v>
      </c>
      <c r="GV16" s="51">
        <f t="shared" si="288"/>
        <v>-1</v>
      </c>
      <c r="GW16" s="51">
        <f t="shared" si="288"/>
        <v>-1</v>
      </c>
      <c r="GX16" s="51">
        <f t="shared" ref="GX16:HB16" si="289">+GX15/GX14</f>
        <v>-1</v>
      </c>
      <c r="GY16" s="51">
        <f t="shared" si="289"/>
        <v>-1</v>
      </c>
      <c r="GZ16" s="51">
        <f t="shared" si="289"/>
        <v>-1</v>
      </c>
      <c r="HA16" s="51">
        <f t="shared" si="289"/>
        <v>-1</v>
      </c>
      <c r="HB16" s="51">
        <f t="shared" si="289"/>
        <v>-1</v>
      </c>
      <c r="HC16" s="51">
        <f t="shared" ref="HC16:HF16" si="290">+HC15/HC14</f>
        <v>-1</v>
      </c>
      <c r="HD16" s="51">
        <f t="shared" si="290"/>
        <v>-1</v>
      </c>
      <c r="HE16" s="51">
        <f t="shared" si="290"/>
        <v>-1</v>
      </c>
      <c r="HF16" s="51">
        <f t="shared" si="290"/>
        <v>-1</v>
      </c>
      <c r="HG16" s="51">
        <f t="shared" ref="HG16:HJ16" si="291">+HG15/HG14</f>
        <v>-1</v>
      </c>
      <c r="HH16" s="51">
        <f t="shared" si="291"/>
        <v>-1</v>
      </c>
      <c r="HI16" s="51">
        <f t="shared" si="291"/>
        <v>-1</v>
      </c>
      <c r="HJ16" s="51">
        <f t="shared" si="291"/>
        <v>-1</v>
      </c>
    </row>
    <row r="17" spans="6:218">
      <c r="H17" s="1" t="s">
        <v>87</v>
      </c>
      <c r="I17" s="3">
        <v>700</v>
      </c>
      <c r="J17" s="3">
        <v>700</v>
      </c>
      <c r="K17" s="3">
        <v>700</v>
      </c>
      <c r="L17" s="3">
        <v>700</v>
      </c>
      <c r="M17" s="3">
        <v>700</v>
      </c>
      <c r="N17" s="3">
        <v>700</v>
      </c>
      <c r="O17" s="3">
        <v>700</v>
      </c>
      <c r="P17" s="3">
        <v>700</v>
      </c>
      <c r="Q17" s="3">
        <v>700</v>
      </c>
      <c r="R17" s="3">
        <v>700</v>
      </c>
      <c r="S17" s="3">
        <v>700</v>
      </c>
      <c r="T17" s="3">
        <v>700</v>
      </c>
      <c r="U17" s="3">
        <v>700</v>
      </c>
      <c r="V17" s="3">
        <v>700</v>
      </c>
      <c r="W17" s="3">
        <v>700</v>
      </c>
      <c r="X17" s="3">
        <v>700</v>
      </c>
      <c r="Y17" s="3">
        <v>700</v>
      </c>
      <c r="Z17" s="3">
        <v>700</v>
      </c>
      <c r="AA17" s="3">
        <v>867</v>
      </c>
      <c r="AB17" s="3">
        <v>896</v>
      </c>
      <c r="AC17" s="3">
        <v>917</v>
      </c>
      <c r="AD17" s="3">
        <v>929.83940375991074</v>
      </c>
      <c r="AE17" s="3">
        <v>937.6525486806504</v>
      </c>
      <c r="AF17" s="3">
        <v>903.25545215030104</v>
      </c>
      <c r="AG17" s="3">
        <v>892.9656675146</v>
      </c>
      <c r="AH17" s="3">
        <v>888.18378633668294</v>
      </c>
      <c r="AI17" s="3">
        <v>888.72553118965845</v>
      </c>
      <c r="AJ17" s="3">
        <v>907.07292397839512</v>
      </c>
      <c r="AK17" s="3">
        <v>882.40131799312564</v>
      </c>
      <c r="AL17" s="3">
        <v>879.34169259731004</v>
      </c>
      <c r="AM17" s="3">
        <v>869.51494640636486</v>
      </c>
      <c r="AN17" s="3">
        <v>858.88795414284152</v>
      </c>
      <c r="AO17" s="3">
        <v>871.88030785226169</v>
      </c>
      <c r="AP17" s="3">
        <v>720.35177011385679</v>
      </c>
      <c r="AQ17" s="3">
        <v>720.52419756540337</v>
      </c>
      <c r="AR17" s="3">
        <v>733.774414718137</v>
      </c>
      <c r="AS17" s="3">
        <v>747.86078922841239</v>
      </c>
      <c r="AT17" s="3">
        <v>740.87159509676439</v>
      </c>
      <c r="AU17" s="3">
        <v>746.42906346587836</v>
      </c>
      <c r="AV17" s="3"/>
      <c r="AZ17" s="1" t="s">
        <v>87</v>
      </c>
      <c r="BA17" s="41">
        <v>1110</v>
      </c>
      <c r="BB17" s="3">
        <v>700</v>
      </c>
      <c r="BC17" s="3">
        <v>700</v>
      </c>
      <c r="BD17" s="3">
        <v>700</v>
      </c>
      <c r="BE17" s="3">
        <v>700</v>
      </c>
      <c r="BF17" s="3">
        <v>700</v>
      </c>
      <c r="BG17" s="3">
        <v>700</v>
      </c>
      <c r="BH17" s="3">
        <v>700</v>
      </c>
      <c r="BI17" s="3">
        <v>700</v>
      </c>
      <c r="BJ17" s="3">
        <v>700</v>
      </c>
      <c r="BK17" s="3">
        <v>700</v>
      </c>
      <c r="BL17" s="3">
        <v>700</v>
      </c>
      <c r="BM17" s="3">
        <v>700</v>
      </c>
      <c r="BN17" s="3">
        <v>700</v>
      </c>
      <c r="BO17" s="3">
        <v>700</v>
      </c>
      <c r="BP17" s="3">
        <v>700</v>
      </c>
      <c r="BQ17" s="3">
        <v>700</v>
      </c>
      <c r="BR17" s="3">
        <v>700</v>
      </c>
      <c r="BS17" s="3">
        <v>700</v>
      </c>
      <c r="BT17" s="3">
        <v>700</v>
      </c>
      <c r="BU17" s="3">
        <v>700</v>
      </c>
      <c r="BV17" s="3">
        <v>700</v>
      </c>
      <c r="BW17" s="3">
        <v>700</v>
      </c>
      <c r="BX17" s="3">
        <v>700</v>
      </c>
      <c r="BY17" s="3">
        <v>700</v>
      </c>
      <c r="BZ17" s="3">
        <v>700</v>
      </c>
      <c r="CA17" s="3">
        <v>700</v>
      </c>
      <c r="CB17" s="3">
        <v>700</v>
      </c>
      <c r="CC17" s="3">
        <v>700</v>
      </c>
      <c r="CD17" s="3">
        <v>700</v>
      </c>
      <c r="CE17" s="3">
        <v>700</v>
      </c>
      <c r="CF17" s="3">
        <v>700</v>
      </c>
      <c r="CG17" s="3">
        <v>700</v>
      </c>
      <c r="CH17" s="3">
        <v>700</v>
      </c>
      <c r="CI17" s="3">
        <v>700</v>
      </c>
      <c r="CJ17" s="3">
        <v>700</v>
      </c>
      <c r="CK17" s="3">
        <v>700</v>
      </c>
      <c r="CL17" s="3">
        <v>700</v>
      </c>
      <c r="CM17" s="3">
        <v>700</v>
      </c>
      <c r="CN17" s="3">
        <v>700</v>
      </c>
      <c r="CO17" s="3">
        <v>700</v>
      </c>
      <c r="CP17" s="3">
        <v>700</v>
      </c>
      <c r="CQ17" s="3">
        <v>700</v>
      </c>
      <c r="CR17" s="3">
        <v>700</v>
      </c>
      <c r="CS17" s="3">
        <v>700</v>
      </c>
      <c r="CT17" s="3">
        <v>700</v>
      </c>
      <c r="CU17" s="3">
        <v>700</v>
      </c>
      <c r="CV17" s="3">
        <v>700</v>
      </c>
      <c r="CW17" s="3">
        <v>700</v>
      </c>
      <c r="CX17" s="3">
        <v>700</v>
      </c>
      <c r="CY17" s="3">
        <v>700</v>
      </c>
      <c r="CZ17" s="3">
        <v>700</v>
      </c>
      <c r="DA17" s="3">
        <v>700</v>
      </c>
      <c r="DB17" s="3">
        <v>700</v>
      </c>
      <c r="DC17" s="3">
        <v>700</v>
      </c>
      <c r="DD17" s="3">
        <v>700</v>
      </c>
      <c r="DE17" s="3">
        <v>700</v>
      </c>
      <c r="DF17" s="3">
        <v>700</v>
      </c>
      <c r="DG17" s="3">
        <v>700</v>
      </c>
      <c r="DH17" s="3">
        <v>700</v>
      </c>
      <c r="DI17" s="3">
        <v>700</v>
      </c>
      <c r="DJ17" s="3">
        <v>700</v>
      </c>
      <c r="DK17" s="3">
        <v>700</v>
      </c>
      <c r="DL17" s="3">
        <v>700</v>
      </c>
      <c r="DM17" s="3">
        <v>700</v>
      </c>
      <c r="DN17" s="3">
        <v>700</v>
      </c>
      <c r="DO17" s="3">
        <v>700</v>
      </c>
      <c r="DP17" s="3">
        <v>700</v>
      </c>
      <c r="DQ17" s="3">
        <v>700</v>
      </c>
      <c r="DR17" s="3">
        <v>700</v>
      </c>
      <c r="DS17" s="3">
        <v>700</v>
      </c>
      <c r="DT17" s="3">
        <v>700</v>
      </c>
      <c r="DU17" s="3">
        <v>700</v>
      </c>
      <c r="DV17" s="3">
        <v>700</v>
      </c>
      <c r="DW17" s="3">
        <v>700</v>
      </c>
      <c r="DX17" s="3">
        <v>700</v>
      </c>
      <c r="DY17" s="1">
        <v>867</v>
      </c>
      <c r="DZ17" s="1">
        <v>867</v>
      </c>
      <c r="EA17" s="1">
        <v>867</v>
      </c>
      <c r="EB17" s="1">
        <v>867</v>
      </c>
      <c r="EC17" s="1">
        <v>896</v>
      </c>
      <c r="ED17" s="1">
        <v>896</v>
      </c>
      <c r="EE17" s="1">
        <v>896</v>
      </c>
      <c r="EF17" s="1">
        <v>896</v>
      </c>
      <c r="EG17" s="1">
        <v>896</v>
      </c>
      <c r="EH17" s="1">
        <v>917</v>
      </c>
      <c r="EI17" s="1">
        <v>917</v>
      </c>
      <c r="EJ17" s="1">
        <v>917</v>
      </c>
      <c r="EK17" s="1">
        <v>917</v>
      </c>
      <c r="EL17" s="173">
        <v>929.83940375991074</v>
      </c>
      <c r="EM17" s="173">
        <v>929.83940375991074</v>
      </c>
      <c r="EN17" s="173">
        <v>929.83940375991074</v>
      </c>
      <c r="EO17" s="173">
        <v>929.83940375991074</v>
      </c>
      <c r="EP17" s="173">
        <v>937.6525486806504</v>
      </c>
      <c r="EQ17" s="173">
        <v>937.6525486806504</v>
      </c>
      <c r="ER17" s="173">
        <v>937.6525486806504</v>
      </c>
      <c r="ES17" s="173">
        <v>937.6525486806504</v>
      </c>
      <c r="ET17" s="173">
        <v>937.6525486806504</v>
      </c>
      <c r="EU17" s="173">
        <v>903.25545215030104</v>
      </c>
      <c r="EV17" s="173">
        <v>903.25545215030104</v>
      </c>
      <c r="EW17" s="173">
        <v>903.25545215030104</v>
      </c>
      <c r="EX17" s="173">
        <v>903.25545215030104</v>
      </c>
      <c r="EY17" s="173">
        <v>892.9656675146</v>
      </c>
      <c r="EZ17" s="173">
        <v>892.9656675146</v>
      </c>
      <c r="FA17" s="173">
        <v>892.9656675146</v>
      </c>
      <c r="FB17" s="173">
        <v>892.9656675146</v>
      </c>
      <c r="FC17" s="173">
        <v>888.18378633668294</v>
      </c>
      <c r="FD17" s="173">
        <v>888.18378633668294</v>
      </c>
      <c r="FE17" s="173">
        <v>888.18378633668294</v>
      </c>
      <c r="FF17" s="173">
        <v>888.18378633668294</v>
      </c>
      <c r="FG17" s="173">
        <v>888.72553118965845</v>
      </c>
      <c r="FH17" s="173">
        <v>888.72553118965845</v>
      </c>
      <c r="FI17" s="173">
        <v>888.72553118965845</v>
      </c>
      <c r="FJ17" s="173">
        <v>888.72553118965845</v>
      </c>
      <c r="FK17" s="173">
        <v>907.07292397839512</v>
      </c>
      <c r="FL17" s="173">
        <v>907.07292397839512</v>
      </c>
      <c r="FM17" s="173">
        <v>907.07292397839512</v>
      </c>
      <c r="FN17" s="173">
        <v>907.07292397839512</v>
      </c>
      <c r="FO17" s="173">
        <v>882.40131799312564</v>
      </c>
      <c r="FP17" s="173">
        <v>882.40131799312564</v>
      </c>
      <c r="FQ17" s="173">
        <v>882.40131799312564</v>
      </c>
      <c r="FR17" s="173">
        <v>882.40131799312564</v>
      </c>
      <c r="FS17" s="173">
        <v>882.40131799312564</v>
      </c>
      <c r="FT17" s="173">
        <v>879.34169259731004</v>
      </c>
      <c r="FU17" s="173">
        <v>879.34169259731004</v>
      </c>
      <c r="FV17" s="173">
        <v>879.34169259731004</v>
      </c>
      <c r="FW17" s="173">
        <v>879.34169259731004</v>
      </c>
      <c r="FX17" s="3">
        <v>869.51494640636486</v>
      </c>
      <c r="FY17" s="3">
        <v>869.51494640636486</v>
      </c>
      <c r="FZ17" s="3">
        <v>869.51494640636486</v>
      </c>
      <c r="GA17" s="3">
        <v>869.51494640636486</v>
      </c>
      <c r="GB17" s="3">
        <v>869.51494640636486</v>
      </c>
      <c r="GC17" s="3">
        <v>858.88795414284152</v>
      </c>
      <c r="GD17" s="3">
        <v>858.88795414284152</v>
      </c>
      <c r="GE17" s="3">
        <v>858.88795414284152</v>
      </c>
      <c r="GF17" s="3">
        <v>858.88795414284152</v>
      </c>
      <c r="GG17" s="3">
        <v>871.88030785226169</v>
      </c>
      <c r="GH17" s="3">
        <v>871.88030785226169</v>
      </c>
      <c r="GI17" s="3">
        <v>871.88030785226169</v>
      </c>
      <c r="GJ17" s="3">
        <v>871.88030785226169</v>
      </c>
      <c r="GK17" s="3">
        <v>720.35177011385679</v>
      </c>
      <c r="GL17" s="3">
        <v>720.35177011385679</v>
      </c>
      <c r="GM17" s="3">
        <v>720.35177011385679</v>
      </c>
      <c r="GN17" s="3">
        <v>720.35177011385679</v>
      </c>
      <c r="GO17" s="3">
        <v>720.35177011385679</v>
      </c>
      <c r="GP17" s="3">
        <v>720.52419756540337</v>
      </c>
      <c r="GQ17" s="3">
        <v>720.52419756540337</v>
      </c>
      <c r="GR17" s="3">
        <v>720.52419756540337</v>
      </c>
      <c r="GS17" s="3">
        <v>720.52419756540337</v>
      </c>
      <c r="GT17" s="3">
        <v>733.774414718137</v>
      </c>
      <c r="GU17" s="3">
        <v>733.774414718137</v>
      </c>
      <c r="GV17" s="3">
        <v>733.774414718137</v>
      </c>
      <c r="GW17" s="3">
        <v>733.774414718137</v>
      </c>
      <c r="GX17" s="3">
        <v>747.86078922841239</v>
      </c>
      <c r="GY17" s="3">
        <v>747.86078922841239</v>
      </c>
      <c r="GZ17" s="3">
        <v>747.86078922841239</v>
      </c>
      <c r="HA17" s="3">
        <v>747.86078922841239</v>
      </c>
      <c r="HB17" s="3">
        <v>747.86078922841239</v>
      </c>
      <c r="HC17" s="3">
        <v>747.86078922841239</v>
      </c>
      <c r="HD17" s="3">
        <v>747.86078922841239</v>
      </c>
      <c r="HE17" s="3">
        <v>747.86078922841239</v>
      </c>
      <c r="HF17" s="3">
        <v>747.86078922841239</v>
      </c>
      <c r="HG17" s="3">
        <v>746.42906346587836</v>
      </c>
      <c r="HH17" s="3">
        <v>746.42906346587836</v>
      </c>
      <c r="HI17" s="3">
        <v>746.42906346587836</v>
      </c>
      <c r="HJ17" s="3">
        <v>746.42906346587836</v>
      </c>
    </row>
    <row r="18" spans="6:218">
      <c r="H18" s="1" t="s">
        <v>106</v>
      </c>
      <c r="O18" s="1">
        <f>CD18</f>
        <v>0</v>
      </c>
      <c r="P18" s="1">
        <f>CE18</f>
        <v>0</v>
      </c>
      <c r="AZ18" s="1" t="s">
        <v>106</v>
      </c>
    </row>
    <row r="19" spans="6:218" ht="15.5">
      <c r="F19" s="162"/>
      <c r="H19" s="163" t="s">
        <v>115</v>
      </c>
      <c r="AZ19" s="163" t="s">
        <v>115</v>
      </c>
      <c r="CT19" s="1">
        <v>810</v>
      </c>
      <c r="CU19" s="1">
        <v>810</v>
      </c>
      <c r="CV19" s="1">
        <v>810</v>
      </c>
      <c r="CW19" s="1">
        <v>810</v>
      </c>
      <c r="CX19" s="1">
        <v>810</v>
      </c>
      <c r="CY19" s="1">
        <v>810</v>
      </c>
      <c r="CZ19" s="1">
        <v>810</v>
      </c>
      <c r="DA19" s="1">
        <f>'Ma trận giá bán vảy HDPE ÉP'!AO6</f>
        <v>810</v>
      </c>
      <c r="DB19" s="1">
        <f>'Ma trận giá bán vảy HDPE ÉP'!AP6</f>
        <v>810</v>
      </c>
      <c r="DC19" s="1">
        <f>'Ma trận giá bán vảy HDPE ÉP'!AQ6</f>
        <v>810</v>
      </c>
      <c r="DD19" s="1">
        <f>'Ma trận giá bán vảy HDPE ÉP'!AR6</f>
        <v>810</v>
      </c>
      <c r="DE19" s="1">
        <f>'Ma trận giá bán vảy HDPE ÉP'!AS6</f>
        <v>880</v>
      </c>
      <c r="DF19" s="1">
        <f>'Ma trận giá bán vảy HDPE ÉP'!AT6</f>
        <v>880</v>
      </c>
      <c r="DG19" s="1">
        <f>'Ma trận giá bán vảy HDPE ÉP'!AU6</f>
        <v>880</v>
      </c>
      <c r="DH19" s="1">
        <f>'Ma trận giá bán vảy HDPE ÉP'!AV6</f>
        <v>900</v>
      </c>
      <c r="DI19" s="1">
        <f>'Ma trận giá bán vảy HDPE ÉP'!AW6</f>
        <v>900</v>
      </c>
      <c r="DJ19" s="1">
        <f>'Ma trận giá bán vảy HDPE ÉP'!AX6</f>
        <v>900</v>
      </c>
      <c r="DK19" s="1">
        <f>'Ma trận giá bán vảy HDPE ÉP'!AY6</f>
        <v>900</v>
      </c>
      <c r="DL19" s="1">
        <f>'Ma trận giá bán vảy HDPE ÉP'!AZ6</f>
        <v>900</v>
      </c>
      <c r="DM19" s="1">
        <f>'Ma trận giá bán vảy HDPE ÉP'!BA6</f>
        <v>900</v>
      </c>
      <c r="DN19" s="1">
        <f>'Ma trận giá bán vảy HDPE ÉP'!BB6</f>
        <v>900</v>
      </c>
      <c r="DO19" s="1">
        <f>'Ma trận giá bán vảy HDPE ÉP'!BC6</f>
        <v>900</v>
      </c>
      <c r="DP19" s="1">
        <f>'Ma trận giá bán vảy HDPE ÉP'!BD6</f>
        <v>870</v>
      </c>
      <c r="DQ19" s="1">
        <f>'Ma trận giá bán vảy HDPE ÉP'!BE6</f>
        <v>870</v>
      </c>
      <c r="DR19" s="1">
        <f>'Ma trận giá bán vảy HDPE ÉP'!BF6</f>
        <v>870</v>
      </c>
      <c r="DS19" s="1">
        <f>'Ma trận giá bán vảy HDPE ÉP'!BG6</f>
        <v>870</v>
      </c>
      <c r="DT19" s="1">
        <f>'Ma trận giá bán vảy HDPE ÉP'!BH6</f>
        <v>870</v>
      </c>
      <c r="DU19" s="1">
        <f>'Ma trận giá bán vảy HDPE ÉP'!BI6</f>
        <v>870</v>
      </c>
      <c r="DV19" s="1">
        <f>'Ma trận giá bán vảy HDPE ÉP'!BJ6</f>
        <v>870</v>
      </c>
      <c r="DW19" s="1">
        <f>'Ma trận giá bán vảy HDPE ÉP'!BK6</f>
        <v>870</v>
      </c>
      <c r="DX19" s="1">
        <f>'Ma trận giá bán vảy HDPE ÉP'!BL6</f>
        <v>870</v>
      </c>
      <c r="DY19" s="1">
        <f>'Ma trận giá bán vảy HDPE ÉP'!BM6</f>
        <v>870</v>
      </c>
      <c r="DZ19" s="1">
        <f>'Ma trận giá bán vảy HDPE ÉP'!BN6</f>
        <v>870</v>
      </c>
      <c r="EA19" s="1">
        <f>'Ma trận giá bán vảy HDPE ÉP'!BO6</f>
        <v>870</v>
      </c>
      <c r="EB19" s="1">
        <f>'Ma trận giá bán vảy HDPE ÉP'!BP6</f>
        <v>870</v>
      </c>
      <c r="EC19" s="1">
        <f>'Ma trận giá bán vảy HDPE ÉP'!BQ6</f>
        <v>870</v>
      </c>
      <c r="ED19" s="1">
        <f>'Ma trận giá bán vảy HDPE ÉP'!BR6</f>
        <v>870</v>
      </c>
      <c r="EE19" s="1">
        <f>'Ma trận giá bán vảy HDPE ÉP'!BS6</f>
        <v>870</v>
      </c>
      <c r="EF19" s="1">
        <f>'Ma trận giá bán vảy HDPE ÉP'!BT6</f>
        <v>870</v>
      </c>
      <c r="EG19" s="1">
        <f>'Ma trận giá bán vảy HDPE ÉP'!BU6</f>
        <v>870</v>
      </c>
      <c r="EH19" s="1">
        <f>'Ma trận giá bán vảy HDPE ÉP'!BV6</f>
        <v>850</v>
      </c>
      <c r="EI19" s="1">
        <f>'Ma trận giá bán vảy HDPE ÉP'!BW6</f>
        <v>850</v>
      </c>
      <c r="EJ19" s="1">
        <f>'Ma trận giá bán vảy HDPE ÉP'!BX6</f>
        <v>850</v>
      </c>
      <c r="EK19" s="1">
        <f>'Ma trận giá bán vảy HDPE ÉP'!BY6</f>
        <v>850</v>
      </c>
      <c r="EL19" s="1">
        <f>'Ma trận giá bán vảy HDPE ÉP'!BZ6</f>
        <v>840</v>
      </c>
      <c r="EM19" s="1">
        <f>'Ma trận giá bán vảy HDPE ÉP'!CA6</f>
        <v>840</v>
      </c>
      <c r="EN19" s="1">
        <f>'Ma trận giá bán vảy HDPE ÉP'!CB6</f>
        <v>840</v>
      </c>
      <c r="EO19" s="1">
        <f>'Ma trận giá bán vảy HDPE ÉP'!CC6</f>
        <v>840</v>
      </c>
      <c r="EP19" s="1">
        <f>'Ma trận giá bán vảy HDPE ÉP'!CD6</f>
        <v>825</v>
      </c>
      <c r="EQ19" s="1">
        <f>'Ma trận giá bán vảy HDPE ÉP'!CE6</f>
        <v>825</v>
      </c>
      <c r="ER19" s="1">
        <f>'Ma trận giá bán vảy HDPE ÉP'!CF6</f>
        <v>825</v>
      </c>
      <c r="ES19" s="1">
        <f>'Ma trận giá bán vảy HDPE ÉP'!CG6</f>
        <v>825</v>
      </c>
      <c r="ET19" s="1">
        <f>'Ma trận giá bán vảy HDPE ÉP'!CH6</f>
        <v>825</v>
      </c>
      <c r="EU19" s="1">
        <f>'Ma trận giá bán vảy HDPE ÉP'!CI6</f>
        <v>825</v>
      </c>
      <c r="EV19" s="1">
        <f>'Ma trận giá bán vảy HDPE ÉP'!CJ6</f>
        <v>825</v>
      </c>
      <c r="EW19" s="1">
        <f>'Ma trận giá bán vảy HDPE ÉP'!CK6</f>
        <v>825</v>
      </c>
      <c r="EX19" s="1">
        <f>'Ma trận giá bán vảy HDPE ÉP'!CL6</f>
        <v>825</v>
      </c>
      <c r="EY19" s="1">
        <f>'Ma trận giá bán vảy HDPE ÉP'!CM6</f>
        <v>825</v>
      </c>
      <c r="EZ19" s="1">
        <f>'Ma trận giá bán vảy HDPE ÉP'!CN6</f>
        <v>825</v>
      </c>
      <c r="FA19" s="1">
        <f>'Ma trận giá bán vảy HDPE ÉP'!CO6</f>
        <v>825</v>
      </c>
      <c r="FB19" s="1">
        <f>'Ma trận giá bán vảy HDPE ÉP'!CP6</f>
        <v>825</v>
      </c>
      <c r="FC19" s="1">
        <f>'Ma trận giá bán vảy HDPE ÉP'!CQ6</f>
        <v>750</v>
      </c>
      <c r="FD19" s="1">
        <f>'Ma trận giá bán vảy HDPE ÉP'!CR6</f>
        <v>750</v>
      </c>
      <c r="FE19" s="1">
        <f>'Ma trận giá bán vảy HDPE ÉP'!CS6</f>
        <v>750</v>
      </c>
      <c r="FF19" s="1">
        <f>'Ma trận giá bán vảy HDPE ÉP'!CT6</f>
        <v>750</v>
      </c>
      <c r="FG19" s="1">
        <f>'Ma trận giá bán vảy HDPE ÉP'!CU6</f>
        <v>750</v>
      </c>
      <c r="FH19" s="1">
        <f>'Ma trận giá bán vảy HDPE ÉP'!CV6</f>
        <v>750</v>
      </c>
      <c r="FI19" s="1">
        <f>'Ma trận giá bán vảy HDPE ÉP'!CW6</f>
        <v>750</v>
      </c>
      <c r="FJ19" s="1">
        <f>'Ma trận giá bán vảy HDPE ÉP'!CX6</f>
        <v>750</v>
      </c>
      <c r="FK19" s="1">
        <f>'Ma trận giá bán vảy HDPE ÉP'!CY6</f>
        <v>750</v>
      </c>
      <c r="FL19" s="1">
        <f>'Ma trận giá bán vảy HDPE ÉP'!CZ6</f>
        <v>750</v>
      </c>
      <c r="FM19" s="1">
        <f>'Ma trận giá bán vảy HDPE ÉP'!DA6</f>
        <v>750</v>
      </c>
      <c r="FN19" s="1">
        <f>'Ma trận giá bán vảy HDPE ÉP'!DB6</f>
        <v>750</v>
      </c>
      <c r="FO19" s="1">
        <f>'Ma trận giá bán vảy HDPE ÉP'!DC6</f>
        <v>720</v>
      </c>
      <c r="FP19" s="1">
        <f>'Ma trận giá bán vảy HDPE ÉP'!DD6</f>
        <v>720</v>
      </c>
      <c r="FQ19" s="1">
        <f>'Ma trận giá bán vảy HDPE ÉP'!DE6</f>
        <v>720</v>
      </c>
      <c r="FR19" s="1">
        <f>'Ma trận giá bán vảy HDPE ÉP'!DF6</f>
        <v>720</v>
      </c>
      <c r="FS19" s="1">
        <f>'Ma trận giá bán vảy HDPE ÉP'!DG6</f>
        <v>720</v>
      </c>
      <c r="FT19" s="1">
        <f>'Ma trận giá bán vảy HDPE ÉP'!DH6</f>
        <v>720</v>
      </c>
      <c r="FU19" s="1">
        <f>'Ma trận giá bán vảy HDPE ÉP'!DI6</f>
        <v>720</v>
      </c>
      <c r="FV19" s="1">
        <f>'Ma trận giá bán vảy HDPE ÉP'!DJ6</f>
        <v>720</v>
      </c>
      <c r="FW19" s="1">
        <f>'Ma trận giá bán vảy HDPE ÉP'!DK6</f>
        <v>720</v>
      </c>
      <c r="FX19" s="1">
        <f>'Ma trận giá bán vảy HDPE ÉP'!DL6</f>
        <v>720</v>
      </c>
      <c r="FY19" s="1">
        <f>'Ma trận giá bán vảy HDPE ÉP'!DM6</f>
        <v>720</v>
      </c>
      <c r="FZ19" s="1">
        <f>'Ma trận giá bán vảy HDPE ÉP'!DN6</f>
        <v>720</v>
      </c>
      <c r="GA19" s="1">
        <f>'Ma trận giá bán vảy HDPE ÉP'!DO6</f>
        <v>720</v>
      </c>
      <c r="GB19" s="1">
        <f>'Ma trận giá bán vảy HDPE ÉP'!DP6</f>
        <v>720</v>
      </c>
      <c r="GC19" s="1">
        <f>'Ma trận giá bán vảy HDPE ÉP'!DQ6</f>
        <v>700</v>
      </c>
      <c r="GD19" s="1">
        <f>'Ma trận giá bán vảy HDPE ÉP'!DR6</f>
        <v>700</v>
      </c>
      <c r="GE19" s="1">
        <f>'Ma trận giá bán vảy HDPE ÉP'!DS6</f>
        <v>700</v>
      </c>
      <c r="GF19" s="1">
        <f>'Ma trận giá bán vảy HDPE ÉP'!DT6</f>
        <v>700</v>
      </c>
      <c r="GG19" s="1">
        <f>'Ma trận giá bán vảy HDPE ÉP'!DU6</f>
        <v>700</v>
      </c>
      <c r="GH19" s="1">
        <f>'Ma trận giá bán vảy HDPE ÉP'!DV6</f>
        <v>700</v>
      </c>
      <c r="GI19" s="1">
        <f>'Ma trận giá bán vảy HDPE ÉP'!DW6</f>
        <v>700</v>
      </c>
      <c r="GJ19" s="1">
        <f>'Ma trận giá bán vảy HDPE ÉP'!DX6</f>
        <v>700</v>
      </c>
      <c r="GK19" s="1">
        <f>'Ma trận giá bán vảy HDPE ÉP'!DY6</f>
        <v>700</v>
      </c>
      <c r="GL19" s="1">
        <f>'Ma trận giá bán vảy HDPE ÉP'!DZ6</f>
        <v>700</v>
      </c>
      <c r="GM19" s="1">
        <f>'Ma trận giá bán vảy HDPE ÉP'!EA6</f>
        <v>700</v>
      </c>
      <c r="GN19" s="1">
        <f>'Ma trận giá bán vảy HDPE ÉP'!EB6</f>
        <v>700</v>
      </c>
      <c r="GO19" s="1">
        <f>'Ma trận giá bán vảy HDPE ÉP'!EC6</f>
        <v>700</v>
      </c>
      <c r="GP19" s="1">
        <f>'Ma trận giá bán vảy HDPE ÉP'!ED6</f>
        <v>690</v>
      </c>
      <c r="GQ19" s="1">
        <f>'Ma trận giá bán vảy HDPE ÉP'!EE6</f>
        <v>690</v>
      </c>
      <c r="GR19" s="1">
        <f>'Ma trận giá bán vảy HDPE ÉP'!EF6</f>
        <v>690</v>
      </c>
      <c r="GS19" s="1">
        <f>'Ma trận giá bán vảy HDPE ÉP'!EG6</f>
        <v>690</v>
      </c>
      <c r="GT19" s="1">
        <f>'Ma trận giá bán vảy HDPE ÉP'!EH6</f>
        <v>665</v>
      </c>
      <c r="GU19" s="1">
        <f>'Ma trận giá bán vảy HDPE ÉP'!EI6</f>
        <v>665</v>
      </c>
      <c r="GV19" s="1">
        <f>'Ma trận giá bán vảy HDPE ÉP'!EJ6</f>
        <v>665</v>
      </c>
      <c r="GW19" s="1">
        <f>'Ma trận giá bán vảy HDPE ÉP'!EK6</f>
        <v>665</v>
      </c>
      <c r="GX19" s="1">
        <f>'Ma trận giá bán vảy HDPE ÉP'!EL6</f>
        <v>665</v>
      </c>
      <c r="GY19" s="1">
        <f>'Ma trận giá bán vảy HDPE ÉP'!EM6</f>
        <v>665</v>
      </c>
      <c r="GZ19" s="1">
        <f>'Ma trận giá bán vảy HDPE ÉP'!EN6</f>
        <v>665</v>
      </c>
      <c r="HA19" s="1">
        <f>'Ma trận giá bán vảy HDPE ÉP'!EO6</f>
        <v>665</v>
      </c>
      <c r="HB19" s="1">
        <f>'Ma trận giá bán vảy HDPE ÉP'!EP6</f>
        <v>665</v>
      </c>
      <c r="HC19" s="1">
        <f>'Ma trận giá bán vảy HDPE ÉP'!EQ6</f>
        <v>665</v>
      </c>
      <c r="HD19" s="1">
        <f>'Ma trận giá bán vảy HDPE ÉP'!ER6</f>
        <v>665</v>
      </c>
      <c r="HE19" s="1">
        <f>'Ma trận giá bán vảy HDPE ÉP'!ES6</f>
        <v>665</v>
      </c>
      <c r="HF19" s="1">
        <f>'Ma trận giá bán vảy HDPE ÉP'!ET6</f>
        <v>665</v>
      </c>
      <c r="HG19" s="1">
        <f>'Ma trận giá bán vảy HDPE ÉP'!EU6</f>
        <v>665</v>
      </c>
      <c r="HH19" s="1">
        <f>'Ma trận giá bán vảy HDPE ÉP'!EV6</f>
        <v>665</v>
      </c>
      <c r="HI19" s="1">
        <f>'Ma trận giá bán vảy HDPE ÉP'!EW6</f>
        <v>715</v>
      </c>
      <c r="HJ19" s="1">
        <f>'Ma trận giá bán vảy HDPE ÉP'!EX6</f>
        <v>715</v>
      </c>
    </row>
    <row r="22" spans="6:218">
      <c r="DD22" s="51">
        <f t="shared" ref="DD22:DG22" si="292">DD8/DD13-1</f>
        <v>-7.7669902912621325E-2</v>
      </c>
      <c r="DE22" s="51">
        <f t="shared" si="292"/>
        <v>-7.7669902912621325E-2</v>
      </c>
      <c r="DF22" s="51">
        <f t="shared" si="292"/>
        <v>-5.0000000000000044E-2</v>
      </c>
      <c r="DG22" s="51">
        <f t="shared" si="292"/>
        <v>-5.0000000000000044E-2</v>
      </c>
      <c r="DH22" s="51"/>
      <c r="DI22" s="51"/>
      <c r="DJ22" s="51"/>
      <c r="DK22" s="51"/>
    </row>
    <row r="31" spans="6:218">
      <c r="F31" s="32"/>
      <c r="G31" s="32"/>
      <c r="H31" s="32"/>
    </row>
    <row r="32" spans="6:218">
      <c r="F32" s="32"/>
      <c r="G32" s="32"/>
      <c r="H32" s="32"/>
    </row>
    <row r="33" spans="6:8">
      <c r="F33" s="32"/>
      <c r="G33" s="32"/>
      <c r="H33" s="32"/>
    </row>
    <row r="34" spans="6:8">
      <c r="F34" s="32"/>
      <c r="G34" s="32"/>
      <c r="H34" s="32"/>
    </row>
    <row r="35" spans="6:8">
      <c r="F35" s="31"/>
      <c r="G35" s="32"/>
      <c r="H35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0228-EB1B-479F-BB3E-AC27AC0405F2}">
  <sheetPr>
    <tabColor rgb="FFFF9999"/>
  </sheetPr>
  <dimension ref="A1"/>
  <sheetViews>
    <sheetView topLeftCell="A19" zoomScale="80" zoomScaleNormal="80" workbookViewId="0">
      <selection activeCell="H34" sqref="H34"/>
    </sheetView>
  </sheetViews>
  <sheetFormatPr defaultColWidth="8.81640625" defaultRowHeight="14.5"/>
  <cols>
    <col min="1" max="16384" width="8.81640625" style="122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8E3C-5FA0-457A-B74E-2C308FCA7760}">
  <sheetPr>
    <tabColor rgb="FFFF9999"/>
  </sheetPr>
  <dimension ref="R35:S77"/>
  <sheetViews>
    <sheetView zoomScale="80" zoomScaleNormal="80" workbookViewId="0">
      <selection activeCell="K35" sqref="K35"/>
    </sheetView>
  </sheetViews>
  <sheetFormatPr defaultColWidth="8.81640625" defaultRowHeight="14.5"/>
  <cols>
    <col min="1" max="18" width="8.81640625" style="122"/>
    <col min="19" max="19" width="10.1796875" style="122" bestFit="1" customWidth="1"/>
    <col min="20" max="16384" width="8.81640625" style="122"/>
  </cols>
  <sheetData>
    <row r="35" spans="19:19">
      <c r="S35" s="123"/>
    </row>
    <row r="36" spans="19:19">
      <c r="S36" s="123"/>
    </row>
    <row r="77" spans="18:18">
      <c r="R77" s="12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642B-5A29-4637-864A-ED1F1969E573}">
  <dimension ref="A1:HJ35"/>
  <sheetViews>
    <sheetView showGridLines="0" topLeftCell="D3" zoomScale="90" zoomScaleNormal="90" workbookViewId="0">
      <pane xSplit="3" ySplit="3" topLeftCell="AT6" activePane="bottomRight" state="frozen"/>
      <selection activeCell="HH13" sqref="HH13"/>
      <selection pane="topRight" activeCell="HH13" sqref="HH13"/>
      <selection pane="bottomLeft" activeCell="HH13" sqref="HH13"/>
      <selection pane="bottomRight" activeCell="HA26" sqref="HA26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9.1796875" style="1" customWidth="1"/>
    <col min="5" max="5" width="33.1796875" style="1" hidden="1" customWidth="1"/>
    <col min="6" max="6" width="21" style="1" customWidth="1"/>
    <col min="7" max="7" width="10.54296875" style="1" hidden="1" customWidth="1"/>
    <col min="8" max="8" width="28.1796875" style="1" hidden="1" customWidth="1"/>
    <col min="9" max="32" width="7.81640625" style="1" hidden="1" customWidth="1"/>
    <col min="33" max="48" width="7.81640625" style="1" customWidth="1"/>
    <col min="49" max="49" width="4.54296875" style="1" customWidth="1"/>
    <col min="50" max="50" width="9.1796875" style="1"/>
    <col min="51" max="51" width="9.1796875" style="1" hidden="1" customWidth="1"/>
    <col min="52" max="52" width="21.54296875" style="1" customWidth="1"/>
    <col min="53" max="53" width="9.1796875" style="1" hidden="1" customWidth="1"/>
    <col min="54" max="54" width="8.1796875" style="1" hidden="1" customWidth="1"/>
    <col min="55" max="55" width="9.1796875" style="1" hidden="1" customWidth="1"/>
    <col min="56" max="56" width="10.1796875" style="1" hidden="1" customWidth="1"/>
    <col min="57" max="104" width="0" style="1" hidden="1" customWidth="1"/>
    <col min="105" max="105" width="8" style="1" hidden="1" customWidth="1"/>
    <col min="106" max="190" width="7.81640625" style="1" hidden="1" customWidth="1"/>
    <col min="191" max="191" width="5.81640625" style="1" hidden="1" customWidth="1"/>
    <col min="192" max="192" width="5.54296875" style="1" hidden="1" customWidth="1"/>
    <col min="193" max="194" width="5.81640625" style="1" hidden="1" customWidth="1"/>
    <col min="195" max="205" width="7" style="1" hidden="1" customWidth="1"/>
    <col min="206" max="207" width="7" style="1" bestFit="1" customWidth="1"/>
    <col min="208" max="218" width="7.1796875" style="1" customWidth="1"/>
    <col min="219" max="16384" width="9.1796875" style="1"/>
  </cols>
  <sheetData>
    <row r="1" spans="1:218" hidden="1"/>
    <row r="2" spans="1:218" hidden="1"/>
    <row r="3" spans="1:218" ht="19.399999999999999" customHeight="1">
      <c r="F3" s="15" t="s">
        <v>90</v>
      </c>
      <c r="H3" s="15"/>
      <c r="BB3" s="1">
        <v>2023</v>
      </c>
      <c r="BF3" s="116" t="s">
        <v>76</v>
      </c>
      <c r="BG3" s="116" t="s">
        <v>79</v>
      </c>
      <c r="BH3" s="116" t="s">
        <v>80</v>
      </c>
      <c r="BI3" s="116" t="s">
        <v>86</v>
      </c>
      <c r="BJ3" s="116">
        <v>7.03</v>
      </c>
      <c r="BK3" s="116">
        <v>14.03</v>
      </c>
      <c r="BL3" s="116">
        <v>21.03</v>
      </c>
      <c r="BM3" s="116">
        <v>28.03</v>
      </c>
      <c r="BN3" s="116">
        <v>30.03</v>
      </c>
      <c r="BO3" s="116">
        <v>6.04</v>
      </c>
      <c r="BP3" s="116">
        <v>13.04</v>
      </c>
      <c r="BQ3" s="116">
        <v>20.04</v>
      </c>
      <c r="BR3" s="1">
        <v>27.04</v>
      </c>
      <c r="BS3" s="1">
        <v>4.05</v>
      </c>
      <c r="BU3" s="1">
        <v>23.05</v>
      </c>
      <c r="BV3" s="1">
        <v>30.05</v>
      </c>
      <c r="BW3" s="1">
        <v>6.06</v>
      </c>
      <c r="BX3" s="1">
        <v>13.06</v>
      </c>
      <c r="BY3" s="1">
        <v>20.059999999999999</v>
      </c>
      <c r="DA3" s="170">
        <v>2024</v>
      </c>
      <c r="EY3" s="170">
        <v>2025</v>
      </c>
    </row>
    <row r="4" spans="1:218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>
        <v>24000</v>
      </c>
      <c r="K4" s="74">
        <v>24000</v>
      </c>
      <c r="L4" s="74">
        <v>24000</v>
      </c>
      <c r="M4" s="74">
        <v>24000</v>
      </c>
      <c r="N4" s="74">
        <v>24000</v>
      </c>
      <c r="O4" s="74">
        <v>24000</v>
      </c>
      <c r="P4" s="74">
        <v>24000</v>
      </c>
      <c r="Q4" s="74">
        <v>24000</v>
      </c>
      <c r="R4" s="74">
        <v>24000</v>
      </c>
      <c r="S4" s="74">
        <v>24000</v>
      </c>
      <c r="T4" s="74">
        <v>24000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BA4" s="74">
        <v>24000</v>
      </c>
      <c r="BB4" s="74">
        <v>24000</v>
      </c>
      <c r="BC4" s="74">
        <v>24000</v>
      </c>
      <c r="BD4" s="74">
        <v>24000</v>
      </c>
      <c r="BE4" s="74">
        <v>24000</v>
      </c>
      <c r="BF4" s="74">
        <v>24000</v>
      </c>
      <c r="BG4" s="74">
        <v>24000</v>
      </c>
      <c r="BH4" s="74">
        <v>24000</v>
      </c>
      <c r="BI4" s="74">
        <v>24000</v>
      </c>
      <c r="BJ4" s="74">
        <v>24000</v>
      </c>
      <c r="BK4" s="74">
        <v>24000</v>
      </c>
      <c r="BL4" s="74">
        <v>24000</v>
      </c>
      <c r="BM4" s="74">
        <v>24000</v>
      </c>
      <c r="BN4" s="74">
        <v>24000</v>
      </c>
      <c r="BO4" s="74">
        <v>24000</v>
      </c>
      <c r="BP4" s="74">
        <v>24000</v>
      </c>
      <c r="BQ4" s="74">
        <v>24000</v>
      </c>
      <c r="BR4" s="74">
        <v>24000</v>
      </c>
      <c r="BS4" s="74">
        <v>24000</v>
      </c>
      <c r="BT4" s="74">
        <v>24000</v>
      </c>
      <c r="BU4" s="74">
        <v>24000</v>
      </c>
      <c r="BV4" s="74">
        <v>24000</v>
      </c>
      <c r="BW4" s="74">
        <v>24000</v>
      </c>
      <c r="BX4" s="74">
        <v>24000</v>
      </c>
      <c r="BY4" s="74">
        <v>24000</v>
      </c>
      <c r="BZ4" s="74">
        <v>24000</v>
      </c>
      <c r="CA4" s="74">
        <v>24000</v>
      </c>
      <c r="CB4" s="74">
        <v>24000</v>
      </c>
      <c r="CC4" s="74">
        <v>24000</v>
      </c>
      <c r="CD4" s="74">
        <v>24000</v>
      </c>
      <c r="CE4" s="74">
        <v>24000</v>
      </c>
      <c r="CF4" s="74">
        <v>24000</v>
      </c>
      <c r="CG4" s="74">
        <v>24000</v>
      </c>
      <c r="CH4" s="74">
        <v>24000</v>
      </c>
      <c r="CI4" s="74">
        <v>24000</v>
      </c>
      <c r="CJ4" s="74">
        <v>24000</v>
      </c>
      <c r="CK4" s="74">
        <v>24000</v>
      </c>
      <c r="CL4" s="74">
        <v>24000</v>
      </c>
      <c r="CM4" s="74">
        <v>24000</v>
      </c>
      <c r="CN4" s="74">
        <v>24000</v>
      </c>
      <c r="CO4" s="74">
        <v>24000</v>
      </c>
      <c r="CP4" s="74">
        <v>24000</v>
      </c>
      <c r="CQ4" s="74">
        <v>24000</v>
      </c>
      <c r="CR4" s="74">
        <v>24000</v>
      </c>
      <c r="CS4" s="74">
        <v>24000</v>
      </c>
      <c r="CT4" s="74">
        <v>24000</v>
      </c>
      <c r="CU4" s="74">
        <v>24000</v>
      </c>
      <c r="CV4" s="74">
        <v>24000</v>
      </c>
      <c r="CW4" s="74">
        <v>24000</v>
      </c>
      <c r="CX4" s="74">
        <v>24000</v>
      </c>
      <c r="CY4" s="74">
        <v>24000</v>
      </c>
      <c r="CZ4" s="74">
        <v>24000</v>
      </c>
      <c r="DA4" s="74">
        <v>24000</v>
      </c>
      <c r="DB4" s="74">
        <v>24000</v>
      </c>
      <c r="DC4" s="74">
        <v>24000</v>
      </c>
      <c r="DD4" s="74">
        <v>24000</v>
      </c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GX4" s="178">
        <v>2026</v>
      </c>
    </row>
    <row r="5" spans="1:218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75</v>
      </c>
      <c r="J5" s="86">
        <v>2</v>
      </c>
      <c r="K5" s="86">
        <v>3</v>
      </c>
      <c r="L5" s="86">
        <v>4</v>
      </c>
      <c r="M5" s="86">
        <v>5</v>
      </c>
      <c r="N5" s="86">
        <v>6</v>
      </c>
      <c r="O5" s="86">
        <v>7</v>
      </c>
      <c r="P5" s="86">
        <v>8</v>
      </c>
      <c r="Q5" s="86">
        <v>9</v>
      </c>
      <c r="R5" s="86">
        <v>10</v>
      </c>
      <c r="S5" s="86">
        <v>11</v>
      </c>
      <c r="T5" s="86">
        <v>12</v>
      </c>
      <c r="U5" s="86" t="s">
        <v>122</v>
      </c>
      <c r="V5" s="86">
        <v>2</v>
      </c>
      <c r="W5" s="86">
        <v>3</v>
      </c>
      <c r="X5" s="86">
        <v>4</v>
      </c>
      <c r="Y5" s="86">
        <v>5</v>
      </c>
      <c r="Z5" s="86">
        <v>6</v>
      </c>
      <c r="AA5" s="86">
        <v>7</v>
      </c>
      <c r="AB5" s="86">
        <v>8</v>
      </c>
      <c r="AC5" s="86">
        <v>9</v>
      </c>
      <c r="AD5" s="86">
        <v>10</v>
      </c>
      <c r="AE5" s="86">
        <v>11</v>
      </c>
      <c r="AF5" s="86">
        <v>12</v>
      </c>
      <c r="AG5" s="86" t="s">
        <v>174</v>
      </c>
      <c r="AH5" s="86">
        <v>2</v>
      </c>
      <c r="AI5" s="86">
        <v>3</v>
      </c>
      <c r="AJ5" s="86">
        <v>4</v>
      </c>
      <c r="AK5" s="86">
        <v>5</v>
      </c>
      <c r="AL5" s="86">
        <v>6</v>
      </c>
      <c r="AM5" s="86">
        <v>7</v>
      </c>
      <c r="AN5" s="86">
        <v>8</v>
      </c>
      <c r="AO5" s="86">
        <v>9</v>
      </c>
      <c r="AP5" s="86">
        <v>10</v>
      </c>
      <c r="AQ5" s="86">
        <v>11</v>
      </c>
      <c r="AR5" s="86">
        <v>12</v>
      </c>
      <c r="AS5" s="86" t="s">
        <v>198</v>
      </c>
      <c r="AT5" s="86">
        <v>2</v>
      </c>
      <c r="AU5" s="86">
        <v>3</v>
      </c>
      <c r="AV5" s="86">
        <v>4</v>
      </c>
      <c r="AX5" s="34" t="s">
        <v>5</v>
      </c>
      <c r="AY5" s="33" t="s">
        <v>6</v>
      </c>
      <c r="AZ5" s="33" t="s">
        <v>2</v>
      </c>
      <c r="BA5" s="101">
        <v>52</v>
      </c>
      <c r="BB5" s="90" t="s">
        <v>97</v>
      </c>
      <c r="BC5" s="90">
        <v>2</v>
      </c>
      <c r="BD5" s="90">
        <v>3</v>
      </c>
      <c r="BE5" s="90">
        <v>5</v>
      </c>
      <c r="BF5" s="90">
        <v>6</v>
      </c>
      <c r="BG5" s="90">
        <v>7</v>
      </c>
      <c r="BH5" s="90">
        <v>8</v>
      </c>
      <c r="BI5" s="90">
        <v>9</v>
      </c>
      <c r="BJ5" s="90">
        <v>10</v>
      </c>
      <c r="BK5" s="90">
        <v>11</v>
      </c>
      <c r="BL5" s="90">
        <v>12</v>
      </c>
      <c r="BM5" s="90">
        <v>13</v>
      </c>
      <c r="BN5" s="90">
        <v>14</v>
      </c>
      <c r="BO5" s="90">
        <v>15</v>
      </c>
      <c r="BP5" s="90">
        <v>16</v>
      </c>
      <c r="BQ5" s="90">
        <v>17</v>
      </c>
      <c r="BR5" s="101">
        <v>18</v>
      </c>
      <c r="BS5" s="101">
        <v>19</v>
      </c>
      <c r="BT5" s="101">
        <v>20</v>
      </c>
      <c r="BU5" s="101">
        <v>21</v>
      </c>
      <c r="BV5" s="101">
        <v>22</v>
      </c>
      <c r="BW5" s="101">
        <v>23</v>
      </c>
      <c r="BX5" s="101">
        <v>24</v>
      </c>
      <c r="BY5" s="101">
        <v>25</v>
      </c>
      <c r="BZ5" s="101">
        <v>26</v>
      </c>
      <c r="CA5" s="101">
        <v>27</v>
      </c>
      <c r="CB5" s="101">
        <v>28</v>
      </c>
      <c r="CC5" s="101">
        <v>29</v>
      </c>
      <c r="CD5" s="101">
        <v>30</v>
      </c>
      <c r="CE5" s="101">
        <v>31</v>
      </c>
      <c r="CF5" s="101">
        <v>32</v>
      </c>
      <c r="CG5" s="101">
        <v>33</v>
      </c>
      <c r="CH5" s="101">
        <v>34</v>
      </c>
      <c r="CI5" s="101">
        <v>35</v>
      </c>
      <c r="CJ5" s="101">
        <v>36</v>
      </c>
      <c r="CK5" s="101">
        <v>37</v>
      </c>
      <c r="CL5" s="101">
        <v>38</v>
      </c>
      <c r="CM5" s="101">
        <v>39</v>
      </c>
      <c r="CN5" s="101">
        <v>40</v>
      </c>
      <c r="CO5" s="101">
        <v>41</v>
      </c>
      <c r="CP5" s="101">
        <v>42</v>
      </c>
      <c r="CQ5" s="101">
        <v>43</v>
      </c>
      <c r="CR5" s="101">
        <v>44</v>
      </c>
      <c r="CS5" s="101">
        <v>45</v>
      </c>
      <c r="CT5" s="101">
        <v>46</v>
      </c>
      <c r="CU5" s="101">
        <v>47</v>
      </c>
      <c r="CV5" s="101">
        <v>48</v>
      </c>
      <c r="CW5" s="101">
        <v>49</v>
      </c>
      <c r="CX5" s="101">
        <v>50</v>
      </c>
      <c r="CY5" s="101">
        <v>51</v>
      </c>
      <c r="CZ5" s="101">
        <v>52</v>
      </c>
      <c r="DA5" s="101" t="s">
        <v>117</v>
      </c>
      <c r="DB5" s="90" t="s">
        <v>123</v>
      </c>
      <c r="DC5" s="90" t="s">
        <v>124</v>
      </c>
      <c r="DD5" s="90" t="s">
        <v>125</v>
      </c>
      <c r="DE5" s="90" t="s">
        <v>126</v>
      </c>
      <c r="DF5" s="90" t="s">
        <v>142</v>
      </c>
      <c r="DG5" s="90" t="s">
        <v>143</v>
      </c>
      <c r="DH5" s="90" t="s">
        <v>144</v>
      </c>
      <c r="DI5" s="90" t="s">
        <v>145</v>
      </c>
      <c r="DJ5" s="90" t="s">
        <v>146</v>
      </c>
      <c r="DK5" s="90" t="s">
        <v>147</v>
      </c>
      <c r="DL5" s="90" t="s">
        <v>148</v>
      </c>
      <c r="DM5" s="90" t="s">
        <v>149</v>
      </c>
      <c r="DN5" s="90" t="s">
        <v>150</v>
      </c>
      <c r="DO5" s="90" t="s">
        <v>151</v>
      </c>
      <c r="DP5" s="90" t="s">
        <v>152</v>
      </c>
      <c r="DQ5" s="90" t="s">
        <v>153</v>
      </c>
      <c r="DR5" s="90" t="s">
        <v>154</v>
      </c>
      <c r="DS5" s="90" t="s">
        <v>155</v>
      </c>
      <c r="DT5" s="90" t="s">
        <v>162</v>
      </c>
      <c r="DU5" s="90" t="s">
        <v>163</v>
      </c>
      <c r="DV5" s="90" t="s">
        <v>164</v>
      </c>
      <c r="DW5" s="90" t="s">
        <v>165</v>
      </c>
      <c r="DX5" s="90" t="s">
        <v>166</v>
      </c>
      <c r="DY5" s="90" t="s">
        <v>167</v>
      </c>
      <c r="DZ5" s="90" t="s">
        <v>168</v>
      </c>
      <c r="EA5" s="90" t="s">
        <v>169</v>
      </c>
      <c r="EB5" s="90" t="s">
        <v>170</v>
      </c>
      <c r="EC5" s="90" t="s">
        <v>171</v>
      </c>
      <c r="ED5" s="90" t="s">
        <v>172</v>
      </c>
      <c r="EE5" s="90" t="s">
        <v>173</v>
      </c>
      <c r="EF5" s="90">
        <v>34</v>
      </c>
      <c r="EG5" s="90">
        <v>35</v>
      </c>
      <c r="EH5" s="90">
        <v>36</v>
      </c>
      <c r="EI5" s="90">
        <v>37</v>
      </c>
      <c r="EJ5" s="90">
        <v>38</v>
      </c>
      <c r="EK5" s="90">
        <v>39</v>
      </c>
      <c r="EL5" s="90">
        <v>40</v>
      </c>
      <c r="EM5" s="90">
        <v>41</v>
      </c>
      <c r="EN5" s="90">
        <v>42</v>
      </c>
      <c r="EO5" s="90">
        <v>43</v>
      </c>
      <c r="EP5" s="90">
        <v>44</v>
      </c>
      <c r="EQ5" s="90">
        <v>45</v>
      </c>
      <c r="ER5" s="90">
        <v>46</v>
      </c>
      <c r="ES5" s="90">
        <v>47</v>
      </c>
      <c r="ET5" s="90">
        <v>48</v>
      </c>
      <c r="EU5" s="90">
        <v>49</v>
      </c>
      <c r="EV5" s="90">
        <v>50</v>
      </c>
      <c r="EW5" s="90">
        <v>51</v>
      </c>
      <c r="EX5" s="90">
        <v>52</v>
      </c>
      <c r="EY5" s="90" t="s">
        <v>121</v>
      </c>
      <c r="EZ5" s="90" t="s">
        <v>123</v>
      </c>
      <c r="FA5" s="90" t="s">
        <v>124</v>
      </c>
      <c r="FB5" s="90" t="s">
        <v>125</v>
      </c>
      <c r="FC5" s="90" t="s">
        <v>175</v>
      </c>
      <c r="FD5" s="90" t="s">
        <v>177</v>
      </c>
      <c r="FE5" s="90" t="s">
        <v>142</v>
      </c>
      <c r="FF5" s="90" t="s">
        <v>143</v>
      </c>
      <c r="FG5" s="90" t="s">
        <v>144</v>
      </c>
      <c r="FH5" s="90" t="s">
        <v>145</v>
      </c>
      <c r="FI5" s="90" t="s">
        <v>146</v>
      </c>
      <c r="FJ5" s="90" t="s">
        <v>147</v>
      </c>
      <c r="FK5" s="90" t="s">
        <v>148</v>
      </c>
      <c r="FL5" s="90" t="s">
        <v>149</v>
      </c>
      <c r="FM5" s="90" t="s">
        <v>150</v>
      </c>
      <c r="FN5" s="90" t="s">
        <v>151</v>
      </c>
      <c r="FO5" s="90">
        <v>18</v>
      </c>
      <c r="FP5" s="90">
        <v>19</v>
      </c>
      <c r="FQ5" s="90">
        <v>20</v>
      </c>
      <c r="FR5" s="90">
        <v>21</v>
      </c>
      <c r="FS5" s="90">
        <v>22</v>
      </c>
      <c r="FT5" s="90">
        <v>23</v>
      </c>
      <c r="FU5" s="90">
        <v>24</v>
      </c>
      <c r="FV5" s="90">
        <v>25</v>
      </c>
      <c r="FW5" s="90">
        <v>26</v>
      </c>
      <c r="FX5" s="90">
        <v>27</v>
      </c>
      <c r="FY5" s="90">
        <v>28</v>
      </c>
      <c r="FZ5" s="90">
        <v>29</v>
      </c>
      <c r="GA5" s="90">
        <v>30</v>
      </c>
      <c r="GB5" s="90">
        <v>31</v>
      </c>
      <c r="GC5" s="90">
        <v>32</v>
      </c>
      <c r="GD5" s="90">
        <v>33</v>
      </c>
      <c r="GE5" s="90">
        <v>34</v>
      </c>
      <c r="GF5" s="90">
        <v>35</v>
      </c>
      <c r="GG5" s="90">
        <v>36</v>
      </c>
      <c r="GH5" s="90">
        <v>37</v>
      </c>
      <c r="GI5" s="90">
        <v>38</v>
      </c>
      <c r="GJ5" s="90">
        <v>39</v>
      </c>
      <c r="GK5" s="90">
        <v>40</v>
      </c>
      <c r="GL5" s="90">
        <v>41</v>
      </c>
      <c r="GM5" s="90">
        <v>42</v>
      </c>
      <c r="GN5" s="90">
        <v>43</v>
      </c>
      <c r="GO5" s="90">
        <v>44</v>
      </c>
      <c r="GP5" s="90">
        <v>45</v>
      </c>
      <c r="GQ5" s="90">
        <v>46</v>
      </c>
      <c r="GR5" s="90">
        <v>47</v>
      </c>
      <c r="GS5" s="90">
        <v>48</v>
      </c>
      <c r="GT5" s="90">
        <v>49</v>
      </c>
      <c r="GU5" s="90">
        <v>50</v>
      </c>
      <c r="GV5" s="90">
        <v>51</v>
      </c>
      <c r="GW5" s="90">
        <v>52</v>
      </c>
      <c r="GX5" s="90" t="s">
        <v>121</v>
      </c>
      <c r="GY5" s="90" t="s">
        <v>123</v>
      </c>
      <c r="GZ5" s="90" t="s">
        <v>124</v>
      </c>
      <c r="HA5" s="90" t="s">
        <v>125</v>
      </c>
      <c r="HB5" s="90" t="s">
        <v>126</v>
      </c>
      <c r="HC5" s="90" t="s">
        <v>175</v>
      </c>
      <c r="HD5" s="90" t="s">
        <v>177</v>
      </c>
      <c r="HE5" s="90" t="s">
        <v>142</v>
      </c>
      <c r="HF5" s="90" t="s">
        <v>143</v>
      </c>
      <c r="HG5" s="90">
        <v>10</v>
      </c>
      <c r="HH5" s="90">
        <v>11</v>
      </c>
      <c r="HI5" s="90">
        <v>12</v>
      </c>
      <c r="HJ5" s="90">
        <v>13</v>
      </c>
    </row>
    <row r="6" spans="1:218" ht="14" hidden="1">
      <c r="A6" s="4">
        <v>3</v>
      </c>
      <c r="B6" s="8">
        <v>150000007</v>
      </c>
      <c r="C6" s="8" t="s">
        <v>20</v>
      </c>
      <c r="D6" s="4"/>
      <c r="E6" s="5" t="s">
        <v>22</v>
      </c>
      <c r="F6" s="7" t="s">
        <v>91</v>
      </c>
      <c r="G6" s="16" t="s">
        <v>23</v>
      </c>
      <c r="H6" s="7" t="str">
        <f>F6</f>
        <v xml:space="preserve">Vảy PP tuyển 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X6" s="4"/>
      <c r="AY6" s="5" t="s">
        <v>22</v>
      </c>
      <c r="AZ6" s="7" t="str">
        <f>F6</f>
        <v xml:space="preserve">Vảy PP tuyển </v>
      </c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</row>
    <row r="7" spans="1:218" ht="18" hidden="1" customHeight="1">
      <c r="A7" s="4">
        <v>3</v>
      </c>
      <c r="B7" s="8">
        <v>150000007</v>
      </c>
      <c r="C7" s="8" t="s">
        <v>20</v>
      </c>
      <c r="D7" s="4"/>
      <c r="E7" s="5" t="s">
        <v>22</v>
      </c>
      <c r="F7" s="7" t="s">
        <v>91</v>
      </c>
      <c r="G7" s="4" t="s">
        <v>24</v>
      </c>
      <c r="H7" s="7" t="str">
        <f>F7</f>
        <v xml:space="preserve">Vảy PP tuyển </v>
      </c>
      <c r="I7" s="49">
        <f>I6/I4*1000</f>
        <v>0</v>
      </c>
      <c r="J7" s="49">
        <f>J6/J4*1000</f>
        <v>0</v>
      </c>
      <c r="K7" s="49">
        <f>K6/K4*1000</f>
        <v>0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X7" s="4"/>
      <c r="AY7" s="5" t="s">
        <v>22</v>
      </c>
      <c r="AZ7" s="7" t="str">
        <f>F7</f>
        <v xml:space="preserve">Vảy PP tuyển </v>
      </c>
      <c r="BA7" s="24">
        <v>666.66666666666697</v>
      </c>
      <c r="BB7" s="24">
        <v>666.66666666666697</v>
      </c>
      <c r="BC7" s="24">
        <v>666.66666666666697</v>
      </c>
      <c r="BD7" s="24">
        <v>666.66666666666697</v>
      </c>
      <c r="BE7" s="24">
        <v>666.66666666666697</v>
      </c>
      <c r="BF7" s="24">
        <v>666.66666666666697</v>
      </c>
      <c r="BG7" s="24">
        <v>666.66666666666697</v>
      </c>
      <c r="BH7" s="24">
        <v>666.66666666666697</v>
      </c>
      <c r="BI7" s="24">
        <v>666.66666666666697</v>
      </c>
      <c r="BJ7" s="24">
        <v>666.66666666666697</v>
      </c>
      <c r="BK7" s="24">
        <v>666.66666666666697</v>
      </c>
      <c r="BL7" s="24">
        <v>666.66666666666697</v>
      </c>
      <c r="BM7" s="24">
        <v>666.66666666666697</v>
      </c>
      <c r="BN7" s="24">
        <v>666.66666666666697</v>
      </c>
      <c r="BO7" s="24">
        <v>666.66666666666697</v>
      </c>
      <c r="BP7" s="24">
        <v>666.66666666666697</v>
      </c>
      <c r="BQ7" s="24">
        <v>666.66666666666697</v>
      </c>
      <c r="BR7" s="24">
        <v>666.66666666666697</v>
      </c>
      <c r="BS7" s="24">
        <v>666.66666666666697</v>
      </c>
      <c r="BT7" s="24">
        <v>666.66666666666697</v>
      </c>
      <c r="BU7" s="24">
        <v>666.66666666666697</v>
      </c>
      <c r="BV7" s="24">
        <v>666.66666666666697</v>
      </c>
      <c r="BW7" s="24">
        <v>666.66666666666697</v>
      </c>
      <c r="BX7" s="24">
        <v>666.66666666666697</v>
      </c>
      <c r="BY7" s="24">
        <v>666.66666666666697</v>
      </c>
      <c r="BZ7" s="24">
        <v>666.66666666666697</v>
      </c>
      <c r="CA7" s="24">
        <v>666.66666666666697</v>
      </c>
      <c r="CB7" s="24">
        <v>666.66666666666697</v>
      </c>
      <c r="CC7" s="24">
        <v>666.66666666666697</v>
      </c>
      <c r="CD7" s="24">
        <v>666.66666666666697</v>
      </c>
      <c r="CE7" s="24">
        <v>666.66666666666697</v>
      </c>
      <c r="CF7" s="24">
        <v>666.66666666666697</v>
      </c>
      <c r="CG7" s="24">
        <v>666.66666666666697</v>
      </c>
      <c r="CH7" s="24">
        <v>666.66666666666697</v>
      </c>
      <c r="CI7" s="24">
        <v>666.66666666666697</v>
      </c>
      <c r="CJ7" s="24">
        <v>666.66666666666697</v>
      </c>
      <c r="CK7" s="24">
        <v>666.66666666666697</v>
      </c>
      <c r="CL7" s="24">
        <v>666.66666666666697</v>
      </c>
      <c r="CM7" s="24">
        <v>666.66666666666697</v>
      </c>
      <c r="CN7" s="24">
        <v>666.66666666666697</v>
      </c>
      <c r="CO7" s="24">
        <v>666.66666666666697</v>
      </c>
      <c r="CP7" s="24">
        <v>666.66666666666697</v>
      </c>
      <c r="CQ7" s="24">
        <v>666.66666666666697</v>
      </c>
      <c r="CR7" s="24">
        <v>666.66666666666697</v>
      </c>
      <c r="CS7" s="24">
        <v>666.66666666666697</v>
      </c>
      <c r="CT7" s="24">
        <v>666.66666666666697</v>
      </c>
      <c r="CU7" s="24">
        <v>666.66666666666697</v>
      </c>
      <c r="CV7" s="24">
        <v>666.66666666666697</v>
      </c>
      <c r="CW7" s="24">
        <v>666.66666666666697</v>
      </c>
      <c r="CX7" s="24">
        <v>666.66666666666697</v>
      </c>
      <c r="CY7" s="24">
        <v>666.66666666666697</v>
      </c>
      <c r="CZ7" s="24">
        <v>666.66666666666697</v>
      </c>
      <c r="DA7" s="24">
        <v>666.66666666666697</v>
      </c>
      <c r="DB7" s="24">
        <v>666.66666666666697</v>
      </c>
      <c r="DC7" s="24">
        <v>666.66666666666697</v>
      </c>
      <c r="DD7" s="24">
        <v>666.66666666666697</v>
      </c>
      <c r="DE7" s="24">
        <v>666.66666666666697</v>
      </c>
      <c r="DF7" s="24">
        <v>666.66666666666697</v>
      </c>
      <c r="DG7" s="24">
        <v>666.66666666666697</v>
      </c>
      <c r="DH7" s="24">
        <v>666.66666666666697</v>
      </c>
      <c r="DI7" s="24">
        <v>666.66666666666697</v>
      </c>
      <c r="DJ7" s="24">
        <v>666.66666666666697</v>
      </c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</row>
    <row r="8" spans="1:218" ht="18" hidden="1" customHeight="1">
      <c r="A8" s="4"/>
      <c r="B8" s="8"/>
      <c r="C8" s="8"/>
      <c r="D8" s="105" t="s">
        <v>21</v>
      </c>
      <c r="E8" s="5" t="s">
        <v>22</v>
      </c>
      <c r="F8" s="7" t="s">
        <v>92</v>
      </c>
      <c r="G8" s="4" t="s">
        <v>24</v>
      </c>
      <c r="H8" s="7" t="str">
        <f>F8</f>
        <v>Vảy PP tuyển mua ngoài - ICIS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X8" s="4"/>
      <c r="AY8" s="5" t="s">
        <v>22</v>
      </c>
      <c r="AZ8" s="7" t="str">
        <f>F8</f>
        <v>Vảy PP tuyển mua ngoài - ICIS</v>
      </c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</row>
    <row r="9" spans="1:218" ht="14">
      <c r="A9" s="9">
        <v>5</v>
      </c>
      <c r="B9" s="11" t="s">
        <v>25</v>
      </c>
      <c r="C9" s="11" t="s">
        <v>26</v>
      </c>
      <c r="D9" s="9"/>
      <c r="E9" s="11" t="s">
        <v>28</v>
      </c>
      <c r="F9" s="11" t="s">
        <v>137</v>
      </c>
      <c r="G9" s="9" t="s">
        <v>24</v>
      </c>
      <c r="H9" s="11" t="s">
        <v>137</v>
      </c>
      <c r="I9" s="50">
        <f>+SUM(BB9:BE9)/COUNT(BB9:BE9)</f>
        <v>1100</v>
      </c>
      <c r="J9" s="12">
        <f>+SUM(BF9:BI9)/COUNT(BF9:BI9)</f>
        <v>1100</v>
      </c>
      <c r="K9" s="12">
        <f>+SUM(BJ9:BN9)/COUNT(BJ9:BN9)</f>
        <v>1100</v>
      </c>
      <c r="L9" s="50">
        <f>+SUM(BO9:BR9)/COUNT(BO9:BR9)</f>
        <v>1100</v>
      </c>
      <c r="M9" s="50">
        <f>+SUM(BS9:BV9)/COUNT(BS9:BV9)</f>
        <v>1087.5</v>
      </c>
      <c r="N9" s="50">
        <f>+SUM(BW9:BZ9)/COUNT(BW9:BZ9)</f>
        <v>1050</v>
      </c>
      <c r="O9" s="50">
        <f>+SUM(CA9:CD9)/COUNT(CA9:CD9)</f>
        <v>1050</v>
      </c>
      <c r="P9" s="50">
        <f>+SUM(CE9:CI9)/COUNT(CE9:CI9)</f>
        <v>950</v>
      </c>
      <c r="Q9" s="50">
        <f>+SUM(CJ9:CM9)/COUNT(CJ9:CM9)</f>
        <v>950</v>
      </c>
      <c r="R9" s="50">
        <f>+SUM(CN9:CO9)/COUNT(CN9:CO9)</f>
        <v>950</v>
      </c>
      <c r="S9" s="50">
        <f>+SUM(CO9:CT9)/COUNT(CO9:CT9)</f>
        <v>950</v>
      </c>
      <c r="T9" s="50">
        <f>+SUM(CV9:CZ9)/COUNT(CV9:CZ9)</f>
        <v>950</v>
      </c>
      <c r="U9" s="50">
        <f>+SUM(DA9:DD9)/COUNT(DA9:DD9)</f>
        <v>930</v>
      </c>
      <c r="V9" s="50">
        <f>+SUM(DE9:DG9)/COUNT(DE9:DG9)</f>
        <v>930</v>
      </c>
      <c r="W9" s="50">
        <f>+SUM(DH9:DK9)/COUNT(DH9:DK9)</f>
        <v>930</v>
      </c>
      <c r="X9" s="50">
        <f>+SUM(DL9:DO9)/COUNT(DL9:DO9)</f>
        <v>950</v>
      </c>
      <c r="Y9" s="50">
        <f>+SUM(DP9:DT9)/COUNT(DP9:DT9)</f>
        <v>950</v>
      </c>
      <c r="Z9" s="50">
        <f t="shared" ref="Z9:Z10" si="0">+SUM(DU9:DX9)/COUNT(DU9:DX9)</f>
        <v>950</v>
      </c>
      <c r="AA9" s="50">
        <v>950</v>
      </c>
      <c r="AB9" s="50">
        <v>950</v>
      </c>
      <c r="AC9" s="50">
        <v>910</v>
      </c>
      <c r="AD9" s="50">
        <v>900</v>
      </c>
      <c r="AE9" s="50">
        <v>900</v>
      </c>
      <c r="AF9" s="50">
        <v>900</v>
      </c>
      <c r="AG9" s="50">
        <v>900</v>
      </c>
      <c r="AH9" s="50">
        <v>820</v>
      </c>
      <c r="AI9" s="50">
        <v>840</v>
      </c>
      <c r="AJ9" s="50">
        <v>835</v>
      </c>
      <c r="AK9" s="50">
        <v>815</v>
      </c>
      <c r="AL9" s="50">
        <v>815</v>
      </c>
      <c r="AM9" s="50">
        <v>789.5</v>
      </c>
      <c r="AN9" s="50">
        <f>789.5-20</f>
        <v>769.5</v>
      </c>
      <c r="AO9" s="50">
        <f>789.5-20-15</f>
        <v>754.5</v>
      </c>
      <c r="AP9" s="50">
        <v>740</v>
      </c>
      <c r="AQ9" s="50">
        <v>715</v>
      </c>
      <c r="AR9" s="50">
        <v>705</v>
      </c>
      <c r="AS9" s="50">
        <v>695</v>
      </c>
      <c r="AT9" s="50">
        <v>695</v>
      </c>
      <c r="AU9" s="50">
        <v>720</v>
      </c>
      <c r="AV9" s="50"/>
      <c r="AX9" s="9"/>
      <c r="AY9" s="11"/>
      <c r="AZ9" s="11" t="s">
        <v>137</v>
      </c>
      <c r="BA9" s="50">
        <v>1250</v>
      </c>
      <c r="BB9" s="50">
        <v>1100</v>
      </c>
      <c r="BC9" s="50">
        <v>1100</v>
      </c>
      <c r="BD9" s="50">
        <v>1100</v>
      </c>
      <c r="BE9" s="50">
        <v>1100</v>
      </c>
      <c r="BF9" s="50">
        <v>1100</v>
      </c>
      <c r="BG9" s="50">
        <v>1100</v>
      </c>
      <c r="BH9" s="50">
        <v>1100</v>
      </c>
      <c r="BI9" s="50">
        <v>1100</v>
      </c>
      <c r="BJ9" s="50">
        <v>1100</v>
      </c>
      <c r="BK9" s="50">
        <v>1100</v>
      </c>
      <c r="BL9" s="50">
        <v>1100</v>
      </c>
      <c r="BM9" s="50">
        <v>1100</v>
      </c>
      <c r="BN9" s="50">
        <v>1100</v>
      </c>
      <c r="BO9" s="50">
        <v>1100</v>
      </c>
      <c r="BP9" s="50">
        <v>1100</v>
      </c>
      <c r="BQ9" s="50">
        <v>1100</v>
      </c>
      <c r="BR9" s="50">
        <v>1100</v>
      </c>
      <c r="BS9" s="50">
        <v>1100</v>
      </c>
      <c r="BT9" s="50">
        <v>1100</v>
      </c>
      <c r="BU9" s="50">
        <v>1100</v>
      </c>
      <c r="BV9" s="50">
        <v>1050</v>
      </c>
      <c r="BW9" s="50">
        <v>1050</v>
      </c>
      <c r="BX9" s="50">
        <v>1050</v>
      </c>
      <c r="BY9" s="50">
        <v>1050</v>
      </c>
      <c r="BZ9" s="50">
        <v>1050</v>
      </c>
      <c r="CA9" s="50">
        <v>1050</v>
      </c>
      <c r="CB9" s="50">
        <v>1050</v>
      </c>
      <c r="CC9" s="50">
        <v>1050</v>
      </c>
      <c r="CD9" s="50">
        <v>1050</v>
      </c>
      <c r="CE9" s="50">
        <v>950</v>
      </c>
      <c r="CF9" s="50">
        <v>950</v>
      </c>
      <c r="CG9" s="50">
        <v>950</v>
      </c>
      <c r="CH9" s="50">
        <v>950</v>
      </c>
      <c r="CI9" s="50">
        <v>950</v>
      </c>
      <c r="CJ9" s="50">
        <v>950</v>
      </c>
      <c r="CK9" s="50">
        <v>950</v>
      </c>
      <c r="CL9" s="50">
        <v>950</v>
      </c>
      <c r="CM9" s="50">
        <v>950</v>
      </c>
      <c r="CN9" s="50">
        <v>950</v>
      </c>
      <c r="CO9" s="50">
        <v>950</v>
      </c>
      <c r="CP9" s="50">
        <v>950</v>
      </c>
      <c r="CQ9" s="50">
        <v>950</v>
      </c>
      <c r="CR9" s="50">
        <v>950</v>
      </c>
      <c r="CS9" s="50">
        <v>950</v>
      </c>
      <c r="CT9" s="50">
        <v>950</v>
      </c>
      <c r="CU9" s="50">
        <v>950</v>
      </c>
      <c r="CV9" s="50">
        <v>950</v>
      </c>
      <c r="CW9" s="50">
        <v>950</v>
      </c>
      <c r="CX9" s="50">
        <v>950</v>
      </c>
      <c r="CY9" s="50">
        <v>950</v>
      </c>
      <c r="CZ9" s="50">
        <v>950</v>
      </c>
      <c r="DA9" s="50">
        <v>930</v>
      </c>
      <c r="DB9" s="50">
        <v>930</v>
      </c>
      <c r="DC9" s="50">
        <v>930</v>
      </c>
      <c r="DD9" s="50">
        <v>930</v>
      </c>
      <c r="DE9" s="50">
        <v>930</v>
      </c>
      <c r="DF9" s="50">
        <v>930</v>
      </c>
      <c r="DG9" s="50">
        <v>930</v>
      </c>
      <c r="DH9" s="50">
        <v>930</v>
      </c>
      <c r="DI9" s="50">
        <v>930</v>
      </c>
      <c r="DJ9" s="50">
        <v>930</v>
      </c>
      <c r="DK9" s="50">
        <v>930</v>
      </c>
      <c r="DL9" s="50">
        <v>950</v>
      </c>
      <c r="DM9" s="50">
        <v>950</v>
      </c>
      <c r="DN9" s="50">
        <v>950</v>
      </c>
      <c r="DO9" s="50">
        <v>950</v>
      </c>
      <c r="DP9" s="50">
        <v>950</v>
      </c>
      <c r="DQ9" s="50">
        <v>950</v>
      </c>
      <c r="DR9" s="50">
        <v>950</v>
      </c>
      <c r="DS9" s="50">
        <v>950</v>
      </c>
      <c r="DT9" s="50">
        <v>950</v>
      </c>
      <c r="DU9" s="50">
        <v>950</v>
      </c>
      <c r="DV9" s="50">
        <v>950</v>
      </c>
      <c r="DW9" s="50">
        <v>950</v>
      </c>
      <c r="DX9" s="50">
        <v>950</v>
      </c>
      <c r="DY9" s="50">
        <v>950</v>
      </c>
      <c r="DZ9" s="50">
        <v>950</v>
      </c>
      <c r="EA9" s="50">
        <v>950</v>
      </c>
      <c r="EB9" s="50">
        <v>950</v>
      </c>
      <c r="EC9" s="50">
        <v>950</v>
      </c>
      <c r="ED9" s="50">
        <v>950</v>
      </c>
      <c r="EE9" s="50">
        <v>950</v>
      </c>
      <c r="EF9" s="50">
        <v>950</v>
      </c>
      <c r="EG9" s="50">
        <v>950</v>
      </c>
      <c r="EH9" s="50">
        <v>910</v>
      </c>
      <c r="EI9" s="50">
        <v>910</v>
      </c>
      <c r="EJ9" s="50">
        <v>910</v>
      </c>
      <c r="EK9" s="50">
        <v>910</v>
      </c>
      <c r="EL9" s="50">
        <v>900</v>
      </c>
      <c r="EM9" s="50">
        <v>900</v>
      </c>
      <c r="EN9" s="50">
        <v>900</v>
      </c>
      <c r="EO9" s="50">
        <v>900</v>
      </c>
      <c r="EP9" s="50">
        <v>900</v>
      </c>
      <c r="EQ9" s="50">
        <v>900</v>
      </c>
      <c r="ER9" s="50">
        <v>900</v>
      </c>
      <c r="ES9" s="50">
        <v>900</v>
      </c>
      <c r="ET9" s="50">
        <v>900</v>
      </c>
      <c r="EU9" s="50">
        <v>900</v>
      </c>
      <c r="EV9" s="50">
        <v>900</v>
      </c>
      <c r="EW9" s="50">
        <v>900</v>
      </c>
      <c r="EX9" s="50">
        <v>900</v>
      </c>
      <c r="EY9" s="50">
        <v>900</v>
      </c>
      <c r="EZ9" s="50">
        <v>900</v>
      </c>
      <c r="FA9" s="50">
        <v>900</v>
      </c>
      <c r="FB9" s="50">
        <v>900</v>
      </c>
      <c r="FC9" s="50">
        <v>820</v>
      </c>
      <c r="FD9" s="50">
        <v>820</v>
      </c>
      <c r="FE9" s="50">
        <v>820</v>
      </c>
      <c r="FF9" s="50">
        <v>820</v>
      </c>
      <c r="FG9" s="50">
        <v>840</v>
      </c>
      <c r="FH9" s="50">
        <v>840</v>
      </c>
      <c r="FI9" s="50">
        <v>840</v>
      </c>
      <c r="FJ9" s="50">
        <v>840</v>
      </c>
      <c r="FK9" s="50">
        <v>835</v>
      </c>
      <c r="FL9" s="50">
        <v>835</v>
      </c>
      <c r="FM9" s="50">
        <v>835</v>
      </c>
      <c r="FN9" s="50">
        <v>835</v>
      </c>
      <c r="FO9" s="50">
        <v>815</v>
      </c>
      <c r="FP9" s="50">
        <v>815</v>
      </c>
      <c r="FQ9" s="50">
        <v>815</v>
      </c>
      <c r="FR9" s="50">
        <v>815</v>
      </c>
      <c r="FS9" s="50">
        <v>815</v>
      </c>
      <c r="FT9" s="50">
        <v>815</v>
      </c>
      <c r="FU9" s="50">
        <v>815</v>
      </c>
      <c r="FV9" s="50">
        <v>815</v>
      </c>
      <c r="FW9" s="50">
        <v>815</v>
      </c>
      <c r="FX9" s="50">
        <v>789.5</v>
      </c>
      <c r="FY9" s="50">
        <v>789.5</v>
      </c>
      <c r="FZ9" s="50">
        <v>789.5</v>
      </c>
      <c r="GA9" s="50">
        <v>789.5</v>
      </c>
      <c r="GB9" s="50">
        <v>789.5</v>
      </c>
      <c r="GC9" s="50">
        <f>789.5-20</f>
        <v>769.5</v>
      </c>
      <c r="GD9" s="50">
        <f t="shared" ref="GD9:GF9" si="1">789.5-20</f>
        <v>769.5</v>
      </c>
      <c r="GE9" s="50">
        <f t="shared" si="1"/>
        <v>769.5</v>
      </c>
      <c r="GF9" s="50">
        <f t="shared" si="1"/>
        <v>769.5</v>
      </c>
      <c r="GG9" s="50">
        <f>789.5-20-15</f>
        <v>754.5</v>
      </c>
      <c r="GH9" s="50">
        <f t="shared" ref="GH9:GJ9" si="2">789.5-20-15</f>
        <v>754.5</v>
      </c>
      <c r="GI9" s="50">
        <f t="shared" si="2"/>
        <v>754.5</v>
      </c>
      <c r="GJ9" s="50">
        <f t="shared" si="2"/>
        <v>754.5</v>
      </c>
      <c r="GK9" s="50">
        <v>740</v>
      </c>
      <c r="GL9" s="50">
        <v>740</v>
      </c>
      <c r="GM9" s="50">
        <v>740</v>
      </c>
      <c r="GN9" s="50">
        <v>740</v>
      </c>
      <c r="GO9" s="50">
        <v>740</v>
      </c>
      <c r="GP9" s="50">
        <v>715</v>
      </c>
      <c r="GQ9" s="50">
        <v>715</v>
      </c>
      <c r="GR9" s="50">
        <v>715</v>
      </c>
      <c r="GS9" s="50">
        <v>715</v>
      </c>
      <c r="GT9" s="50">
        <v>705</v>
      </c>
      <c r="GU9" s="50">
        <v>705</v>
      </c>
      <c r="GV9" s="50">
        <v>705</v>
      </c>
      <c r="GW9" s="50">
        <v>705</v>
      </c>
      <c r="GX9" s="50">
        <v>695</v>
      </c>
      <c r="GY9" s="50">
        <v>695</v>
      </c>
      <c r="GZ9" s="50">
        <v>695</v>
      </c>
      <c r="HA9" s="50">
        <v>695</v>
      </c>
      <c r="HB9" s="50">
        <v>695</v>
      </c>
      <c r="HC9" s="50">
        <v>695</v>
      </c>
      <c r="HD9" s="50">
        <v>695</v>
      </c>
      <c r="HE9" s="50">
        <v>695</v>
      </c>
      <c r="HF9" s="50">
        <v>695</v>
      </c>
      <c r="HG9" s="50">
        <v>720</v>
      </c>
      <c r="HH9" s="50">
        <v>720</v>
      </c>
      <c r="HI9" s="50">
        <f>720+50</f>
        <v>770</v>
      </c>
      <c r="HJ9" s="50">
        <f>720+50</f>
        <v>770</v>
      </c>
    </row>
    <row r="10" spans="1:218" ht="14" hidden="1">
      <c r="A10" s="9"/>
      <c r="B10" s="11"/>
      <c r="C10" s="11"/>
      <c r="D10" s="9"/>
      <c r="E10" s="11"/>
      <c r="F10" s="11" t="s">
        <v>110</v>
      </c>
      <c r="G10" s="9"/>
      <c r="H10" s="11" t="s">
        <v>93</v>
      </c>
      <c r="I10" s="50">
        <f>+SUM(BB10:BE10)/COUNT(BB10:BE10)</f>
        <v>1125</v>
      </c>
      <c r="J10" s="12">
        <f>+SUM(BF10:BI10)/COUNT(BF10:BI10)</f>
        <v>1125</v>
      </c>
      <c r="K10" s="12">
        <f>+SUM(BJ10:BN10)/COUNT(BJ10:BN10)</f>
        <v>1125</v>
      </c>
      <c r="L10" s="50">
        <f>+SUM(BO10:BR10)/COUNT(BO10:BR10)</f>
        <v>1125</v>
      </c>
      <c r="M10" s="50">
        <f>+SUM(BS10:BV10)/COUNT(BS10:BV10)</f>
        <v>1112.5</v>
      </c>
      <c r="N10" s="50">
        <f>+SUM(BW10:BZ10)/COUNT(BW10:BZ10)</f>
        <v>1075</v>
      </c>
      <c r="O10" s="50">
        <f>+SUM(CA10:CD10)/COUNT(CA10:CD10)</f>
        <v>1075</v>
      </c>
      <c r="P10" s="50">
        <f>+SUM(CE10:CI10)/COUNT(CE10:CI10)</f>
        <v>975</v>
      </c>
      <c r="Q10" s="50">
        <f>+SUM(CJ10:CM10)/COUNT(CJ10:CM10)</f>
        <v>975</v>
      </c>
      <c r="R10" s="50">
        <f>+SUM(CN10:CO10)/COUNT(CN10:CO10)</f>
        <v>975</v>
      </c>
      <c r="S10" s="50">
        <f>+SUM(CO10:CT10)/COUNT(CO10:CT10)</f>
        <v>975</v>
      </c>
      <c r="T10" s="50">
        <f>+SUM(CV10:CZ10)/COUNT(CV10:CZ10)</f>
        <v>975</v>
      </c>
      <c r="U10" s="50">
        <f t="shared" ref="U10:U13" si="3">+SUM(DA10:DD10)/COUNT(DA10:DD10)</f>
        <v>955</v>
      </c>
      <c r="V10" s="50">
        <f t="shared" ref="V10:V13" si="4">+SUM(DE10:DG10)/COUNT(DE10:DG10)</f>
        <v>955</v>
      </c>
      <c r="W10" s="50">
        <f t="shared" ref="W10:W13" si="5">+SUM(DH10:DK10)/COUNT(DH10:DK10)</f>
        <v>955</v>
      </c>
      <c r="X10" s="50">
        <f>+SUM(DL10:DO10)/COUNT(DL10:DO10)</f>
        <v>975</v>
      </c>
      <c r="Y10" s="50">
        <f>+SUM(DP10:DT10)/COUNT(DP10:DT10)</f>
        <v>975</v>
      </c>
      <c r="Z10" s="50">
        <f t="shared" si="0"/>
        <v>975</v>
      </c>
      <c r="AA10" s="50">
        <v>975</v>
      </c>
      <c r="AB10" s="50">
        <v>975</v>
      </c>
      <c r="AC10" s="50">
        <v>975</v>
      </c>
      <c r="AD10" s="50">
        <v>975</v>
      </c>
      <c r="AE10" s="50">
        <v>975</v>
      </c>
      <c r="AF10" s="50">
        <v>975</v>
      </c>
      <c r="AG10" s="50">
        <v>975</v>
      </c>
      <c r="AH10" s="50">
        <v>975</v>
      </c>
      <c r="AI10" s="50">
        <v>975</v>
      </c>
      <c r="AJ10" s="50">
        <v>975</v>
      </c>
      <c r="AK10" s="50">
        <v>975</v>
      </c>
      <c r="AL10" s="50">
        <v>975</v>
      </c>
      <c r="AM10" s="50">
        <v>975</v>
      </c>
      <c r="AN10" s="50">
        <v>975</v>
      </c>
      <c r="AO10" s="50">
        <v>975</v>
      </c>
      <c r="AP10" s="50">
        <v>975</v>
      </c>
      <c r="AQ10" s="50">
        <v>975</v>
      </c>
      <c r="AR10" s="50">
        <v>975</v>
      </c>
      <c r="AS10" s="50">
        <v>975</v>
      </c>
      <c r="AT10" s="50">
        <v>975</v>
      </c>
      <c r="AU10" s="50">
        <v>975</v>
      </c>
      <c r="AV10" s="50"/>
      <c r="AX10" s="9"/>
      <c r="AY10" s="11"/>
      <c r="AZ10" s="11" t="s">
        <v>95</v>
      </c>
      <c r="BA10" s="50">
        <f>+BA9+40</f>
        <v>1290</v>
      </c>
      <c r="BB10" s="50">
        <f>+BB9+25</f>
        <v>1125</v>
      </c>
      <c r="BC10" s="50">
        <f t="shared" ref="BC10:CJ10" si="6">+BC9+25</f>
        <v>1125</v>
      </c>
      <c r="BD10" s="50">
        <f t="shared" si="6"/>
        <v>1125</v>
      </c>
      <c r="BE10" s="50">
        <f t="shared" si="6"/>
        <v>1125</v>
      </c>
      <c r="BF10" s="50">
        <f t="shared" si="6"/>
        <v>1125</v>
      </c>
      <c r="BG10" s="50">
        <f t="shared" si="6"/>
        <v>1125</v>
      </c>
      <c r="BH10" s="50">
        <f t="shared" si="6"/>
        <v>1125</v>
      </c>
      <c r="BI10" s="50">
        <f t="shared" si="6"/>
        <v>1125</v>
      </c>
      <c r="BJ10" s="50">
        <f t="shared" si="6"/>
        <v>1125</v>
      </c>
      <c r="BK10" s="50">
        <f t="shared" si="6"/>
        <v>1125</v>
      </c>
      <c r="BL10" s="50">
        <f t="shared" si="6"/>
        <v>1125</v>
      </c>
      <c r="BM10" s="50">
        <f t="shared" si="6"/>
        <v>1125</v>
      </c>
      <c r="BN10" s="50">
        <f t="shared" si="6"/>
        <v>1125</v>
      </c>
      <c r="BO10" s="50">
        <f t="shared" si="6"/>
        <v>1125</v>
      </c>
      <c r="BP10" s="50">
        <f t="shared" si="6"/>
        <v>1125</v>
      </c>
      <c r="BQ10" s="50">
        <f t="shared" si="6"/>
        <v>1125</v>
      </c>
      <c r="BR10" s="50">
        <f t="shared" si="6"/>
        <v>1125</v>
      </c>
      <c r="BS10" s="50">
        <f t="shared" si="6"/>
        <v>1125</v>
      </c>
      <c r="BT10" s="50">
        <f t="shared" si="6"/>
        <v>1125</v>
      </c>
      <c r="BU10" s="50">
        <f t="shared" si="6"/>
        <v>1125</v>
      </c>
      <c r="BV10" s="50">
        <f t="shared" si="6"/>
        <v>1075</v>
      </c>
      <c r="BW10" s="50">
        <f t="shared" si="6"/>
        <v>1075</v>
      </c>
      <c r="BX10" s="50">
        <f t="shared" si="6"/>
        <v>1075</v>
      </c>
      <c r="BY10" s="50">
        <f t="shared" si="6"/>
        <v>1075</v>
      </c>
      <c r="BZ10" s="50">
        <f t="shared" si="6"/>
        <v>1075</v>
      </c>
      <c r="CA10" s="50">
        <f t="shared" si="6"/>
        <v>1075</v>
      </c>
      <c r="CB10" s="50">
        <f t="shared" si="6"/>
        <v>1075</v>
      </c>
      <c r="CC10" s="50">
        <f t="shared" si="6"/>
        <v>1075</v>
      </c>
      <c r="CD10" s="50">
        <f t="shared" si="6"/>
        <v>1075</v>
      </c>
      <c r="CE10" s="50">
        <f t="shared" si="6"/>
        <v>975</v>
      </c>
      <c r="CF10" s="50">
        <f t="shared" si="6"/>
        <v>975</v>
      </c>
      <c r="CG10" s="50">
        <f t="shared" si="6"/>
        <v>975</v>
      </c>
      <c r="CH10" s="50">
        <f t="shared" si="6"/>
        <v>975</v>
      </c>
      <c r="CI10" s="50">
        <f t="shared" si="6"/>
        <v>975</v>
      </c>
      <c r="CJ10" s="50">
        <f t="shared" si="6"/>
        <v>975</v>
      </c>
      <c r="CK10" s="50">
        <f t="shared" ref="CK10:CQ10" si="7">+CK9+25</f>
        <v>975</v>
      </c>
      <c r="CL10" s="50">
        <f t="shared" si="7"/>
        <v>975</v>
      </c>
      <c r="CM10" s="50">
        <f t="shared" si="7"/>
        <v>975</v>
      </c>
      <c r="CN10" s="50">
        <f t="shared" si="7"/>
        <v>975</v>
      </c>
      <c r="CO10" s="50">
        <f t="shared" si="7"/>
        <v>975</v>
      </c>
      <c r="CP10" s="50">
        <f t="shared" si="7"/>
        <v>975</v>
      </c>
      <c r="CQ10" s="50">
        <f t="shared" si="7"/>
        <v>975</v>
      </c>
      <c r="CR10" s="50">
        <f t="shared" ref="CR10:CS10" si="8">+CR9+25</f>
        <v>975</v>
      </c>
      <c r="CS10" s="50">
        <f t="shared" si="8"/>
        <v>975</v>
      </c>
      <c r="CT10" s="50">
        <f t="shared" ref="CT10:CU10" si="9">+CT9+25</f>
        <v>975</v>
      </c>
      <c r="CU10" s="50">
        <f t="shared" si="9"/>
        <v>975</v>
      </c>
      <c r="CV10" s="50">
        <f t="shared" ref="CV10:CW10" si="10">+CV9+25</f>
        <v>975</v>
      </c>
      <c r="CW10" s="50">
        <f t="shared" si="10"/>
        <v>975</v>
      </c>
      <c r="CX10" s="50">
        <f t="shared" ref="CX10:CZ10" si="11">+CX9+25</f>
        <v>975</v>
      </c>
      <c r="CY10" s="50">
        <f t="shared" si="11"/>
        <v>975</v>
      </c>
      <c r="CZ10" s="50">
        <f t="shared" si="11"/>
        <v>975</v>
      </c>
      <c r="DA10" s="50">
        <f t="shared" ref="DA10:DB10" si="12">+DA9+25</f>
        <v>955</v>
      </c>
      <c r="DB10" s="50">
        <f t="shared" si="12"/>
        <v>955</v>
      </c>
      <c r="DC10" s="50">
        <f t="shared" ref="DC10:DD10" si="13">+DC9+25</f>
        <v>955</v>
      </c>
      <c r="DD10" s="50">
        <f t="shared" si="13"/>
        <v>955</v>
      </c>
      <c r="DE10" s="50">
        <f t="shared" ref="DE10:DF10" si="14">+DE9+25</f>
        <v>955</v>
      </c>
      <c r="DF10" s="50">
        <f t="shared" si="14"/>
        <v>955</v>
      </c>
      <c r="DG10" s="50">
        <f t="shared" ref="DG10:DH10" si="15">+DG9+25</f>
        <v>955</v>
      </c>
      <c r="DH10" s="50">
        <f t="shared" si="15"/>
        <v>955</v>
      </c>
      <c r="DI10" s="50">
        <f t="shared" ref="DI10:DL10" si="16">+DI9+25</f>
        <v>955</v>
      </c>
      <c r="DJ10" s="50">
        <f t="shared" si="16"/>
        <v>955</v>
      </c>
      <c r="DK10" s="50">
        <f t="shared" si="16"/>
        <v>955</v>
      </c>
      <c r="DL10" s="50">
        <f t="shared" si="16"/>
        <v>975</v>
      </c>
      <c r="DM10" s="50">
        <f t="shared" ref="DM10:DO10" si="17">+DM9+25</f>
        <v>975</v>
      </c>
      <c r="DN10" s="50">
        <f t="shared" si="17"/>
        <v>975</v>
      </c>
      <c r="DO10" s="50">
        <f t="shared" si="17"/>
        <v>975</v>
      </c>
      <c r="DP10" s="50">
        <f t="shared" ref="DP10:DQ10" si="18">+DP9+25</f>
        <v>975</v>
      </c>
      <c r="DQ10" s="50">
        <f t="shared" si="18"/>
        <v>975</v>
      </c>
      <c r="DR10" s="50">
        <f t="shared" ref="DR10:DS10" si="19">+DR9+25</f>
        <v>975</v>
      </c>
      <c r="DS10" s="50">
        <f t="shared" si="19"/>
        <v>975</v>
      </c>
      <c r="DT10" s="50">
        <f t="shared" ref="DT10:DU10" si="20">+DT9+25</f>
        <v>975</v>
      </c>
      <c r="DU10" s="50">
        <f t="shared" si="20"/>
        <v>975</v>
      </c>
      <c r="DV10" s="50">
        <f t="shared" ref="DV10:DW10" si="21">+DV9+25</f>
        <v>975</v>
      </c>
      <c r="DW10" s="50">
        <f t="shared" si="21"/>
        <v>975</v>
      </c>
      <c r="DX10" s="50">
        <f t="shared" ref="DX10:DY10" si="22">+DX9+25</f>
        <v>975</v>
      </c>
      <c r="DY10" s="50">
        <f t="shared" si="22"/>
        <v>975</v>
      </c>
      <c r="DZ10" s="50">
        <f t="shared" ref="DZ10:EA10" si="23">+DZ9+25</f>
        <v>975</v>
      </c>
      <c r="EA10" s="50">
        <f t="shared" si="23"/>
        <v>975</v>
      </c>
      <c r="EB10" s="50">
        <f t="shared" ref="EB10:EC10" si="24">+EB9+25</f>
        <v>975</v>
      </c>
      <c r="EC10" s="50">
        <f t="shared" si="24"/>
        <v>975</v>
      </c>
      <c r="ED10" s="50">
        <f t="shared" ref="ED10:EE10" si="25">+ED9+25</f>
        <v>975</v>
      </c>
      <c r="EE10" s="50">
        <f t="shared" si="25"/>
        <v>975</v>
      </c>
      <c r="EF10" s="50">
        <f t="shared" ref="EF10:EH10" si="26">+EF9+25</f>
        <v>975</v>
      </c>
      <c r="EG10" s="50">
        <f t="shared" si="26"/>
        <v>975</v>
      </c>
      <c r="EH10" s="50">
        <f t="shared" si="26"/>
        <v>935</v>
      </c>
      <c r="EI10" s="50">
        <f t="shared" ref="EI10:EJ10" si="27">+EI9+25</f>
        <v>935</v>
      </c>
      <c r="EJ10" s="50">
        <f t="shared" si="27"/>
        <v>935</v>
      </c>
      <c r="EK10" s="50">
        <f t="shared" ref="EK10:EM10" si="28">+EK9+25</f>
        <v>935</v>
      </c>
      <c r="EL10" s="50">
        <f t="shared" si="28"/>
        <v>925</v>
      </c>
      <c r="EM10" s="50">
        <f t="shared" si="28"/>
        <v>925</v>
      </c>
      <c r="EN10" s="50">
        <f t="shared" ref="EN10" si="29">+EN9+25</f>
        <v>925</v>
      </c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</row>
    <row r="11" spans="1:218" s="13" customFormat="1" ht="14" hidden="1">
      <c r="A11" s="54">
        <v>9</v>
      </c>
      <c r="B11" s="55"/>
      <c r="C11" s="55"/>
      <c r="D11" s="106" t="s">
        <v>37</v>
      </c>
      <c r="E11" s="55" t="s">
        <v>38</v>
      </c>
      <c r="F11" s="55" t="s">
        <v>128</v>
      </c>
      <c r="G11" s="54" t="s">
        <v>24</v>
      </c>
      <c r="H11" s="111" t="str">
        <f>F11</f>
        <v>Hạt đen (Châu Âu) - ICIS</v>
      </c>
      <c r="I11" s="129">
        <f>+SUM(BB11:BE11)/COUNT(BB11:BE11)</f>
        <v>1063.43</v>
      </c>
      <c r="J11" s="129">
        <f>+SUM(BF11:BI11)/COUNT(BF11:BI11)</f>
        <v>1063.4425000000001</v>
      </c>
      <c r="K11" s="129">
        <f>+SUM(BJ11:BN11)/COUNT(BJ11:BN11)</f>
        <v>1061.0620000000001</v>
      </c>
      <c r="L11" s="129">
        <f>+SUM(BO11:BR11)/COUNT(BO11:BR11)</f>
        <v>1038.75</v>
      </c>
      <c r="M11" s="129">
        <f>+SUM(BS11:BV11)/COUNT(BS11:BV11)</f>
        <v>963</v>
      </c>
      <c r="N11" s="129">
        <f>+SUM(BW11:BZ11)/COUNT(BW11:BZ11)</f>
        <v>941.7075000000001</v>
      </c>
      <c r="O11" s="129">
        <f>+SUM(CA11:CD11)/COUNT(CA11:CD11)</f>
        <v>936.71500000000015</v>
      </c>
      <c r="P11" s="129">
        <f>+SUM(CE11:CI11)/COUNT(CE11:CI11)</f>
        <v>890.976</v>
      </c>
      <c r="Q11" s="129">
        <f>+SUM(CJ11:CM11)/COUNT(CJ11:CM11)</f>
        <v>873.09750000000008</v>
      </c>
      <c r="R11" s="129">
        <f>+SUM(CN11:CQ11)/COUNT(CN11:CQ11)</f>
        <v>850.12249999999995</v>
      </c>
      <c r="S11" s="129">
        <f>+SUM(CR11:CU11)/COUNT(CR11:CU11)</f>
        <v>862.17</v>
      </c>
      <c r="T11" s="129">
        <f>+SUM(CV11:CZ11)/COUNT(CV11:CZ11)</f>
        <v>813.33400000000006</v>
      </c>
      <c r="U11" s="129">
        <f t="shared" si="3"/>
        <v>795.74750000000006</v>
      </c>
      <c r="V11" s="129">
        <f t="shared" si="4"/>
        <v>808.88999999999987</v>
      </c>
      <c r="W11" s="129">
        <f t="shared" si="5"/>
        <v>807.18</v>
      </c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X11" s="54" t="s">
        <v>37</v>
      </c>
      <c r="AY11" s="55" t="s">
        <v>38</v>
      </c>
      <c r="AZ11" s="111" t="str">
        <f>H11</f>
        <v>Hạt đen (Châu Âu) - ICIS</v>
      </c>
      <c r="BA11" s="114" t="e">
        <f>#REF!</f>
        <v>#REF!</v>
      </c>
      <c r="BB11" s="56">
        <v>1041.21</v>
      </c>
      <c r="BC11" s="56">
        <v>1069.97</v>
      </c>
      <c r="BD11" s="56">
        <v>1068.1099999999999</v>
      </c>
      <c r="BE11" s="56">
        <v>1074.43</v>
      </c>
      <c r="BF11" s="56">
        <v>1082.6099999999999</v>
      </c>
      <c r="BG11" s="56">
        <v>1065.47</v>
      </c>
      <c r="BH11" s="56">
        <v>1056.6500000000001</v>
      </c>
      <c r="BI11" s="56">
        <v>1049.04</v>
      </c>
      <c r="BJ11" s="56">
        <v>1050.44</v>
      </c>
      <c r="BK11" s="56">
        <v>1046.3599999999999</v>
      </c>
      <c r="BL11" s="56">
        <v>1051.3900000000001</v>
      </c>
      <c r="BM11" s="56">
        <v>1078.1199999999999</v>
      </c>
      <c r="BN11" s="56">
        <v>1079</v>
      </c>
      <c r="BO11" s="56">
        <v>1086</v>
      </c>
      <c r="BP11" s="58">
        <v>1086</v>
      </c>
      <c r="BQ11" s="58">
        <v>992</v>
      </c>
      <c r="BR11" s="58">
        <v>991</v>
      </c>
      <c r="BS11" s="58">
        <v>982</v>
      </c>
      <c r="BT11" s="58">
        <v>970</v>
      </c>
      <c r="BU11" s="58">
        <v>965</v>
      </c>
      <c r="BV11" s="58">
        <v>935</v>
      </c>
      <c r="BW11" s="58">
        <v>937.84</v>
      </c>
      <c r="BX11" s="58">
        <v>951.1</v>
      </c>
      <c r="BY11" s="58">
        <v>952.95</v>
      </c>
      <c r="BZ11" s="58">
        <v>924.94</v>
      </c>
      <c r="CA11" s="58">
        <v>924.94</v>
      </c>
      <c r="CB11" s="58">
        <v>924.07</v>
      </c>
      <c r="CC11" s="58">
        <v>951.34</v>
      </c>
      <c r="CD11" s="58">
        <v>946.51</v>
      </c>
      <c r="CE11" s="58">
        <v>896.52</v>
      </c>
      <c r="CF11" s="58">
        <v>892.09</v>
      </c>
      <c r="CG11" s="58">
        <v>897.78</v>
      </c>
      <c r="CH11" s="58">
        <v>886.14</v>
      </c>
      <c r="CI11" s="102">
        <v>882.35</v>
      </c>
      <c r="CJ11" s="102">
        <v>882.35</v>
      </c>
      <c r="CK11" s="102">
        <v>872.34</v>
      </c>
      <c r="CL11" s="102">
        <v>868.61</v>
      </c>
      <c r="CM11" s="102">
        <v>869.09</v>
      </c>
      <c r="CN11" s="102">
        <v>851.44</v>
      </c>
      <c r="CO11" s="102">
        <v>847.31</v>
      </c>
      <c r="CP11" s="102">
        <v>850.87</v>
      </c>
      <c r="CQ11" s="102">
        <v>850.87</v>
      </c>
      <c r="CR11" s="102">
        <v>847.98</v>
      </c>
      <c r="CS11" s="102">
        <v>862.54</v>
      </c>
      <c r="CT11" s="102">
        <v>862.54</v>
      </c>
      <c r="CU11" s="102">
        <v>875.62</v>
      </c>
      <c r="CV11" s="102">
        <v>878.23</v>
      </c>
      <c r="CW11" s="102">
        <v>796.36</v>
      </c>
      <c r="CX11" s="102">
        <v>787.17</v>
      </c>
      <c r="CY11" s="102">
        <v>802.63</v>
      </c>
      <c r="CZ11" s="102">
        <v>802.28</v>
      </c>
      <c r="DA11" s="102">
        <v>799.72</v>
      </c>
      <c r="DB11" s="102">
        <v>799.05</v>
      </c>
      <c r="DC11" s="102">
        <v>792.11</v>
      </c>
      <c r="DD11" s="102">
        <v>792.11</v>
      </c>
      <c r="DE11" s="102">
        <v>812.31</v>
      </c>
      <c r="DF11" s="102">
        <v>807.18</v>
      </c>
      <c r="DG11" s="102">
        <v>807.18</v>
      </c>
      <c r="DH11" s="102">
        <v>807.18</v>
      </c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</row>
    <row r="12" spans="1:218" s="13" customFormat="1" ht="14" hidden="1">
      <c r="A12" s="54">
        <v>9</v>
      </c>
      <c r="B12" s="55"/>
      <c r="C12" s="55"/>
      <c r="D12" s="54" t="s">
        <v>37</v>
      </c>
      <c r="E12" s="55" t="s">
        <v>38</v>
      </c>
      <c r="F12" s="55" t="s">
        <v>129</v>
      </c>
      <c r="G12" s="54" t="s">
        <v>24</v>
      </c>
      <c r="H12" s="111" t="str">
        <f>F12</f>
        <v>Hạt màu (Châu Âu) - ICIS</v>
      </c>
      <c r="I12" s="130">
        <f>+SUM(BB12:BE12)/COUNT(BB12:BE12)</f>
        <v>1476.7075</v>
      </c>
      <c r="J12" s="130">
        <f>+SUM(BF12:BI12)/COUNT(BF12:BI12)</f>
        <v>1396.4399999999998</v>
      </c>
      <c r="K12" s="130">
        <f>+SUM(BJ12:BN12)/COUNT(BJ12:BN12)</f>
        <v>1393.316</v>
      </c>
      <c r="L12" s="130">
        <f>+SUM(BO12:BR12)/COUNT(BO12:BR12)</f>
        <v>1427.4324999999999</v>
      </c>
      <c r="M12" s="130">
        <f>+SUM(BS12:BV12)/COUNT(BS12:BV12)</f>
        <v>1403</v>
      </c>
      <c r="N12" s="130">
        <f>+SUM(BW12:BZ12)/COUNT(BW12:BZ12)</f>
        <v>1417.6175000000001</v>
      </c>
      <c r="O12" s="130">
        <f>+SUM(CA12:CD12)/COUNT(CA12:CD12)</f>
        <v>964.26750000000004</v>
      </c>
      <c r="P12" s="130">
        <f>+SUM(CE12:CI12)/COUNT(CE12:CI12)</f>
        <v>956.56799999999998</v>
      </c>
      <c r="Q12" s="130">
        <f>+SUM(CJ12:CM12)/COUNT(CJ12:CM12)</f>
        <v>937.37749999999994</v>
      </c>
      <c r="R12" s="130">
        <f>+SUM(CN12:CQ12)/COUNT(CN12:CQ12)</f>
        <v>924.04250000000002</v>
      </c>
      <c r="S12" s="130">
        <f t="shared" ref="S12:S13" si="30">+SUM(CR12:CU12)/COUNT(CR12:CU12)</f>
        <v>937.14499999999998</v>
      </c>
      <c r="T12" s="130">
        <f t="shared" ref="T12:T13" si="31">+SUM(CV12:CZ12)/COUNT(CV12:CZ12)</f>
        <v>955.28399999999999</v>
      </c>
      <c r="U12" s="129">
        <f t="shared" si="3"/>
        <v>953.80500000000006</v>
      </c>
      <c r="V12" s="129">
        <f t="shared" si="4"/>
        <v>943.70333333333338</v>
      </c>
      <c r="W12" s="129">
        <f t="shared" si="5"/>
        <v>941.71</v>
      </c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X12" s="54" t="s">
        <v>37</v>
      </c>
      <c r="AY12" s="55" t="s">
        <v>38</v>
      </c>
      <c r="AZ12" s="111" t="str">
        <f>H12</f>
        <v>Hạt màu (Châu Âu) - ICIS</v>
      </c>
      <c r="BA12" s="115" t="e">
        <f>#REF!</f>
        <v>#REF!</v>
      </c>
      <c r="BB12" s="58">
        <v>1472.42</v>
      </c>
      <c r="BC12" s="58">
        <v>1513.09</v>
      </c>
      <c r="BD12" s="58">
        <v>1510.45</v>
      </c>
      <c r="BE12" s="58">
        <v>1410.87</v>
      </c>
      <c r="BF12" s="58">
        <v>1421.61</v>
      </c>
      <c r="BG12" s="58">
        <v>1399.1</v>
      </c>
      <c r="BH12" s="58">
        <v>1387.52</v>
      </c>
      <c r="BI12" s="58">
        <v>1377.53</v>
      </c>
      <c r="BJ12" s="58">
        <v>1379.37</v>
      </c>
      <c r="BK12" s="58">
        <v>1374.01</v>
      </c>
      <c r="BL12" s="58">
        <v>1380.62</v>
      </c>
      <c r="BM12" s="58">
        <v>1415.71</v>
      </c>
      <c r="BN12" s="58">
        <v>1416.87</v>
      </c>
      <c r="BO12" s="58">
        <v>1420.31</v>
      </c>
      <c r="BP12" s="58">
        <v>1426.12</v>
      </c>
      <c r="BQ12" s="58">
        <v>1432.19</v>
      </c>
      <c r="BR12" s="58">
        <v>1431.11</v>
      </c>
      <c r="BS12" s="58">
        <v>1419</v>
      </c>
      <c r="BT12" s="58">
        <v>1401</v>
      </c>
      <c r="BU12" s="58">
        <v>1394</v>
      </c>
      <c r="BV12" s="58">
        <v>1398</v>
      </c>
      <c r="BW12" s="58">
        <v>1401.38</v>
      </c>
      <c r="BX12" s="58">
        <v>1421.19</v>
      </c>
      <c r="BY12" s="58">
        <v>1423.95</v>
      </c>
      <c r="BZ12" s="58">
        <v>1423.95</v>
      </c>
      <c r="CA12" s="58">
        <v>952.15</v>
      </c>
      <c r="CB12" s="58">
        <v>951.25</v>
      </c>
      <c r="CC12" s="58">
        <v>979.32</v>
      </c>
      <c r="CD12" s="58">
        <v>974.35</v>
      </c>
      <c r="CE12" s="58">
        <v>962.52</v>
      </c>
      <c r="CF12" s="58">
        <v>957.76</v>
      </c>
      <c r="CG12" s="58">
        <v>963.87</v>
      </c>
      <c r="CH12" s="58">
        <v>951.38</v>
      </c>
      <c r="CI12" s="102">
        <v>947.31</v>
      </c>
      <c r="CJ12" s="102">
        <v>947.31</v>
      </c>
      <c r="CK12" s="102">
        <v>936.56</v>
      </c>
      <c r="CL12" s="102">
        <v>932.56</v>
      </c>
      <c r="CM12" s="102">
        <v>933.08</v>
      </c>
      <c r="CN12" s="102">
        <v>925.48</v>
      </c>
      <c r="CO12" s="102">
        <v>920.99</v>
      </c>
      <c r="CP12" s="102">
        <v>924.85</v>
      </c>
      <c r="CQ12" s="102">
        <v>924.85</v>
      </c>
      <c r="CR12" s="102">
        <v>921.72</v>
      </c>
      <c r="CS12" s="102">
        <v>937.55</v>
      </c>
      <c r="CT12" s="102">
        <v>937.55</v>
      </c>
      <c r="CU12" s="102">
        <v>951.76</v>
      </c>
      <c r="CV12" s="102">
        <v>954.6</v>
      </c>
      <c r="CW12" s="102">
        <v>954.6</v>
      </c>
      <c r="CX12" s="102">
        <v>943.52</v>
      </c>
      <c r="CY12" s="102">
        <v>962.06</v>
      </c>
      <c r="CZ12" s="102">
        <v>961.64</v>
      </c>
      <c r="DA12" s="102">
        <v>958.57</v>
      </c>
      <c r="DB12" s="102">
        <v>957.77</v>
      </c>
      <c r="DC12" s="102">
        <v>949.44</v>
      </c>
      <c r="DD12" s="102">
        <v>949.44</v>
      </c>
      <c r="DE12" s="102">
        <v>947.69</v>
      </c>
      <c r="DF12" s="102">
        <v>941.71</v>
      </c>
      <c r="DG12" s="102">
        <v>941.71</v>
      </c>
      <c r="DH12" s="102">
        <v>941.71</v>
      </c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</row>
    <row r="13" spans="1:218" ht="14">
      <c r="D13" s="54" t="s">
        <v>41</v>
      </c>
      <c r="E13" s="25"/>
      <c r="F13" s="59" t="s">
        <v>130</v>
      </c>
      <c r="G13" s="54" t="s">
        <v>24</v>
      </c>
      <c r="H13" s="111" t="str">
        <f>F13</f>
        <v>RESIN</v>
      </c>
      <c r="I13" s="129">
        <f>+SUM(BB13:BE13)/COUNT(BB13:BE13)</f>
        <v>1045</v>
      </c>
      <c r="J13" s="129">
        <f>+SUM(BF13:BI13)/COUNT(BF13:BI13)</f>
        <v>1087.5</v>
      </c>
      <c r="K13" s="129">
        <f>+SUM(BJ13:BN13)/COUNT(BJ13:BN13)</f>
        <v>1040</v>
      </c>
      <c r="L13" s="129">
        <f>+SUM(BO13:BR13)/COUNT(BO13:BR13)</f>
        <v>1027.5</v>
      </c>
      <c r="M13" s="129">
        <f>+SUM(BS13:BV13)/COUNT(BS13:BV13)</f>
        <v>967.5</v>
      </c>
      <c r="N13" s="129">
        <f>+SUM(BW13:BZ13)/COUNT(BW13:BZ13)</f>
        <v>887.5</v>
      </c>
      <c r="O13" s="129">
        <f>+SUM(CA13:CD13)/COUNT(CA13:CD13)</f>
        <v>900</v>
      </c>
      <c r="P13" s="129">
        <f>+SUM(CE13:CI13)/COUNT(CE13:CI13)</f>
        <v>958</v>
      </c>
      <c r="Q13" s="129">
        <f>+SUM(CJ13:CM13)/COUNT(CJ13:CM13)</f>
        <v>980</v>
      </c>
      <c r="R13" s="129">
        <f>+SUM(CN13:CQ13)/COUNT(CN13:CQ13)</f>
        <v>967.5</v>
      </c>
      <c r="S13" s="129">
        <f t="shared" si="30"/>
        <v>927.5</v>
      </c>
      <c r="T13" s="129">
        <f t="shared" si="31"/>
        <v>926</v>
      </c>
      <c r="U13" s="129">
        <f t="shared" si="3"/>
        <v>962.5</v>
      </c>
      <c r="V13" s="129">
        <f t="shared" si="4"/>
        <v>986.66666666666663</v>
      </c>
      <c r="W13" s="129">
        <f t="shared" si="5"/>
        <v>990</v>
      </c>
      <c r="X13" s="129">
        <f>+SUM(DL13:DO13)/COUNT(DL13:DO13)</f>
        <v>992.5</v>
      </c>
      <c r="Y13" s="129">
        <f>+SUM(DP13:DT13)/COUNT(DP13:DT13)</f>
        <v>1002</v>
      </c>
      <c r="Z13" s="129">
        <f>+SUM(DU13:DX13)/COUNT(DU13:DX13)</f>
        <v>1025</v>
      </c>
      <c r="AA13" s="129">
        <f>+SUM(DY13:EB13)/COUNT(DY13:EB13)</f>
        <v>1020</v>
      </c>
      <c r="AB13" s="129">
        <f>+SUM(EC13:EG13)/COUNT(EC13:EG13)</f>
        <v>970</v>
      </c>
      <c r="AC13" s="129">
        <f>+SUM(EH13:EK13)/COUNT(EH13:EK13)</f>
        <v>955</v>
      </c>
      <c r="AD13" s="129">
        <f>+SUM(EM13:EO13)/COUNT(EM13:EO13)</f>
        <v>956.66666666666663</v>
      </c>
      <c r="AE13" s="129">
        <f>+SUM(EP13:ET13)/COUNT(EP13:ET13)</f>
        <v>968</v>
      </c>
      <c r="AF13" s="129">
        <f>+SUM(EU13:EX13)/COUNT(EU13:EX13)</f>
        <v>960</v>
      </c>
      <c r="AG13" s="129">
        <f>+SUM(EY13:FB13)/COUNT(EY13:FB13)</f>
        <v>970</v>
      </c>
      <c r="AH13" s="129">
        <f>+SUM(FC13:FF13)/COUNT(FC13:FF13)</f>
        <v>985</v>
      </c>
      <c r="AI13" s="129">
        <f>+SUM(FG13:FJ13)/COUNT(FG13:FJ13)</f>
        <v>980</v>
      </c>
      <c r="AJ13" s="129">
        <f>+SUM(FK13:FN13)/COUNT(FK13:FN13)</f>
        <v>965</v>
      </c>
      <c r="AK13" s="129">
        <f>+SUM(FO13:FS13)/COUNT(FO13:FS13)</f>
        <v>932</v>
      </c>
      <c r="AL13" s="129">
        <f>+SUM(FT13:FW13)/COUNT(FT13:FW13)</f>
        <v>922.5</v>
      </c>
      <c r="AM13" s="129">
        <f>+SUM(FX13:GB13)/COUNT(FX13:GB13)</f>
        <v>918</v>
      </c>
      <c r="AN13" s="129">
        <f>+SUM(GC13:GF13)/COUNT(GC13:GF13)</f>
        <v>895</v>
      </c>
      <c r="AO13" s="129">
        <f>+SUM(GG13:GJ13)/COUNT(GG13:GJ13)</f>
        <v>870</v>
      </c>
      <c r="AP13" s="129">
        <f>+SUM(GK13:GO13)/COUNT(GK13:GO13)</f>
        <v>842</v>
      </c>
      <c r="AQ13" s="129">
        <f>+SUM(GP13:GS13)/COUNT(GP13:GS13)</f>
        <v>827.5</v>
      </c>
      <c r="AR13" s="129">
        <f>+SUM(GT13:GW13)/COUNT(GT13:GW13)</f>
        <v>820</v>
      </c>
      <c r="AS13" s="129">
        <f>+SUM(GX13:HB13)/COUNT(GX13:HB13)</f>
        <v>816</v>
      </c>
      <c r="AT13" s="129">
        <f>+SUM(HC13:HF13)/COUNT(HC13:HF13)</f>
        <v>847.5</v>
      </c>
      <c r="AU13" s="129">
        <f>+SUM(HG13:HJ13)/COUNT(HG13:HJ13)</f>
        <v>1250</v>
      </c>
      <c r="AV13" s="129">
        <v>1400</v>
      </c>
      <c r="AW13" s="51"/>
      <c r="AX13" s="54" t="s">
        <v>41</v>
      </c>
      <c r="AY13" s="25"/>
      <c r="AZ13" s="111" t="s">
        <v>130</v>
      </c>
      <c r="BA13" s="56">
        <v>1000</v>
      </c>
      <c r="BB13" s="56">
        <f>BA13</f>
        <v>1000</v>
      </c>
      <c r="BC13" s="56">
        <v>1010</v>
      </c>
      <c r="BD13" s="56">
        <v>1070</v>
      </c>
      <c r="BE13" s="118">
        <v>1100</v>
      </c>
      <c r="BF13" s="118">
        <v>1100</v>
      </c>
      <c r="BG13" s="118">
        <v>1100</v>
      </c>
      <c r="BH13" s="118">
        <v>1090</v>
      </c>
      <c r="BI13" s="118">
        <v>1060</v>
      </c>
      <c r="BJ13" s="118">
        <v>1060</v>
      </c>
      <c r="BK13" s="118">
        <v>1040</v>
      </c>
      <c r="BL13" s="118">
        <v>1040</v>
      </c>
      <c r="BM13" s="118">
        <v>1040</v>
      </c>
      <c r="BN13" s="118">
        <v>1020</v>
      </c>
      <c r="BO13" s="118">
        <v>1020</v>
      </c>
      <c r="BP13" s="118">
        <v>1030</v>
      </c>
      <c r="BQ13" s="118">
        <v>1030</v>
      </c>
      <c r="BR13" s="118">
        <v>1030</v>
      </c>
      <c r="BS13" s="118">
        <v>1030</v>
      </c>
      <c r="BT13" s="118">
        <v>1000</v>
      </c>
      <c r="BU13" s="118">
        <v>920</v>
      </c>
      <c r="BV13" s="118">
        <v>920</v>
      </c>
      <c r="BW13" s="118">
        <v>910</v>
      </c>
      <c r="BX13" s="118">
        <v>880</v>
      </c>
      <c r="BY13" s="118">
        <v>880</v>
      </c>
      <c r="BZ13" s="118">
        <v>880</v>
      </c>
      <c r="CA13" s="118">
        <v>870</v>
      </c>
      <c r="CB13" s="118">
        <v>890</v>
      </c>
      <c r="CC13" s="118">
        <v>920</v>
      </c>
      <c r="CD13" s="118">
        <v>920</v>
      </c>
      <c r="CE13" s="118">
        <v>950</v>
      </c>
      <c r="CF13" s="118">
        <v>960</v>
      </c>
      <c r="CG13" s="118">
        <v>960</v>
      </c>
      <c r="CH13" s="118">
        <v>960</v>
      </c>
      <c r="CI13" s="118">
        <v>960</v>
      </c>
      <c r="CJ13" s="118">
        <v>950</v>
      </c>
      <c r="CK13" s="118">
        <v>990</v>
      </c>
      <c r="CL13" s="118">
        <v>990</v>
      </c>
      <c r="CM13" s="118">
        <v>990</v>
      </c>
      <c r="CN13" s="118">
        <v>980</v>
      </c>
      <c r="CO13" s="118">
        <v>970</v>
      </c>
      <c r="CP13" s="118">
        <v>970</v>
      </c>
      <c r="CQ13" s="118">
        <v>950</v>
      </c>
      <c r="CR13" s="118">
        <v>950</v>
      </c>
      <c r="CS13" s="118">
        <v>920</v>
      </c>
      <c r="CT13" s="118">
        <v>920</v>
      </c>
      <c r="CU13" s="118">
        <v>920</v>
      </c>
      <c r="CV13" s="118">
        <v>920</v>
      </c>
      <c r="CW13" s="118">
        <v>920</v>
      </c>
      <c r="CX13" s="118">
        <v>930</v>
      </c>
      <c r="CY13" s="118">
        <v>930</v>
      </c>
      <c r="CZ13" s="118">
        <v>930</v>
      </c>
      <c r="DA13" s="118">
        <v>930</v>
      </c>
      <c r="DB13" s="118">
        <v>970</v>
      </c>
      <c r="DC13" s="118">
        <v>970</v>
      </c>
      <c r="DD13" s="118">
        <v>980</v>
      </c>
      <c r="DE13" s="118">
        <v>1000</v>
      </c>
      <c r="DF13" s="118">
        <v>980</v>
      </c>
      <c r="DG13" s="118">
        <v>980</v>
      </c>
      <c r="DH13" s="118">
        <v>980</v>
      </c>
      <c r="DI13" s="118">
        <v>980</v>
      </c>
      <c r="DJ13" s="118">
        <v>1000</v>
      </c>
      <c r="DK13" s="118">
        <v>1000</v>
      </c>
      <c r="DL13" s="118">
        <v>1000</v>
      </c>
      <c r="DM13" s="118">
        <v>990</v>
      </c>
      <c r="DN13" s="118">
        <v>990</v>
      </c>
      <c r="DO13" s="118">
        <v>990</v>
      </c>
      <c r="DP13" s="118">
        <v>990</v>
      </c>
      <c r="DQ13" s="118">
        <v>1000</v>
      </c>
      <c r="DR13" s="118">
        <v>1000</v>
      </c>
      <c r="DS13" s="118">
        <v>1000</v>
      </c>
      <c r="DT13" s="118">
        <v>1020</v>
      </c>
      <c r="DU13" s="118">
        <v>1020</v>
      </c>
      <c r="DV13" s="118">
        <v>1020</v>
      </c>
      <c r="DW13" s="118">
        <v>1030</v>
      </c>
      <c r="DX13" s="118">
        <v>1030</v>
      </c>
      <c r="DY13" s="118">
        <v>1030</v>
      </c>
      <c r="DZ13" s="118">
        <v>1030</v>
      </c>
      <c r="EA13" s="118">
        <v>1030</v>
      </c>
      <c r="EB13" s="118">
        <v>990</v>
      </c>
      <c r="EC13" s="118">
        <v>980</v>
      </c>
      <c r="ED13" s="118">
        <v>980</v>
      </c>
      <c r="EE13" s="118">
        <v>970</v>
      </c>
      <c r="EF13" s="118">
        <v>960</v>
      </c>
      <c r="EG13" s="118">
        <v>960</v>
      </c>
      <c r="EH13" s="118">
        <v>960</v>
      </c>
      <c r="EI13" s="118">
        <v>960</v>
      </c>
      <c r="EJ13" s="118">
        <v>950</v>
      </c>
      <c r="EK13" s="118">
        <v>950</v>
      </c>
      <c r="EL13" s="118">
        <v>950</v>
      </c>
      <c r="EM13" s="118">
        <v>950</v>
      </c>
      <c r="EN13" s="118">
        <v>950</v>
      </c>
      <c r="EO13" s="118">
        <v>970</v>
      </c>
      <c r="EP13" s="118">
        <v>970</v>
      </c>
      <c r="EQ13" s="118">
        <v>970</v>
      </c>
      <c r="ER13" s="118">
        <v>970</v>
      </c>
      <c r="ES13" s="118">
        <v>970</v>
      </c>
      <c r="ET13" s="118">
        <v>960</v>
      </c>
      <c r="EU13" s="118">
        <v>960</v>
      </c>
      <c r="EV13" s="118">
        <v>960</v>
      </c>
      <c r="EW13" s="118">
        <v>960</v>
      </c>
      <c r="EX13" s="118">
        <v>960</v>
      </c>
      <c r="EY13" s="118">
        <v>960</v>
      </c>
      <c r="EZ13" s="118">
        <v>970</v>
      </c>
      <c r="FA13" s="118">
        <v>970</v>
      </c>
      <c r="FB13" s="118">
        <v>980</v>
      </c>
      <c r="FC13" s="118">
        <v>970</v>
      </c>
      <c r="FD13" s="118">
        <v>1000</v>
      </c>
      <c r="FE13" s="118">
        <v>990</v>
      </c>
      <c r="FF13" s="118">
        <v>980</v>
      </c>
      <c r="FG13" s="118">
        <v>980</v>
      </c>
      <c r="FH13" s="118">
        <v>980</v>
      </c>
      <c r="FI13" s="118">
        <v>980</v>
      </c>
      <c r="FJ13" s="118">
        <v>980</v>
      </c>
      <c r="FK13" s="118">
        <v>980</v>
      </c>
      <c r="FL13" s="118">
        <v>970</v>
      </c>
      <c r="FM13" s="118">
        <v>960</v>
      </c>
      <c r="FN13" s="118">
        <v>950</v>
      </c>
      <c r="FO13" s="118">
        <v>950</v>
      </c>
      <c r="FP13" s="118">
        <v>930</v>
      </c>
      <c r="FQ13" s="118">
        <v>930</v>
      </c>
      <c r="FR13" s="118">
        <v>930</v>
      </c>
      <c r="FS13" s="118">
        <v>920</v>
      </c>
      <c r="FT13" s="118">
        <v>920</v>
      </c>
      <c r="FU13" s="118">
        <v>910</v>
      </c>
      <c r="FV13" s="118">
        <v>930</v>
      </c>
      <c r="FW13" s="118">
        <v>930</v>
      </c>
      <c r="FX13" s="118">
        <v>930</v>
      </c>
      <c r="FY13" s="118">
        <v>930</v>
      </c>
      <c r="FZ13" s="118">
        <v>930</v>
      </c>
      <c r="GA13" s="118">
        <v>900</v>
      </c>
      <c r="GB13" s="118">
        <v>900</v>
      </c>
      <c r="GC13" s="118">
        <v>900</v>
      </c>
      <c r="GD13" s="118">
        <v>900</v>
      </c>
      <c r="GE13" s="118">
        <v>890</v>
      </c>
      <c r="GF13" s="118">
        <v>890</v>
      </c>
      <c r="GG13" s="118">
        <v>890</v>
      </c>
      <c r="GH13" s="118">
        <v>870</v>
      </c>
      <c r="GI13" s="118">
        <v>870</v>
      </c>
      <c r="GJ13" s="118">
        <v>850</v>
      </c>
      <c r="GK13" s="118">
        <v>850</v>
      </c>
      <c r="GL13" s="118">
        <v>850</v>
      </c>
      <c r="GM13" s="118">
        <v>840</v>
      </c>
      <c r="GN13" s="118">
        <v>840</v>
      </c>
      <c r="GO13" s="118">
        <v>830</v>
      </c>
      <c r="GP13" s="118">
        <v>830</v>
      </c>
      <c r="GQ13" s="118">
        <v>830</v>
      </c>
      <c r="GR13" s="118">
        <v>830</v>
      </c>
      <c r="GS13" s="118">
        <v>820</v>
      </c>
      <c r="GT13" s="118">
        <v>820</v>
      </c>
      <c r="GU13" s="118">
        <v>820</v>
      </c>
      <c r="GV13" s="118">
        <v>820</v>
      </c>
      <c r="GW13" s="118">
        <v>820</v>
      </c>
      <c r="GX13" s="118">
        <v>810</v>
      </c>
      <c r="GY13" s="118">
        <v>810</v>
      </c>
      <c r="GZ13" s="118">
        <v>820</v>
      </c>
      <c r="HA13" s="118">
        <v>820</v>
      </c>
      <c r="HB13" s="118">
        <v>820</v>
      </c>
      <c r="HC13" s="118">
        <v>840</v>
      </c>
      <c r="HD13" s="118">
        <v>850</v>
      </c>
      <c r="HE13" s="118">
        <v>850</v>
      </c>
      <c r="HF13" s="118">
        <v>850</v>
      </c>
      <c r="HG13" s="118">
        <v>1000</v>
      </c>
      <c r="HH13" s="118">
        <v>1200</v>
      </c>
      <c r="HI13" s="118">
        <v>1400</v>
      </c>
      <c r="HJ13" s="118">
        <v>1400</v>
      </c>
    </row>
    <row r="14" spans="1:218" ht="14">
      <c r="F14" s="117" t="s">
        <v>82</v>
      </c>
      <c r="H14" s="117" t="s">
        <v>82</v>
      </c>
      <c r="I14" s="131">
        <f t="shared" ref="I14:O14" si="32">I13</f>
        <v>1045</v>
      </c>
      <c r="J14" s="131">
        <f t="shared" si="32"/>
        <v>1087.5</v>
      </c>
      <c r="K14" s="131">
        <f t="shared" si="32"/>
        <v>1040</v>
      </c>
      <c r="L14" s="131">
        <f t="shared" si="32"/>
        <v>1027.5</v>
      </c>
      <c r="M14" s="131">
        <f t="shared" si="32"/>
        <v>967.5</v>
      </c>
      <c r="N14" s="131">
        <f t="shared" si="32"/>
        <v>887.5</v>
      </c>
      <c r="O14" s="131">
        <f t="shared" si="32"/>
        <v>900</v>
      </c>
      <c r="P14" s="131">
        <f t="shared" ref="P14:U14" si="33">P13</f>
        <v>958</v>
      </c>
      <c r="Q14" s="131">
        <f t="shared" si="33"/>
        <v>980</v>
      </c>
      <c r="R14" s="131">
        <f t="shared" si="33"/>
        <v>967.5</v>
      </c>
      <c r="S14" s="131">
        <f t="shared" si="33"/>
        <v>927.5</v>
      </c>
      <c r="T14" s="131">
        <f t="shared" si="33"/>
        <v>926</v>
      </c>
      <c r="U14" s="131">
        <f t="shared" si="33"/>
        <v>962.5</v>
      </c>
      <c r="V14" s="131">
        <f t="shared" ref="V14:W14" si="34">V13</f>
        <v>986.66666666666663</v>
      </c>
      <c r="W14" s="131">
        <f t="shared" si="34"/>
        <v>990</v>
      </c>
      <c r="X14" s="131">
        <f t="shared" ref="X14:AC14" si="35">X13</f>
        <v>992.5</v>
      </c>
      <c r="Y14" s="131">
        <f t="shared" si="35"/>
        <v>1002</v>
      </c>
      <c r="Z14" s="131">
        <f t="shared" si="35"/>
        <v>1025</v>
      </c>
      <c r="AA14" s="131">
        <f t="shared" si="35"/>
        <v>1020</v>
      </c>
      <c r="AB14" s="131">
        <f t="shared" si="35"/>
        <v>970</v>
      </c>
      <c r="AC14" s="131">
        <f t="shared" si="35"/>
        <v>955</v>
      </c>
      <c r="AD14" s="131">
        <f t="shared" ref="AD14:AE14" si="36">AD13</f>
        <v>956.66666666666663</v>
      </c>
      <c r="AE14" s="131">
        <f t="shared" si="36"/>
        <v>968</v>
      </c>
      <c r="AF14" s="131">
        <f t="shared" ref="AF14:AG14" si="37">AF13</f>
        <v>960</v>
      </c>
      <c r="AG14" s="131">
        <f t="shared" si="37"/>
        <v>970</v>
      </c>
      <c r="AH14" s="131">
        <f t="shared" ref="AH14:AI14" si="38">AH13</f>
        <v>985</v>
      </c>
      <c r="AI14" s="131">
        <f t="shared" si="38"/>
        <v>980</v>
      </c>
      <c r="AJ14" s="131">
        <f t="shared" ref="AJ14:AK14" si="39">AJ13</f>
        <v>965</v>
      </c>
      <c r="AK14" s="131">
        <f t="shared" si="39"/>
        <v>932</v>
      </c>
      <c r="AL14" s="131">
        <f t="shared" ref="AL14:AM14" si="40">AL13</f>
        <v>922.5</v>
      </c>
      <c r="AM14" s="131">
        <f t="shared" si="40"/>
        <v>918</v>
      </c>
      <c r="AN14" s="131">
        <f t="shared" ref="AN14:AO14" si="41">AN13</f>
        <v>895</v>
      </c>
      <c r="AO14" s="131">
        <f t="shared" si="41"/>
        <v>870</v>
      </c>
      <c r="AP14" s="131">
        <f t="shared" ref="AP14:AQ14" si="42">AP13</f>
        <v>842</v>
      </c>
      <c r="AQ14" s="131">
        <f t="shared" si="42"/>
        <v>827.5</v>
      </c>
      <c r="AR14" s="131">
        <f t="shared" ref="AR14:AS14" si="43">AR13</f>
        <v>820</v>
      </c>
      <c r="AS14" s="131">
        <f t="shared" si="43"/>
        <v>816</v>
      </c>
      <c r="AT14" s="131">
        <f t="shared" ref="AT14:AU14" si="44">AT13</f>
        <v>847.5</v>
      </c>
      <c r="AU14" s="131">
        <f t="shared" si="44"/>
        <v>1250</v>
      </c>
      <c r="AV14" s="131">
        <f t="shared" ref="AV14" si="45">AV13</f>
        <v>1400</v>
      </c>
      <c r="AZ14" s="117" t="s">
        <v>82</v>
      </c>
      <c r="BA14" s="41">
        <f t="shared" ref="BA14:BM14" si="46">BA13</f>
        <v>1000</v>
      </c>
      <c r="BB14" s="41">
        <f>BB13</f>
        <v>1000</v>
      </c>
      <c r="BC14" s="41">
        <f t="shared" si="46"/>
        <v>1010</v>
      </c>
      <c r="BD14" s="41">
        <f t="shared" si="46"/>
        <v>1070</v>
      </c>
      <c r="BE14" s="41">
        <f t="shared" si="46"/>
        <v>1100</v>
      </c>
      <c r="BF14" s="41">
        <f t="shared" si="46"/>
        <v>1100</v>
      </c>
      <c r="BG14" s="41">
        <f t="shared" si="46"/>
        <v>1100</v>
      </c>
      <c r="BH14" s="41">
        <f t="shared" si="46"/>
        <v>1090</v>
      </c>
      <c r="BI14" s="41">
        <f t="shared" si="46"/>
        <v>1060</v>
      </c>
      <c r="BJ14" s="41">
        <f t="shared" si="46"/>
        <v>1060</v>
      </c>
      <c r="BK14" s="41">
        <f t="shared" si="46"/>
        <v>1040</v>
      </c>
      <c r="BL14" s="41">
        <f t="shared" si="46"/>
        <v>1040</v>
      </c>
      <c r="BM14" s="41">
        <f t="shared" si="46"/>
        <v>1040</v>
      </c>
      <c r="BN14" s="41">
        <f>BN13</f>
        <v>1020</v>
      </c>
      <c r="BO14" s="41">
        <f>BO13</f>
        <v>1020</v>
      </c>
      <c r="BP14" s="41">
        <f>BP13</f>
        <v>1030</v>
      </c>
      <c r="BQ14" s="41">
        <f>BQ13</f>
        <v>1030</v>
      </c>
      <c r="BR14" s="41">
        <f t="shared" ref="BR14:BW14" si="47">BR13</f>
        <v>1030</v>
      </c>
      <c r="BS14" s="41">
        <f t="shared" si="47"/>
        <v>1030</v>
      </c>
      <c r="BT14" s="41">
        <f t="shared" si="47"/>
        <v>1000</v>
      </c>
      <c r="BU14" s="41">
        <f t="shared" si="47"/>
        <v>920</v>
      </c>
      <c r="BV14" s="41">
        <f t="shared" si="47"/>
        <v>920</v>
      </c>
      <c r="BW14" s="41">
        <f t="shared" si="47"/>
        <v>910</v>
      </c>
      <c r="BX14" s="41">
        <f t="shared" ref="BX14:CC14" si="48">BX13</f>
        <v>880</v>
      </c>
      <c r="BY14" s="41">
        <f t="shared" si="48"/>
        <v>880</v>
      </c>
      <c r="BZ14" s="41">
        <f t="shared" si="48"/>
        <v>880</v>
      </c>
      <c r="CA14" s="41">
        <f t="shared" si="48"/>
        <v>870</v>
      </c>
      <c r="CB14" s="41">
        <f t="shared" si="48"/>
        <v>890</v>
      </c>
      <c r="CC14" s="41">
        <f t="shared" si="48"/>
        <v>920</v>
      </c>
      <c r="CD14" s="41">
        <f t="shared" ref="CD14:CJ14" si="49">CD13</f>
        <v>920</v>
      </c>
      <c r="CE14" s="41">
        <f t="shared" si="49"/>
        <v>950</v>
      </c>
      <c r="CF14" s="41">
        <f t="shared" si="49"/>
        <v>960</v>
      </c>
      <c r="CG14" s="41">
        <f t="shared" si="49"/>
        <v>960</v>
      </c>
      <c r="CH14" s="41">
        <f t="shared" si="49"/>
        <v>960</v>
      </c>
      <c r="CI14" s="41">
        <f t="shared" si="49"/>
        <v>960</v>
      </c>
      <c r="CJ14" s="41">
        <f t="shared" si="49"/>
        <v>950</v>
      </c>
      <c r="CK14" s="41">
        <f t="shared" ref="CK14:CP14" si="50">CK13</f>
        <v>990</v>
      </c>
      <c r="CL14" s="41">
        <f t="shared" si="50"/>
        <v>990</v>
      </c>
      <c r="CM14" s="41">
        <f t="shared" si="50"/>
        <v>990</v>
      </c>
      <c r="CN14" s="41">
        <f t="shared" si="50"/>
        <v>980</v>
      </c>
      <c r="CO14" s="41">
        <f t="shared" si="50"/>
        <v>970</v>
      </c>
      <c r="CP14" s="41">
        <f t="shared" si="50"/>
        <v>970</v>
      </c>
      <c r="CQ14" s="41">
        <f t="shared" ref="CQ14:CV14" si="51">CQ13</f>
        <v>950</v>
      </c>
      <c r="CR14" s="41">
        <f t="shared" si="51"/>
        <v>950</v>
      </c>
      <c r="CS14" s="41">
        <f t="shared" si="51"/>
        <v>920</v>
      </c>
      <c r="CT14" s="41">
        <f t="shared" si="51"/>
        <v>920</v>
      </c>
      <c r="CU14" s="41">
        <f t="shared" si="51"/>
        <v>920</v>
      </c>
      <c r="CV14" s="41">
        <f t="shared" si="51"/>
        <v>920</v>
      </c>
      <c r="CW14" s="41">
        <f t="shared" ref="CW14:CX14" si="52">CW13</f>
        <v>920</v>
      </c>
      <c r="CX14" s="41">
        <f t="shared" si="52"/>
        <v>930</v>
      </c>
      <c r="CY14" s="41">
        <f t="shared" ref="CY14:CZ14" si="53">CY13</f>
        <v>930</v>
      </c>
      <c r="CZ14" s="41">
        <f t="shared" si="53"/>
        <v>930</v>
      </c>
      <c r="DA14" s="41">
        <f t="shared" ref="DA14:DB14" si="54">DA13</f>
        <v>930</v>
      </c>
      <c r="DB14" s="41">
        <f t="shared" si="54"/>
        <v>970</v>
      </c>
      <c r="DC14" s="41">
        <f t="shared" ref="DC14:DD14" si="55">DC13</f>
        <v>970</v>
      </c>
      <c r="DD14" s="41">
        <f t="shared" si="55"/>
        <v>980</v>
      </c>
      <c r="DE14" s="41">
        <f t="shared" ref="DE14:DF14" si="56">DE13</f>
        <v>1000</v>
      </c>
      <c r="DF14" s="41">
        <f t="shared" si="56"/>
        <v>980</v>
      </c>
      <c r="DG14" s="41">
        <f t="shared" ref="DG14:DH14" si="57">DG13</f>
        <v>980</v>
      </c>
      <c r="DH14" s="41">
        <f t="shared" si="57"/>
        <v>980</v>
      </c>
      <c r="DI14" s="41">
        <f t="shared" ref="DI14:DJ14" si="58">DI13</f>
        <v>980</v>
      </c>
      <c r="DJ14" s="41">
        <f t="shared" si="58"/>
        <v>1000</v>
      </c>
      <c r="DK14" s="41">
        <f t="shared" ref="DK14:DL14" si="59">DK13</f>
        <v>1000</v>
      </c>
      <c r="DL14" s="41">
        <f t="shared" si="59"/>
        <v>1000</v>
      </c>
      <c r="DM14" s="41">
        <f t="shared" ref="DM14:DO14" si="60">DM13</f>
        <v>990</v>
      </c>
      <c r="DN14" s="41">
        <f t="shared" si="60"/>
        <v>990</v>
      </c>
      <c r="DO14" s="41">
        <f t="shared" si="60"/>
        <v>990</v>
      </c>
      <c r="DP14" s="41">
        <f t="shared" ref="DP14:DQ14" si="61">DP13</f>
        <v>990</v>
      </c>
      <c r="DQ14" s="41">
        <f t="shared" si="61"/>
        <v>1000</v>
      </c>
      <c r="DR14" s="41">
        <f t="shared" ref="DR14:DS14" si="62">DR13</f>
        <v>1000</v>
      </c>
      <c r="DS14" s="41">
        <f t="shared" si="62"/>
        <v>1000</v>
      </c>
      <c r="DT14" s="41">
        <f t="shared" ref="DT14:DU14" si="63">DT13</f>
        <v>1020</v>
      </c>
      <c r="DU14" s="41">
        <f t="shared" si="63"/>
        <v>1020</v>
      </c>
      <c r="DV14" s="41">
        <f t="shared" ref="DV14:DW14" si="64">DV13</f>
        <v>1020</v>
      </c>
      <c r="DW14" s="41">
        <f t="shared" si="64"/>
        <v>1030</v>
      </c>
      <c r="DX14" s="41">
        <f t="shared" ref="DX14:DY14" si="65">DX13</f>
        <v>1030</v>
      </c>
      <c r="DY14" s="41">
        <f t="shared" si="65"/>
        <v>1030</v>
      </c>
      <c r="DZ14" s="41">
        <f t="shared" ref="DZ14:EA14" si="66">DZ13</f>
        <v>1030</v>
      </c>
      <c r="EA14" s="41">
        <f t="shared" si="66"/>
        <v>1030</v>
      </c>
      <c r="EB14" s="41">
        <f t="shared" ref="EB14:EC14" si="67">EB13</f>
        <v>990</v>
      </c>
      <c r="EC14" s="41">
        <f t="shared" si="67"/>
        <v>980</v>
      </c>
      <c r="ED14" s="41">
        <f t="shared" ref="ED14:EE14" si="68">ED13</f>
        <v>980</v>
      </c>
      <c r="EE14" s="41">
        <f t="shared" si="68"/>
        <v>970</v>
      </c>
      <c r="EF14" s="41">
        <f t="shared" ref="EF14:EH14" si="69">EF13</f>
        <v>960</v>
      </c>
      <c r="EG14" s="41">
        <f t="shared" si="69"/>
        <v>960</v>
      </c>
      <c r="EH14" s="41">
        <f t="shared" si="69"/>
        <v>960</v>
      </c>
      <c r="EI14" s="41">
        <f t="shared" ref="EI14:EJ14" si="70">EI13</f>
        <v>960</v>
      </c>
      <c r="EJ14" s="41">
        <f t="shared" si="70"/>
        <v>950</v>
      </c>
      <c r="EK14" s="41">
        <f t="shared" ref="EK14:EM14" si="71">EK13</f>
        <v>950</v>
      </c>
      <c r="EL14" s="41">
        <f t="shared" si="71"/>
        <v>950</v>
      </c>
      <c r="EM14" s="41">
        <f t="shared" si="71"/>
        <v>950</v>
      </c>
      <c r="EN14" s="41">
        <f t="shared" ref="EN14:EO14" si="72">EN13</f>
        <v>950</v>
      </c>
      <c r="EO14" s="41">
        <f t="shared" si="72"/>
        <v>970</v>
      </c>
      <c r="EP14" s="41">
        <f t="shared" ref="EP14:ET14" si="73">EP13</f>
        <v>970</v>
      </c>
      <c r="EQ14" s="41">
        <f t="shared" si="73"/>
        <v>970</v>
      </c>
      <c r="ER14" s="41">
        <f t="shared" si="73"/>
        <v>970</v>
      </c>
      <c r="ES14" s="41">
        <f t="shared" si="73"/>
        <v>970</v>
      </c>
      <c r="ET14" s="41">
        <f t="shared" si="73"/>
        <v>960</v>
      </c>
      <c r="EU14" s="41">
        <f t="shared" ref="EU14:EX14" si="74">EU13</f>
        <v>960</v>
      </c>
      <c r="EV14" s="41">
        <f t="shared" si="74"/>
        <v>960</v>
      </c>
      <c r="EW14" s="41">
        <f t="shared" si="74"/>
        <v>960</v>
      </c>
      <c r="EX14" s="41">
        <f t="shared" si="74"/>
        <v>960</v>
      </c>
      <c r="EY14" s="41">
        <f t="shared" ref="EY14:EZ14" si="75">EY13</f>
        <v>960</v>
      </c>
      <c r="EZ14" s="41">
        <f t="shared" si="75"/>
        <v>970</v>
      </c>
      <c r="FA14" s="41">
        <f t="shared" ref="FA14:FB14" si="76">FA13</f>
        <v>970</v>
      </c>
      <c r="FB14" s="41">
        <f t="shared" si="76"/>
        <v>980</v>
      </c>
      <c r="FC14" s="41">
        <f t="shared" ref="FC14:FE14" si="77">FC13</f>
        <v>970</v>
      </c>
      <c r="FD14" s="41">
        <f t="shared" si="77"/>
        <v>1000</v>
      </c>
      <c r="FE14" s="41">
        <f t="shared" si="77"/>
        <v>990</v>
      </c>
      <c r="FF14" s="41">
        <f t="shared" ref="FF14:FG14" si="78">FF13</f>
        <v>980</v>
      </c>
      <c r="FG14" s="41">
        <f t="shared" si="78"/>
        <v>980</v>
      </c>
      <c r="FH14" s="41">
        <f t="shared" ref="FH14:FJ14" si="79">FH13</f>
        <v>980</v>
      </c>
      <c r="FI14" s="41">
        <f t="shared" si="79"/>
        <v>980</v>
      </c>
      <c r="FJ14" s="41">
        <f t="shared" si="79"/>
        <v>980</v>
      </c>
      <c r="FK14" s="41">
        <f t="shared" ref="FK14:FN14" si="80">FK13</f>
        <v>980</v>
      </c>
      <c r="FL14" s="41">
        <f t="shared" si="80"/>
        <v>970</v>
      </c>
      <c r="FM14" s="41">
        <f t="shared" si="80"/>
        <v>960</v>
      </c>
      <c r="FN14" s="41">
        <f t="shared" si="80"/>
        <v>950</v>
      </c>
      <c r="FO14" s="41">
        <f t="shared" ref="FO14:FS14" si="81">FO13</f>
        <v>950</v>
      </c>
      <c r="FP14" s="41">
        <f t="shared" si="81"/>
        <v>930</v>
      </c>
      <c r="FQ14" s="41">
        <f t="shared" si="81"/>
        <v>930</v>
      </c>
      <c r="FR14" s="41">
        <f t="shared" si="81"/>
        <v>930</v>
      </c>
      <c r="FS14" s="41">
        <f t="shared" si="81"/>
        <v>920</v>
      </c>
      <c r="FT14" s="41">
        <f t="shared" ref="FT14:FW14" si="82">FT13</f>
        <v>920</v>
      </c>
      <c r="FU14" s="41">
        <f t="shared" si="82"/>
        <v>910</v>
      </c>
      <c r="FV14" s="41">
        <f t="shared" si="82"/>
        <v>930</v>
      </c>
      <c r="FW14" s="41">
        <f t="shared" si="82"/>
        <v>930</v>
      </c>
      <c r="FX14" s="41">
        <f t="shared" ref="FX14:GB14" si="83">FX13</f>
        <v>930</v>
      </c>
      <c r="FY14" s="41">
        <f t="shared" si="83"/>
        <v>930</v>
      </c>
      <c r="FZ14" s="41">
        <f t="shared" si="83"/>
        <v>930</v>
      </c>
      <c r="GA14" s="41">
        <f t="shared" si="83"/>
        <v>900</v>
      </c>
      <c r="GB14" s="41">
        <f t="shared" si="83"/>
        <v>900</v>
      </c>
      <c r="GC14" s="41">
        <f t="shared" ref="GC14:GF14" si="84">GC13</f>
        <v>900</v>
      </c>
      <c r="GD14" s="41">
        <f t="shared" si="84"/>
        <v>900</v>
      </c>
      <c r="GE14" s="41">
        <f t="shared" si="84"/>
        <v>890</v>
      </c>
      <c r="GF14" s="41">
        <f t="shared" si="84"/>
        <v>890</v>
      </c>
      <c r="GG14" s="41">
        <f t="shared" ref="GG14:GJ14" si="85">GG13</f>
        <v>890</v>
      </c>
      <c r="GH14" s="41">
        <f t="shared" si="85"/>
        <v>870</v>
      </c>
      <c r="GI14" s="41">
        <f t="shared" si="85"/>
        <v>870</v>
      </c>
      <c r="GJ14" s="41">
        <f t="shared" si="85"/>
        <v>850</v>
      </c>
      <c r="GK14" s="41">
        <f t="shared" ref="GK14:GO14" si="86">GK13</f>
        <v>850</v>
      </c>
      <c r="GL14" s="41">
        <f t="shared" si="86"/>
        <v>850</v>
      </c>
      <c r="GM14" s="41">
        <f t="shared" si="86"/>
        <v>840</v>
      </c>
      <c r="GN14" s="41">
        <f t="shared" si="86"/>
        <v>840</v>
      </c>
      <c r="GO14" s="41">
        <f t="shared" si="86"/>
        <v>830</v>
      </c>
      <c r="GP14" s="41">
        <f t="shared" ref="GP14:GS14" si="87">GP13</f>
        <v>830</v>
      </c>
      <c r="GQ14" s="41">
        <f t="shared" si="87"/>
        <v>830</v>
      </c>
      <c r="GR14" s="41">
        <f t="shared" si="87"/>
        <v>830</v>
      </c>
      <c r="GS14" s="41">
        <f t="shared" si="87"/>
        <v>820</v>
      </c>
      <c r="GT14" s="41">
        <f t="shared" ref="GT14:GW14" si="88">GT13</f>
        <v>820</v>
      </c>
      <c r="GU14" s="41">
        <f t="shared" si="88"/>
        <v>820</v>
      </c>
      <c r="GV14" s="41">
        <f t="shared" si="88"/>
        <v>820</v>
      </c>
      <c r="GW14" s="41">
        <f t="shared" si="88"/>
        <v>820</v>
      </c>
      <c r="GX14" s="41">
        <f t="shared" ref="GX14:HB14" si="89">GX13</f>
        <v>810</v>
      </c>
      <c r="GY14" s="41">
        <f t="shared" si="89"/>
        <v>810</v>
      </c>
      <c r="GZ14" s="41">
        <f t="shared" si="89"/>
        <v>820</v>
      </c>
      <c r="HA14" s="41">
        <f t="shared" si="89"/>
        <v>820</v>
      </c>
      <c r="HB14" s="41">
        <f t="shared" si="89"/>
        <v>820</v>
      </c>
      <c r="HC14" s="41">
        <f t="shared" ref="HC14:HF14" si="90">HC13</f>
        <v>840</v>
      </c>
      <c r="HD14" s="41">
        <f t="shared" si="90"/>
        <v>850</v>
      </c>
      <c r="HE14" s="41">
        <f t="shared" si="90"/>
        <v>850</v>
      </c>
      <c r="HF14" s="41">
        <f t="shared" si="90"/>
        <v>850</v>
      </c>
      <c r="HG14" s="41">
        <f t="shared" ref="HG14:HJ14" si="91">HG13</f>
        <v>1000</v>
      </c>
      <c r="HH14" s="41">
        <f t="shared" si="91"/>
        <v>1200</v>
      </c>
      <c r="HI14" s="41">
        <f t="shared" si="91"/>
        <v>1400</v>
      </c>
      <c r="HJ14" s="41">
        <f t="shared" si="91"/>
        <v>1400</v>
      </c>
    </row>
    <row r="15" spans="1:218" ht="14">
      <c r="F15" s="117" t="s">
        <v>83</v>
      </c>
      <c r="H15" s="117" t="s">
        <v>83</v>
      </c>
      <c r="I15" s="41">
        <f t="shared" ref="I15:O15" si="92">+I9-I14</f>
        <v>55</v>
      </c>
      <c r="J15" s="41">
        <f t="shared" si="92"/>
        <v>12.5</v>
      </c>
      <c r="K15" s="41">
        <f t="shared" si="92"/>
        <v>60</v>
      </c>
      <c r="L15" s="41">
        <f t="shared" si="92"/>
        <v>72.5</v>
      </c>
      <c r="M15" s="41">
        <f t="shared" si="92"/>
        <v>120</v>
      </c>
      <c r="N15" s="41">
        <f t="shared" si="92"/>
        <v>162.5</v>
      </c>
      <c r="O15" s="41">
        <f t="shared" si="92"/>
        <v>150</v>
      </c>
      <c r="P15" s="41">
        <f t="shared" ref="P15:U15" si="93">+P9-P14</f>
        <v>-8</v>
      </c>
      <c r="Q15" s="41">
        <f t="shared" si="93"/>
        <v>-30</v>
      </c>
      <c r="R15" s="41">
        <f t="shared" si="93"/>
        <v>-17.5</v>
      </c>
      <c r="S15" s="41">
        <f t="shared" si="93"/>
        <v>22.5</v>
      </c>
      <c r="T15" s="41">
        <f t="shared" si="93"/>
        <v>24</v>
      </c>
      <c r="U15" s="41">
        <f t="shared" si="93"/>
        <v>-32.5</v>
      </c>
      <c r="V15" s="41">
        <f t="shared" ref="V15:W15" si="94">+V9-V14</f>
        <v>-56.666666666666629</v>
      </c>
      <c r="W15" s="41">
        <f t="shared" si="94"/>
        <v>-60</v>
      </c>
      <c r="X15" s="41">
        <f t="shared" ref="X15:Y15" si="95">+X9-X14</f>
        <v>-42.5</v>
      </c>
      <c r="Y15" s="41">
        <f t="shared" si="95"/>
        <v>-52</v>
      </c>
      <c r="Z15" s="41">
        <f t="shared" ref="Z15:AA15" si="96">+Z9-Z14</f>
        <v>-75</v>
      </c>
      <c r="AA15" s="41">
        <f t="shared" si="96"/>
        <v>-70</v>
      </c>
      <c r="AB15" s="41">
        <f t="shared" ref="AB15:AC15" si="97">+AB9-AB14</f>
        <v>-20</v>
      </c>
      <c r="AC15" s="41">
        <f t="shared" si="97"/>
        <v>-45</v>
      </c>
      <c r="AD15" s="41">
        <f t="shared" ref="AD15:AE15" si="98">+AD9-AD14</f>
        <v>-56.666666666666629</v>
      </c>
      <c r="AE15" s="41">
        <f t="shared" si="98"/>
        <v>-68</v>
      </c>
      <c r="AF15" s="41">
        <f t="shared" ref="AF15:AG15" si="99">+AF9-AF14</f>
        <v>-60</v>
      </c>
      <c r="AG15" s="41">
        <f t="shared" si="99"/>
        <v>-70</v>
      </c>
      <c r="AH15" s="41">
        <f t="shared" ref="AH15:AI15" si="100">+AH9-AH14</f>
        <v>-165</v>
      </c>
      <c r="AI15" s="41">
        <f t="shared" si="100"/>
        <v>-140</v>
      </c>
      <c r="AJ15" s="41">
        <f t="shared" ref="AJ15:AK15" si="101">+AJ9-AJ14</f>
        <v>-130</v>
      </c>
      <c r="AK15" s="41">
        <f t="shared" si="101"/>
        <v>-117</v>
      </c>
      <c r="AL15" s="41">
        <f t="shared" ref="AL15:AM15" si="102">+AL9-AL14</f>
        <v>-107.5</v>
      </c>
      <c r="AM15" s="41">
        <f t="shared" si="102"/>
        <v>-128.5</v>
      </c>
      <c r="AN15" s="41">
        <f t="shared" ref="AN15:AO15" si="103">+AN9-AN14</f>
        <v>-125.5</v>
      </c>
      <c r="AO15" s="41">
        <f t="shared" si="103"/>
        <v>-115.5</v>
      </c>
      <c r="AP15" s="41">
        <f t="shared" ref="AP15:AQ15" si="104">+AP9-AP14</f>
        <v>-102</v>
      </c>
      <c r="AQ15" s="41">
        <f t="shared" si="104"/>
        <v>-112.5</v>
      </c>
      <c r="AR15" s="41">
        <f t="shared" ref="AR15:AS15" si="105">+AR9-AR14</f>
        <v>-115</v>
      </c>
      <c r="AS15" s="41">
        <f t="shared" si="105"/>
        <v>-121</v>
      </c>
      <c r="AT15" s="41">
        <f t="shared" ref="AT15:AU15" si="106">+AT9-AT14</f>
        <v>-152.5</v>
      </c>
      <c r="AU15" s="41">
        <f t="shared" si="106"/>
        <v>-530</v>
      </c>
      <c r="AV15" s="41">
        <f t="shared" ref="AV15" si="107">+AV9-AV14</f>
        <v>-1400</v>
      </c>
      <c r="AZ15" s="117" t="s">
        <v>83</v>
      </c>
      <c r="BA15" s="41">
        <f t="shared" ref="BA15:BM15" si="108">+BA9-BA14</f>
        <v>250</v>
      </c>
      <c r="BB15" s="41">
        <f>+BB9-BB14</f>
        <v>100</v>
      </c>
      <c r="BC15" s="41">
        <f t="shared" si="108"/>
        <v>90</v>
      </c>
      <c r="BD15" s="41">
        <f t="shared" si="108"/>
        <v>30</v>
      </c>
      <c r="BE15" s="41">
        <f t="shared" si="108"/>
        <v>0</v>
      </c>
      <c r="BF15" s="41">
        <f t="shared" si="108"/>
        <v>0</v>
      </c>
      <c r="BG15" s="41">
        <f t="shared" si="108"/>
        <v>0</v>
      </c>
      <c r="BH15" s="41">
        <f t="shared" si="108"/>
        <v>10</v>
      </c>
      <c r="BI15" s="41">
        <f t="shared" si="108"/>
        <v>40</v>
      </c>
      <c r="BJ15" s="41">
        <f t="shared" si="108"/>
        <v>40</v>
      </c>
      <c r="BK15" s="41">
        <f t="shared" si="108"/>
        <v>60</v>
      </c>
      <c r="BL15" s="41">
        <f t="shared" si="108"/>
        <v>60</v>
      </c>
      <c r="BM15" s="41">
        <f t="shared" si="108"/>
        <v>60</v>
      </c>
      <c r="BN15" s="41">
        <f>+BN9-BN14</f>
        <v>80</v>
      </c>
      <c r="BO15" s="41">
        <f>+BO9-BO14</f>
        <v>80</v>
      </c>
      <c r="BP15" s="41">
        <f>+BP9-BP14</f>
        <v>70</v>
      </c>
      <c r="BQ15" s="41">
        <f>+BQ9-BQ14</f>
        <v>70</v>
      </c>
      <c r="BR15" s="41">
        <f t="shared" ref="BR15:BW15" si="109">+BR9-BR14</f>
        <v>70</v>
      </c>
      <c r="BS15" s="41">
        <f t="shared" si="109"/>
        <v>70</v>
      </c>
      <c r="BT15" s="41">
        <f t="shared" si="109"/>
        <v>100</v>
      </c>
      <c r="BU15" s="41">
        <f t="shared" si="109"/>
        <v>180</v>
      </c>
      <c r="BV15" s="41">
        <f t="shared" si="109"/>
        <v>130</v>
      </c>
      <c r="BW15" s="41">
        <f t="shared" si="109"/>
        <v>140</v>
      </c>
      <c r="BX15" s="41">
        <f t="shared" ref="BX15:CC15" si="110">+BX9-BX14</f>
        <v>170</v>
      </c>
      <c r="BY15" s="41">
        <f t="shared" si="110"/>
        <v>170</v>
      </c>
      <c r="BZ15" s="41">
        <f t="shared" si="110"/>
        <v>170</v>
      </c>
      <c r="CA15" s="41">
        <f t="shared" si="110"/>
        <v>180</v>
      </c>
      <c r="CB15" s="41">
        <f t="shared" si="110"/>
        <v>160</v>
      </c>
      <c r="CC15" s="41">
        <f t="shared" si="110"/>
        <v>130</v>
      </c>
      <c r="CD15" s="41">
        <f t="shared" ref="CD15:CI15" si="111">+CD9-CD14</f>
        <v>130</v>
      </c>
      <c r="CE15" s="41">
        <f t="shared" si="111"/>
        <v>0</v>
      </c>
      <c r="CF15" s="41">
        <f t="shared" si="111"/>
        <v>-10</v>
      </c>
      <c r="CG15" s="41">
        <f t="shared" si="111"/>
        <v>-10</v>
      </c>
      <c r="CH15" s="41">
        <f t="shared" si="111"/>
        <v>-10</v>
      </c>
      <c r="CI15" s="41">
        <f t="shared" si="111"/>
        <v>-10</v>
      </c>
      <c r="CJ15" s="41">
        <f t="shared" ref="CJ15:CO15" si="112">+CJ9-CJ14</f>
        <v>0</v>
      </c>
      <c r="CK15" s="41">
        <f t="shared" si="112"/>
        <v>-40</v>
      </c>
      <c r="CL15" s="41">
        <f t="shared" si="112"/>
        <v>-40</v>
      </c>
      <c r="CM15" s="41">
        <f t="shared" si="112"/>
        <v>-40</v>
      </c>
      <c r="CN15" s="41">
        <f t="shared" si="112"/>
        <v>-30</v>
      </c>
      <c r="CO15" s="41">
        <f t="shared" si="112"/>
        <v>-20</v>
      </c>
      <c r="CP15" s="41">
        <f t="shared" ref="CP15:CU15" si="113">+CP9-CP14</f>
        <v>-20</v>
      </c>
      <c r="CQ15" s="41">
        <f t="shared" si="113"/>
        <v>0</v>
      </c>
      <c r="CR15" s="41">
        <f t="shared" si="113"/>
        <v>0</v>
      </c>
      <c r="CS15" s="41">
        <f t="shared" si="113"/>
        <v>30</v>
      </c>
      <c r="CT15" s="41">
        <f t="shared" si="113"/>
        <v>30</v>
      </c>
      <c r="CU15" s="41">
        <f t="shared" si="113"/>
        <v>30</v>
      </c>
      <c r="CV15" s="41">
        <f t="shared" ref="CV15:CW15" si="114">+CV9-CV14</f>
        <v>30</v>
      </c>
      <c r="CW15" s="41">
        <f t="shared" si="114"/>
        <v>30</v>
      </c>
      <c r="CX15" s="41">
        <f t="shared" ref="CX15:CY15" si="115">+CX9-CX14</f>
        <v>20</v>
      </c>
      <c r="CY15" s="41">
        <f t="shared" si="115"/>
        <v>20</v>
      </c>
      <c r="CZ15" s="41">
        <f t="shared" ref="CZ15:DA15" si="116">+CZ9-CZ14</f>
        <v>20</v>
      </c>
      <c r="DA15" s="41">
        <f t="shared" si="116"/>
        <v>0</v>
      </c>
      <c r="DB15" s="41">
        <f t="shared" ref="DB15:DC15" si="117">+DB9-DB14</f>
        <v>-40</v>
      </c>
      <c r="DC15" s="41">
        <f t="shared" si="117"/>
        <v>-40</v>
      </c>
      <c r="DD15" s="41">
        <f t="shared" ref="DD15:DE15" si="118">+DD9-DD14</f>
        <v>-50</v>
      </c>
      <c r="DE15" s="41">
        <f t="shared" si="118"/>
        <v>-70</v>
      </c>
      <c r="DF15" s="41">
        <f t="shared" ref="DF15:DH15" si="119">+DF9-DF14</f>
        <v>-50</v>
      </c>
      <c r="DG15" s="41">
        <f t="shared" si="119"/>
        <v>-50</v>
      </c>
      <c r="DH15" s="41">
        <f t="shared" si="119"/>
        <v>-50</v>
      </c>
      <c r="DI15" s="41">
        <f t="shared" ref="DI15:DJ15" si="120">+DI9-DI14</f>
        <v>-50</v>
      </c>
      <c r="DJ15" s="41">
        <f t="shared" si="120"/>
        <v>-70</v>
      </c>
      <c r="DK15" s="41">
        <f t="shared" ref="DK15:DL15" si="121">+DK9-DK14</f>
        <v>-70</v>
      </c>
      <c r="DL15" s="41">
        <f t="shared" si="121"/>
        <v>-50</v>
      </c>
      <c r="DM15" s="41">
        <f t="shared" ref="DM15:DO15" si="122">+DM9-DM14</f>
        <v>-40</v>
      </c>
      <c r="DN15" s="41">
        <f t="shared" si="122"/>
        <v>-40</v>
      </c>
      <c r="DO15" s="41">
        <f t="shared" si="122"/>
        <v>-40</v>
      </c>
      <c r="DP15" s="41">
        <f t="shared" ref="DP15:DQ15" si="123">+DP9-DP14</f>
        <v>-40</v>
      </c>
      <c r="DQ15" s="41">
        <f t="shared" si="123"/>
        <v>-50</v>
      </c>
      <c r="DR15" s="41">
        <f t="shared" ref="DR15:DS15" si="124">+DR9-DR14</f>
        <v>-50</v>
      </c>
      <c r="DS15" s="41">
        <f t="shared" si="124"/>
        <v>-50</v>
      </c>
      <c r="DT15" s="41">
        <f t="shared" ref="DT15:DU15" si="125">+DT9-DT14</f>
        <v>-70</v>
      </c>
      <c r="DU15" s="41">
        <f t="shared" si="125"/>
        <v>-70</v>
      </c>
      <c r="DV15" s="41">
        <f t="shared" ref="DV15:DW15" si="126">+DV9-DV14</f>
        <v>-70</v>
      </c>
      <c r="DW15" s="41">
        <f t="shared" si="126"/>
        <v>-80</v>
      </c>
      <c r="DX15" s="41">
        <f t="shared" ref="DX15:DY15" si="127">+DX9-DX14</f>
        <v>-80</v>
      </c>
      <c r="DY15" s="41">
        <f t="shared" si="127"/>
        <v>-80</v>
      </c>
      <c r="DZ15" s="41">
        <f t="shared" ref="DZ15:EA15" si="128">+DZ9-DZ14</f>
        <v>-80</v>
      </c>
      <c r="EA15" s="41">
        <f t="shared" si="128"/>
        <v>-80</v>
      </c>
      <c r="EB15" s="41">
        <f t="shared" ref="EB15:EC15" si="129">+EB9-EB14</f>
        <v>-40</v>
      </c>
      <c r="EC15" s="41">
        <f t="shared" si="129"/>
        <v>-30</v>
      </c>
      <c r="ED15" s="41">
        <f t="shared" ref="ED15:EE15" si="130">+ED9-ED14</f>
        <v>-30</v>
      </c>
      <c r="EE15" s="41">
        <f t="shared" si="130"/>
        <v>-20</v>
      </c>
      <c r="EF15" s="41">
        <f t="shared" ref="EF15:EH15" si="131">+EF9-EF14</f>
        <v>-10</v>
      </c>
      <c r="EG15" s="41">
        <f t="shared" si="131"/>
        <v>-10</v>
      </c>
      <c r="EH15" s="41">
        <f t="shared" si="131"/>
        <v>-50</v>
      </c>
      <c r="EI15" s="41">
        <f t="shared" ref="EI15:EJ15" si="132">+EI9-EI14</f>
        <v>-50</v>
      </c>
      <c r="EJ15" s="41">
        <f t="shared" si="132"/>
        <v>-40</v>
      </c>
      <c r="EK15" s="41">
        <f t="shared" ref="EK15:EM15" si="133">+EK9-EK14</f>
        <v>-40</v>
      </c>
      <c r="EL15" s="41">
        <f t="shared" si="133"/>
        <v>-50</v>
      </c>
      <c r="EM15" s="41">
        <f t="shared" si="133"/>
        <v>-50</v>
      </c>
      <c r="EN15" s="41">
        <f t="shared" ref="EN15:EO15" si="134">+EN9-EN14</f>
        <v>-50</v>
      </c>
      <c r="EO15" s="41">
        <f t="shared" si="134"/>
        <v>-70</v>
      </c>
      <c r="EP15" s="41">
        <f t="shared" ref="EP15:ET15" si="135">+EP9-EP14</f>
        <v>-70</v>
      </c>
      <c r="EQ15" s="41">
        <f t="shared" si="135"/>
        <v>-70</v>
      </c>
      <c r="ER15" s="41">
        <f t="shared" si="135"/>
        <v>-70</v>
      </c>
      <c r="ES15" s="41">
        <f t="shared" si="135"/>
        <v>-70</v>
      </c>
      <c r="ET15" s="41">
        <f t="shared" si="135"/>
        <v>-60</v>
      </c>
      <c r="EU15" s="41">
        <f t="shared" ref="EU15:EX15" si="136">+EU9-EU14</f>
        <v>-60</v>
      </c>
      <c r="EV15" s="41">
        <f t="shared" si="136"/>
        <v>-60</v>
      </c>
      <c r="EW15" s="41">
        <f t="shared" si="136"/>
        <v>-60</v>
      </c>
      <c r="EX15" s="41">
        <f t="shared" si="136"/>
        <v>-60</v>
      </c>
      <c r="EY15" s="41">
        <f t="shared" ref="EY15:EZ15" si="137">+EY9-EY14</f>
        <v>-60</v>
      </c>
      <c r="EZ15" s="41">
        <f t="shared" si="137"/>
        <v>-70</v>
      </c>
      <c r="FA15" s="41">
        <f t="shared" ref="FA15:FB15" si="138">+FA9-FA14</f>
        <v>-70</v>
      </c>
      <c r="FB15" s="41">
        <f t="shared" si="138"/>
        <v>-80</v>
      </c>
      <c r="FC15" s="41">
        <f t="shared" ref="FC15:FE15" si="139">+FC9-FC14</f>
        <v>-150</v>
      </c>
      <c r="FD15" s="41">
        <f t="shared" si="139"/>
        <v>-180</v>
      </c>
      <c r="FE15" s="41">
        <f t="shared" si="139"/>
        <v>-170</v>
      </c>
      <c r="FF15" s="41">
        <f t="shared" ref="FF15:FG15" si="140">+FF9-FF14</f>
        <v>-160</v>
      </c>
      <c r="FG15" s="41">
        <f t="shared" si="140"/>
        <v>-140</v>
      </c>
      <c r="FH15" s="41">
        <f t="shared" ref="FH15:FJ15" si="141">+FH9-FH14</f>
        <v>-140</v>
      </c>
      <c r="FI15" s="41">
        <f t="shared" si="141"/>
        <v>-140</v>
      </c>
      <c r="FJ15" s="41">
        <f t="shared" si="141"/>
        <v>-140</v>
      </c>
      <c r="FK15" s="41">
        <f t="shared" ref="FK15:FN15" si="142">+FK9-FK14</f>
        <v>-145</v>
      </c>
      <c r="FL15" s="41">
        <f t="shared" si="142"/>
        <v>-135</v>
      </c>
      <c r="FM15" s="41">
        <f t="shared" si="142"/>
        <v>-125</v>
      </c>
      <c r="FN15" s="41">
        <f t="shared" si="142"/>
        <v>-115</v>
      </c>
      <c r="FO15" s="41">
        <f t="shared" ref="FO15:FS15" si="143">+FO9-FO14</f>
        <v>-135</v>
      </c>
      <c r="FP15" s="41">
        <f t="shared" si="143"/>
        <v>-115</v>
      </c>
      <c r="FQ15" s="41">
        <f t="shared" si="143"/>
        <v>-115</v>
      </c>
      <c r="FR15" s="41">
        <f t="shared" si="143"/>
        <v>-115</v>
      </c>
      <c r="FS15" s="41">
        <f t="shared" si="143"/>
        <v>-105</v>
      </c>
      <c r="FT15" s="41">
        <f t="shared" ref="FT15:FW15" si="144">+FT9-FT14</f>
        <v>-105</v>
      </c>
      <c r="FU15" s="41">
        <f t="shared" si="144"/>
        <v>-95</v>
      </c>
      <c r="FV15" s="41">
        <f t="shared" si="144"/>
        <v>-115</v>
      </c>
      <c r="FW15" s="41">
        <f t="shared" si="144"/>
        <v>-115</v>
      </c>
      <c r="FX15" s="41">
        <f t="shared" ref="FX15:GB15" si="145">+FX9-FX14</f>
        <v>-140.5</v>
      </c>
      <c r="FY15" s="41">
        <f t="shared" si="145"/>
        <v>-140.5</v>
      </c>
      <c r="FZ15" s="41">
        <f t="shared" si="145"/>
        <v>-140.5</v>
      </c>
      <c r="GA15" s="41">
        <f t="shared" si="145"/>
        <v>-110.5</v>
      </c>
      <c r="GB15" s="41">
        <f t="shared" si="145"/>
        <v>-110.5</v>
      </c>
      <c r="GC15" s="41">
        <f t="shared" ref="GC15:GF15" si="146">+GC9-GC14</f>
        <v>-130.5</v>
      </c>
      <c r="GD15" s="41">
        <f t="shared" si="146"/>
        <v>-130.5</v>
      </c>
      <c r="GE15" s="41">
        <f t="shared" si="146"/>
        <v>-120.5</v>
      </c>
      <c r="GF15" s="41">
        <f t="shared" si="146"/>
        <v>-120.5</v>
      </c>
      <c r="GG15" s="41">
        <f t="shared" ref="GG15:GJ15" si="147">+GG9-GG14</f>
        <v>-135.5</v>
      </c>
      <c r="GH15" s="41">
        <f t="shared" si="147"/>
        <v>-115.5</v>
      </c>
      <c r="GI15" s="41">
        <f t="shared" si="147"/>
        <v>-115.5</v>
      </c>
      <c r="GJ15" s="41">
        <f t="shared" si="147"/>
        <v>-95.5</v>
      </c>
      <c r="GK15" s="41">
        <f t="shared" ref="GK15:GO15" si="148">+GK9-GK14</f>
        <v>-110</v>
      </c>
      <c r="GL15" s="41">
        <f t="shared" si="148"/>
        <v>-110</v>
      </c>
      <c r="GM15" s="41">
        <f t="shared" si="148"/>
        <v>-100</v>
      </c>
      <c r="GN15" s="41">
        <f t="shared" si="148"/>
        <v>-100</v>
      </c>
      <c r="GO15" s="41">
        <f t="shared" si="148"/>
        <v>-90</v>
      </c>
      <c r="GP15" s="41">
        <f t="shared" ref="GP15:GS15" si="149">+GP9-GP14</f>
        <v>-115</v>
      </c>
      <c r="GQ15" s="41">
        <f t="shared" si="149"/>
        <v>-115</v>
      </c>
      <c r="GR15" s="41">
        <f t="shared" si="149"/>
        <v>-115</v>
      </c>
      <c r="GS15" s="41">
        <f t="shared" si="149"/>
        <v>-105</v>
      </c>
      <c r="GT15" s="41">
        <f t="shared" ref="GT15:GW15" si="150">+GT9-GT14</f>
        <v>-115</v>
      </c>
      <c r="GU15" s="41">
        <f t="shared" si="150"/>
        <v>-115</v>
      </c>
      <c r="GV15" s="41">
        <f t="shared" si="150"/>
        <v>-115</v>
      </c>
      <c r="GW15" s="41">
        <f t="shared" si="150"/>
        <v>-115</v>
      </c>
      <c r="GX15" s="41">
        <f t="shared" ref="GX15:HB15" si="151">+GX9-GX14</f>
        <v>-115</v>
      </c>
      <c r="GY15" s="41">
        <f t="shared" si="151"/>
        <v>-115</v>
      </c>
      <c r="GZ15" s="41">
        <f t="shared" si="151"/>
        <v>-125</v>
      </c>
      <c r="HA15" s="41">
        <f t="shared" si="151"/>
        <v>-125</v>
      </c>
      <c r="HB15" s="41">
        <f t="shared" si="151"/>
        <v>-125</v>
      </c>
      <c r="HC15" s="41">
        <f t="shared" ref="HC15:HF15" si="152">+HC9-HC14</f>
        <v>-145</v>
      </c>
      <c r="HD15" s="41">
        <f t="shared" si="152"/>
        <v>-155</v>
      </c>
      <c r="HE15" s="41">
        <f t="shared" si="152"/>
        <v>-155</v>
      </c>
      <c r="HF15" s="41">
        <f t="shared" si="152"/>
        <v>-155</v>
      </c>
      <c r="HG15" s="41">
        <f t="shared" ref="HG15:HJ15" si="153">+HG9-HG14</f>
        <v>-280</v>
      </c>
      <c r="HH15" s="41">
        <f t="shared" si="153"/>
        <v>-480</v>
      </c>
      <c r="HI15" s="41">
        <f t="shared" si="153"/>
        <v>-630</v>
      </c>
      <c r="HJ15" s="41">
        <f t="shared" si="153"/>
        <v>-630</v>
      </c>
    </row>
    <row r="16" spans="1:218">
      <c r="F16" s="1" t="s">
        <v>81</v>
      </c>
      <c r="H16" s="1" t="s">
        <v>81</v>
      </c>
      <c r="I16" s="51">
        <f t="shared" ref="I16:O16" si="154">+I15/I14</f>
        <v>5.2631578947368418E-2</v>
      </c>
      <c r="J16" s="51">
        <f t="shared" si="154"/>
        <v>1.1494252873563218E-2</v>
      </c>
      <c r="K16" s="51">
        <f t="shared" si="154"/>
        <v>5.7692307692307696E-2</v>
      </c>
      <c r="L16" s="51">
        <f t="shared" si="154"/>
        <v>7.0559610705596104E-2</v>
      </c>
      <c r="M16" s="51">
        <f t="shared" si="154"/>
        <v>0.12403100775193798</v>
      </c>
      <c r="N16" s="51">
        <f t="shared" si="154"/>
        <v>0.18309859154929578</v>
      </c>
      <c r="O16" s="51">
        <f t="shared" si="154"/>
        <v>0.16666666666666666</v>
      </c>
      <c r="P16" s="51">
        <f t="shared" ref="P16:U16" si="155">+P15/P14</f>
        <v>-8.350730688935281E-3</v>
      </c>
      <c r="Q16" s="51">
        <f t="shared" si="155"/>
        <v>-3.0612244897959183E-2</v>
      </c>
      <c r="R16" s="51">
        <f t="shared" si="155"/>
        <v>-1.8087855297157621E-2</v>
      </c>
      <c r="S16" s="51">
        <f t="shared" si="155"/>
        <v>2.4258760107816711E-2</v>
      </c>
      <c r="T16" s="51">
        <f t="shared" si="155"/>
        <v>2.591792656587473E-2</v>
      </c>
      <c r="U16" s="51">
        <f t="shared" si="155"/>
        <v>-3.3766233766233764E-2</v>
      </c>
      <c r="V16" s="51">
        <f t="shared" ref="V16:W16" si="156">+V15/V14</f>
        <v>-5.7432432432432394E-2</v>
      </c>
      <c r="W16" s="51">
        <f t="shared" si="156"/>
        <v>-6.0606060606060608E-2</v>
      </c>
      <c r="X16" s="51">
        <f t="shared" ref="X16:Y16" si="157">+X15/X14</f>
        <v>-4.2821158690176324E-2</v>
      </c>
      <c r="Y16" s="51">
        <f t="shared" si="157"/>
        <v>-5.1896207584830337E-2</v>
      </c>
      <c r="Z16" s="51">
        <f t="shared" ref="Z16:AA16" si="158">+Z15/Z14</f>
        <v>-7.3170731707317069E-2</v>
      </c>
      <c r="AA16" s="51">
        <f t="shared" si="158"/>
        <v>-6.8627450980392163E-2</v>
      </c>
      <c r="AB16" s="51">
        <f t="shared" ref="AB16:AC16" si="159">+AB15/AB14</f>
        <v>-2.0618556701030927E-2</v>
      </c>
      <c r="AC16" s="51">
        <f t="shared" si="159"/>
        <v>-4.712041884816754E-2</v>
      </c>
      <c r="AD16" s="51">
        <f t="shared" ref="AD16:AE16" si="160">+AD15/AD14</f>
        <v>-5.9233449477351881E-2</v>
      </c>
      <c r="AE16" s="51">
        <f t="shared" si="160"/>
        <v>-7.0247933884297523E-2</v>
      </c>
      <c r="AF16" s="51">
        <f t="shared" ref="AF16:AG16" si="161">+AF15/AF14</f>
        <v>-6.25E-2</v>
      </c>
      <c r="AG16" s="51">
        <f t="shared" si="161"/>
        <v>-7.2164948453608241E-2</v>
      </c>
      <c r="AH16" s="51">
        <f t="shared" ref="AH16:AI16" si="162">+AH15/AH14</f>
        <v>-0.16751269035532995</v>
      </c>
      <c r="AI16" s="51">
        <f t="shared" si="162"/>
        <v>-0.14285714285714285</v>
      </c>
      <c r="AJ16" s="51">
        <f t="shared" ref="AJ16:AK16" si="163">+AJ15/AJ14</f>
        <v>-0.13471502590673576</v>
      </c>
      <c r="AK16" s="51">
        <f t="shared" si="163"/>
        <v>-0.12553648068669529</v>
      </c>
      <c r="AL16" s="51">
        <f t="shared" ref="AL16:AM16" si="164">+AL15/AL14</f>
        <v>-0.11653116531165311</v>
      </c>
      <c r="AM16" s="51">
        <f t="shared" si="164"/>
        <v>-0.13997821350762527</v>
      </c>
      <c r="AN16" s="51">
        <f t="shared" ref="AN16:AO16" si="165">+AN15/AN14</f>
        <v>-0.14022346368715083</v>
      </c>
      <c r="AO16" s="51">
        <f t="shared" si="165"/>
        <v>-0.13275862068965516</v>
      </c>
      <c r="AP16" s="51">
        <f t="shared" ref="AP16:AQ16" si="166">+AP15/AP14</f>
        <v>-0.12114014251781473</v>
      </c>
      <c r="AQ16" s="51">
        <f t="shared" si="166"/>
        <v>-0.13595166163141995</v>
      </c>
      <c r="AR16" s="51">
        <f t="shared" ref="AR16:AS16" si="167">+AR15/AR14</f>
        <v>-0.1402439024390244</v>
      </c>
      <c r="AS16" s="51">
        <f t="shared" si="167"/>
        <v>-0.1482843137254902</v>
      </c>
      <c r="AT16" s="51">
        <f t="shared" ref="AT16:AU16" si="168">+AT15/AT14</f>
        <v>-0.17994100294985252</v>
      </c>
      <c r="AU16" s="51">
        <f t="shared" si="168"/>
        <v>-0.42399999999999999</v>
      </c>
      <c r="AV16" s="51">
        <f t="shared" ref="AV16" si="169">+AV15/AV14</f>
        <v>-1</v>
      </c>
      <c r="AZ16" s="1" t="s">
        <v>81</v>
      </c>
      <c r="BA16" s="51">
        <f t="shared" ref="BA16:BL16" si="170">+BA15/BA14</f>
        <v>0.25</v>
      </c>
      <c r="BB16" s="51">
        <f>+BB15/BB14</f>
        <v>0.1</v>
      </c>
      <c r="BC16" s="51">
        <f t="shared" si="170"/>
        <v>8.9108910891089105E-2</v>
      </c>
      <c r="BD16" s="51">
        <f t="shared" si="170"/>
        <v>2.8037383177570093E-2</v>
      </c>
      <c r="BE16" s="51">
        <f t="shared" si="170"/>
        <v>0</v>
      </c>
      <c r="BF16" s="51">
        <f t="shared" si="170"/>
        <v>0</v>
      </c>
      <c r="BG16" s="51">
        <f t="shared" si="170"/>
        <v>0</v>
      </c>
      <c r="BH16" s="51">
        <f t="shared" si="170"/>
        <v>9.1743119266055051E-3</v>
      </c>
      <c r="BI16" s="51">
        <f t="shared" si="170"/>
        <v>3.7735849056603772E-2</v>
      </c>
      <c r="BJ16" s="51">
        <f>+BJ15/BJ14</f>
        <v>3.7735849056603772E-2</v>
      </c>
      <c r="BK16" s="51">
        <f t="shared" si="170"/>
        <v>5.7692307692307696E-2</v>
      </c>
      <c r="BL16" s="51">
        <f t="shared" si="170"/>
        <v>5.7692307692307696E-2</v>
      </c>
      <c r="BM16" s="51">
        <f>+BM15/BM14</f>
        <v>5.7692307692307696E-2</v>
      </c>
      <c r="BN16" s="51">
        <f>+BN15/BN14</f>
        <v>7.8431372549019607E-2</v>
      </c>
      <c r="BO16" s="51">
        <f>+BO15/BO14</f>
        <v>7.8431372549019607E-2</v>
      </c>
      <c r="BP16" s="51">
        <f>+BP15/BP14</f>
        <v>6.7961165048543687E-2</v>
      </c>
      <c r="BQ16" s="51">
        <f>+BQ15/BQ14</f>
        <v>6.7961165048543687E-2</v>
      </c>
      <c r="BR16" s="51">
        <f t="shared" ref="BR16:BW16" si="171">+BR15/BR14</f>
        <v>6.7961165048543687E-2</v>
      </c>
      <c r="BS16" s="51">
        <f t="shared" si="171"/>
        <v>6.7961165048543687E-2</v>
      </c>
      <c r="BT16" s="51">
        <f t="shared" si="171"/>
        <v>0.1</v>
      </c>
      <c r="BU16" s="51">
        <f t="shared" si="171"/>
        <v>0.19565217391304349</v>
      </c>
      <c r="BV16" s="51">
        <f t="shared" si="171"/>
        <v>0.14130434782608695</v>
      </c>
      <c r="BW16" s="51">
        <f t="shared" si="171"/>
        <v>0.15384615384615385</v>
      </c>
      <c r="BX16" s="51">
        <f t="shared" ref="BX16:CC16" si="172">+BX15/BX14</f>
        <v>0.19318181818181818</v>
      </c>
      <c r="BY16" s="51">
        <f t="shared" si="172"/>
        <v>0.19318181818181818</v>
      </c>
      <c r="BZ16" s="51">
        <f t="shared" si="172"/>
        <v>0.19318181818181818</v>
      </c>
      <c r="CA16" s="51">
        <f t="shared" si="172"/>
        <v>0.20689655172413793</v>
      </c>
      <c r="CB16" s="51">
        <f t="shared" si="172"/>
        <v>0.1797752808988764</v>
      </c>
      <c r="CC16" s="51">
        <f t="shared" si="172"/>
        <v>0.14130434782608695</v>
      </c>
      <c r="CD16" s="51">
        <f t="shared" ref="CD16:CQ16" si="173">+CD15/CD14</f>
        <v>0.14130434782608695</v>
      </c>
      <c r="CE16" s="51">
        <f t="shared" si="173"/>
        <v>0</v>
      </c>
      <c r="CF16" s="51">
        <f t="shared" si="173"/>
        <v>-1.0416666666666666E-2</v>
      </c>
      <c r="CG16" s="51">
        <f t="shared" si="173"/>
        <v>-1.0416666666666666E-2</v>
      </c>
      <c r="CH16" s="51">
        <f t="shared" si="173"/>
        <v>-1.0416666666666666E-2</v>
      </c>
      <c r="CI16" s="51">
        <f t="shared" si="173"/>
        <v>-1.0416666666666666E-2</v>
      </c>
      <c r="CJ16" s="51">
        <f t="shared" si="173"/>
        <v>0</v>
      </c>
      <c r="CK16" s="51">
        <f t="shared" si="173"/>
        <v>-4.0404040404040407E-2</v>
      </c>
      <c r="CL16" s="51">
        <f t="shared" si="173"/>
        <v>-4.0404040404040407E-2</v>
      </c>
      <c r="CM16" s="51">
        <f t="shared" si="173"/>
        <v>-4.0404040404040407E-2</v>
      </c>
      <c r="CN16" s="51">
        <f t="shared" si="173"/>
        <v>-3.0612244897959183E-2</v>
      </c>
      <c r="CO16" s="51">
        <f t="shared" si="173"/>
        <v>-2.0618556701030927E-2</v>
      </c>
      <c r="CP16" s="51">
        <f t="shared" si="173"/>
        <v>-2.0618556701030927E-2</v>
      </c>
      <c r="CQ16" s="51">
        <f t="shared" si="173"/>
        <v>0</v>
      </c>
      <c r="CR16" s="51">
        <f t="shared" ref="CR16:CS16" si="174">+CR15/CR14</f>
        <v>0</v>
      </c>
      <c r="CS16" s="51">
        <f t="shared" si="174"/>
        <v>3.2608695652173912E-2</v>
      </c>
      <c r="CT16" s="51">
        <f t="shared" ref="CT16:CU16" si="175">+CT15/CT14</f>
        <v>3.2608695652173912E-2</v>
      </c>
      <c r="CU16" s="51">
        <f t="shared" si="175"/>
        <v>3.2608695652173912E-2</v>
      </c>
      <c r="CV16" s="51">
        <f t="shared" ref="CV16:CW16" si="176">+CV15/CV14</f>
        <v>3.2608695652173912E-2</v>
      </c>
      <c r="CW16" s="51">
        <f t="shared" si="176"/>
        <v>3.2608695652173912E-2</v>
      </c>
      <c r="CX16" s="51">
        <f t="shared" ref="CX16:CY16" si="177">+CX15/CX14</f>
        <v>2.1505376344086023E-2</v>
      </c>
      <c r="CY16" s="51">
        <f t="shared" si="177"/>
        <v>2.1505376344086023E-2</v>
      </c>
      <c r="CZ16" s="51">
        <f t="shared" ref="CZ16:DA16" si="178">+CZ15/CZ14</f>
        <v>2.1505376344086023E-2</v>
      </c>
      <c r="DA16" s="51">
        <f t="shared" si="178"/>
        <v>0</v>
      </c>
      <c r="DB16" s="51">
        <f t="shared" ref="DB16:DC16" si="179">+DB15/DB14</f>
        <v>-4.1237113402061855E-2</v>
      </c>
      <c r="DC16" s="51">
        <f t="shared" si="179"/>
        <v>-4.1237113402061855E-2</v>
      </c>
      <c r="DD16" s="51">
        <f t="shared" ref="DD16:DE16" si="180">+DD15/DD14</f>
        <v>-5.1020408163265307E-2</v>
      </c>
      <c r="DE16" s="51">
        <f t="shared" si="180"/>
        <v>-7.0000000000000007E-2</v>
      </c>
      <c r="DF16" s="51">
        <f t="shared" ref="DF16:DH16" si="181">+DF15/DF14</f>
        <v>-5.1020408163265307E-2</v>
      </c>
      <c r="DG16" s="51">
        <f t="shared" si="181"/>
        <v>-5.1020408163265307E-2</v>
      </c>
      <c r="DH16" s="51">
        <f t="shared" si="181"/>
        <v>-5.1020408163265307E-2</v>
      </c>
      <c r="DI16" s="51">
        <f t="shared" ref="DI16:DJ16" si="182">+DI15/DI14</f>
        <v>-5.1020408163265307E-2</v>
      </c>
      <c r="DJ16" s="51">
        <f t="shared" si="182"/>
        <v>-7.0000000000000007E-2</v>
      </c>
      <c r="DK16" s="51">
        <f t="shared" ref="DK16:DL16" si="183">+DK15/DK14</f>
        <v>-7.0000000000000007E-2</v>
      </c>
      <c r="DL16" s="51">
        <f t="shared" si="183"/>
        <v>-0.05</v>
      </c>
      <c r="DM16" s="51">
        <f t="shared" ref="DM16:DO16" si="184">+DM15/DM14</f>
        <v>-4.0404040404040407E-2</v>
      </c>
      <c r="DN16" s="51">
        <f t="shared" si="184"/>
        <v>-4.0404040404040407E-2</v>
      </c>
      <c r="DO16" s="51">
        <f t="shared" si="184"/>
        <v>-4.0404040404040407E-2</v>
      </c>
      <c r="DP16" s="51">
        <f t="shared" ref="DP16:DQ16" si="185">+DP15/DP14</f>
        <v>-4.0404040404040407E-2</v>
      </c>
      <c r="DQ16" s="51">
        <f t="shared" si="185"/>
        <v>-0.05</v>
      </c>
      <c r="DR16" s="51">
        <f t="shared" ref="DR16:DS16" si="186">+DR15/DR14</f>
        <v>-0.05</v>
      </c>
      <c r="DS16" s="51">
        <f t="shared" si="186"/>
        <v>-0.05</v>
      </c>
      <c r="DT16" s="51">
        <f t="shared" ref="DT16:DU16" si="187">+DT15/DT14</f>
        <v>-6.8627450980392163E-2</v>
      </c>
      <c r="DU16" s="51">
        <f t="shared" si="187"/>
        <v>-6.8627450980392163E-2</v>
      </c>
      <c r="DV16" s="51">
        <f t="shared" ref="DV16:DW16" si="188">+DV15/DV14</f>
        <v>-6.8627450980392163E-2</v>
      </c>
      <c r="DW16" s="51">
        <f t="shared" si="188"/>
        <v>-7.7669902912621352E-2</v>
      </c>
      <c r="DX16" s="51">
        <f t="shared" ref="DX16:DY16" si="189">+DX15/DX14</f>
        <v>-7.7669902912621352E-2</v>
      </c>
      <c r="DY16" s="51">
        <f t="shared" si="189"/>
        <v>-7.7669902912621352E-2</v>
      </c>
      <c r="DZ16" s="51">
        <f t="shared" ref="DZ16:EA16" si="190">+DZ15/DZ14</f>
        <v>-7.7669902912621352E-2</v>
      </c>
      <c r="EA16" s="51">
        <f t="shared" si="190"/>
        <v>-7.7669902912621352E-2</v>
      </c>
      <c r="EB16" s="51">
        <f t="shared" ref="EB16:EC16" si="191">+EB15/EB14</f>
        <v>-4.0404040404040407E-2</v>
      </c>
      <c r="EC16" s="51">
        <f t="shared" si="191"/>
        <v>-3.0612244897959183E-2</v>
      </c>
      <c r="ED16" s="51">
        <f t="shared" ref="ED16:EE16" si="192">+ED15/ED14</f>
        <v>-3.0612244897959183E-2</v>
      </c>
      <c r="EE16" s="51">
        <f t="shared" si="192"/>
        <v>-2.0618556701030927E-2</v>
      </c>
      <c r="EF16" s="51">
        <f t="shared" ref="EF16:EH16" si="193">+EF15/EF14</f>
        <v>-1.0416666666666666E-2</v>
      </c>
      <c r="EG16" s="51">
        <f t="shared" si="193"/>
        <v>-1.0416666666666666E-2</v>
      </c>
      <c r="EH16" s="51">
        <f t="shared" si="193"/>
        <v>-5.2083333333333336E-2</v>
      </c>
      <c r="EI16" s="51">
        <f t="shared" ref="EI16:EJ16" si="194">+EI15/EI14</f>
        <v>-5.2083333333333336E-2</v>
      </c>
      <c r="EJ16" s="51">
        <f t="shared" si="194"/>
        <v>-4.2105263157894736E-2</v>
      </c>
      <c r="EK16" s="51">
        <f t="shared" ref="EK16:EM16" si="195">+EK15/EK14</f>
        <v>-4.2105263157894736E-2</v>
      </c>
      <c r="EL16" s="51">
        <f t="shared" si="195"/>
        <v>-5.2631578947368418E-2</v>
      </c>
      <c r="EM16" s="51">
        <f t="shared" si="195"/>
        <v>-5.2631578947368418E-2</v>
      </c>
      <c r="EN16" s="51">
        <f t="shared" ref="EN16:EO16" si="196">+EN15/EN14</f>
        <v>-5.2631578947368418E-2</v>
      </c>
      <c r="EO16" s="51">
        <f t="shared" si="196"/>
        <v>-7.2164948453608241E-2</v>
      </c>
      <c r="EP16" s="51">
        <f t="shared" ref="EP16:ET16" si="197">+EP15/EP14</f>
        <v>-7.2164948453608241E-2</v>
      </c>
      <c r="EQ16" s="51">
        <f t="shared" si="197"/>
        <v>-7.2164948453608241E-2</v>
      </c>
      <c r="ER16" s="51">
        <f t="shared" si="197"/>
        <v>-7.2164948453608241E-2</v>
      </c>
      <c r="ES16" s="51">
        <f t="shared" si="197"/>
        <v>-7.2164948453608241E-2</v>
      </c>
      <c r="ET16" s="51">
        <f t="shared" si="197"/>
        <v>-6.25E-2</v>
      </c>
      <c r="EU16" s="51">
        <f t="shared" ref="EU16:EX16" si="198">+EU15/EU14</f>
        <v>-6.25E-2</v>
      </c>
      <c r="EV16" s="51">
        <f t="shared" si="198"/>
        <v>-6.25E-2</v>
      </c>
      <c r="EW16" s="51">
        <f t="shared" si="198"/>
        <v>-6.25E-2</v>
      </c>
      <c r="EX16" s="51">
        <f t="shared" si="198"/>
        <v>-6.25E-2</v>
      </c>
      <c r="EY16" s="51">
        <f t="shared" ref="EY16:EZ16" si="199">+EY15/EY14</f>
        <v>-6.25E-2</v>
      </c>
      <c r="EZ16" s="51">
        <f t="shared" si="199"/>
        <v>-7.2164948453608241E-2</v>
      </c>
      <c r="FA16" s="51">
        <f t="shared" ref="FA16:FB16" si="200">+FA15/FA14</f>
        <v>-7.2164948453608241E-2</v>
      </c>
      <c r="FB16" s="51">
        <f t="shared" si="200"/>
        <v>-8.1632653061224483E-2</v>
      </c>
      <c r="FC16" s="51">
        <f t="shared" ref="FC16:FE16" si="201">+FC15/FC14</f>
        <v>-0.15463917525773196</v>
      </c>
      <c r="FD16" s="51">
        <f t="shared" si="201"/>
        <v>-0.18</v>
      </c>
      <c r="FE16" s="51">
        <f t="shared" si="201"/>
        <v>-0.17171717171717171</v>
      </c>
      <c r="FF16" s="51">
        <f t="shared" ref="FF16:FG16" si="202">+FF15/FF14</f>
        <v>-0.16326530612244897</v>
      </c>
      <c r="FG16" s="51">
        <f t="shared" si="202"/>
        <v>-0.14285714285714285</v>
      </c>
      <c r="FH16" s="51">
        <f t="shared" ref="FH16:FJ16" si="203">+FH15/FH14</f>
        <v>-0.14285714285714285</v>
      </c>
      <c r="FI16" s="51">
        <f t="shared" si="203"/>
        <v>-0.14285714285714285</v>
      </c>
      <c r="FJ16" s="51">
        <f t="shared" si="203"/>
        <v>-0.14285714285714285</v>
      </c>
      <c r="FK16" s="51">
        <f t="shared" ref="FK16:FN16" si="204">+FK15/FK14</f>
        <v>-0.14795918367346939</v>
      </c>
      <c r="FL16" s="51">
        <f t="shared" si="204"/>
        <v>-0.13917525773195877</v>
      </c>
      <c r="FM16" s="51">
        <f t="shared" si="204"/>
        <v>-0.13020833333333334</v>
      </c>
      <c r="FN16" s="51">
        <f t="shared" si="204"/>
        <v>-0.12105263157894737</v>
      </c>
      <c r="FO16" s="51">
        <f t="shared" ref="FO16:FS16" si="205">+FO15/FO14</f>
        <v>-0.14210526315789473</v>
      </c>
      <c r="FP16" s="51">
        <f t="shared" si="205"/>
        <v>-0.12365591397849462</v>
      </c>
      <c r="FQ16" s="51">
        <f t="shared" si="205"/>
        <v>-0.12365591397849462</v>
      </c>
      <c r="FR16" s="51">
        <f t="shared" si="205"/>
        <v>-0.12365591397849462</v>
      </c>
      <c r="FS16" s="51">
        <f t="shared" si="205"/>
        <v>-0.11413043478260869</v>
      </c>
      <c r="FT16" s="51">
        <f t="shared" ref="FT16:FW16" si="206">+FT15/FT14</f>
        <v>-0.11413043478260869</v>
      </c>
      <c r="FU16" s="51">
        <f t="shared" si="206"/>
        <v>-0.1043956043956044</v>
      </c>
      <c r="FV16" s="51">
        <f t="shared" si="206"/>
        <v>-0.12365591397849462</v>
      </c>
      <c r="FW16" s="51">
        <f t="shared" si="206"/>
        <v>-0.12365591397849462</v>
      </c>
      <c r="FX16" s="51">
        <f t="shared" ref="FX16:GB16" si="207">+FX15/FX14</f>
        <v>-0.15107526881720429</v>
      </c>
      <c r="FY16" s="51">
        <f t="shared" si="207"/>
        <v>-0.15107526881720429</v>
      </c>
      <c r="FZ16" s="51">
        <f t="shared" si="207"/>
        <v>-0.15107526881720429</v>
      </c>
      <c r="GA16" s="51">
        <f t="shared" si="207"/>
        <v>-0.12277777777777778</v>
      </c>
      <c r="GB16" s="51">
        <f t="shared" si="207"/>
        <v>-0.12277777777777778</v>
      </c>
      <c r="GC16" s="51">
        <f t="shared" ref="GC16:GF16" si="208">+GC15/GC14</f>
        <v>-0.14499999999999999</v>
      </c>
      <c r="GD16" s="51">
        <f t="shared" si="208"/>
        <v>-0.14499999999999999</v>
      </c>
      <c r="GE16" s="51">
        <f t="shared" si="208"/>
        <v>-0.13539325842696628</v>
      </c>
      <c r="GF16" s="51">
        <f t="shared" si="208"/>
        <v>-0.13539325842696628</v>
      </c>
      <c r="GG16" s="51">
        <f t="shared" ref="GG16:GJ16" si="209">+GG15/GG14</f>
        <v>-0.15224719101123596</v>
      </c>
      <c r="GH16" s="51">
        <f t="shared" si="209"/>
        <v>-0.13275862068965516</v>
      </c>
      <c r="GI16" s="51">
        <f t="shared" si="209"/>
        <v>-0.13275862068965516</v>
      </c>
      <c r="GJ16" s="51">
        <f t="shared" si="209"/>
        <v>-0.11235294117647059</v>
      </c>
      <c r="GK16" s="51">
        <f t="shared" ref="GK16:GO16" si="210">+GK15/GK14</f>
        <v>-0.12941176470588237</v>
      </c>
      <c r="GL16" s="51">
        <f t="shared" si="210"/>
        <v>-0.12941176470588237</v>
      </c>
      <c r="GM16" s="51">
        <f t="shared" si="210"/>
        <v>-0.11904761904761904</v>
      </c>
      <c r="GN16" s="51">
        <f t="shared" si="210"/>
        <v>-0.11904761904761904</v>
      </c>
      <c r="GO16" s="51">
        <f t="shared" si="210"/>
        <v>-0.10843373493975904</v>
      </c>
      <c r="GP16" s="51">
        <f t="shared" ref="GP16:GS16" si="211">+GP15/GP14</f>
        <v>-0.13855421686746988</v>
      </c>
      <c r="GQ16" s="51">
        <f t="shared" si="211"/>
        <v>-0.13855421686746988</v>
      </c>
      <c r="GR16" s="51">
        <f t="shared" si="211"/>
        <v>-0.13855421686746988</v>
      </c>
      <c r="GS16" s="51">
        <f t="shared" si="211"/>
        <v>-0.12804878048780488</v>
      </c>
      <c r="GT16" s="51">
        <f t="shared" ref="GT16:GW16" si="212">+GT15/GT14</f>
        <v>-0.1402439024390244</v>
      </c>
      <c r="GU16" s="51">
        <f t="shared" si="212"/>
        <v>-0.1402439024390244</v>
      </c>
      <c r="GV16" s="51">
        <f t="shared" si="212"/>
        <v>-0.1402439024390244</v>
      </c>
      <c r="GW16" s="51">
        <f t="shared" si="212"/>
        <v>-0.1402439024390244</v>
      </c>
      <c r="GX16" s="51">
        <f t="shared" ref="GX16:HB16" si="213">+GX15/GX14</f>
        <v>-0.1419753086419753</v>
      </c>
      <c r="GY16" s="51">
        <f t="shared" si="213"/>
        <v>-0.1419753086419753</v>
      </c>
      <c r="GZ16" s="51">
        <f t="shared" si="213"/>
        <v>-0.1524390243902439</v>
      </c>
      <c r="HA16" s="51">
        <f t="shared" si="213"/>
        <v>-0.1524390243902439</v>
      </c>
      <c r="HB16" s="51">
        <f t="shared" si="213"/>
        <v>-0.1524390243902439</v>
      </c>
      <c r="HC16" s="51">
        <f t="shared" ref="HC16:HF16" si="214">+HC15/HC14</f>
        <v>-0.17261904761904762</v>
      </c>
      <c r="HD16" s="51">
        <f t="shared" si="214"/>
        <v>-0.18235294117647058</v>
      </c>
      <c r="HE16" s="51">
        <f t="shared" si="214"/>
        <v>-0.18235294117647058</v>
      </c>
      <c r="HF16" s="51">
        <f t="shared" si="214"/>
        <v>-0.18235294117647058</v>
      </c>
      <c r="HG16" s="51">
        <f t="shared" ref="HG16:HJ16" si="215">+HG15/HG14</f>
        <v>-0.28000000000000003</v>
      </c>
      <c r="HH16" s="51">
        <f t="shared" si="215"/>
        <v>-0.4</v>
      </c>
      <c r="HI16" s="51">
        <f t="shared" si="215"/>
        <v>-0.45</v>
      </c>
      <c r="HJ16" s="51">
        <f t="shared" si="215"/>
        <v>-0.45</v>
      </c>
    </row>
    <row r="17" spans="6:218" ht="14.5">
      <c r="F17" s="1" t="s">
        <v>87</v>
      </c>
      <c r="H17" s="1" t="s">
        <v>87</v>
      </c>
      <c r="I17" s="41">
        <v>885</v>
      </c>
      <c r="J17" s="41">
        <v>885</v>
      </c>
      <c r="K17" s="41">
        <v>885</v>
      </c>
      <c r="L17" s="41">
        <v>885</v>
      </c>
      <c r="M17" s="41">
        <v>885</v>
      </c>
      <c r="N17" s="41">
        <v>885</v>
      </c>
      <c r="O17" s="41">
        <v>885</v>
      </c>
      <c r="P17" s="41">
        <v>885</v>
      </c>
      <c r="Q17" s="41">
        <v>885</v>
      </c>
      <c r="R17" s="41">
        <v>885</v>
      </c>
      <c r="S17" s="41">
        <v>885</v>
      </c>
      <c r="T17" s="41">
        <v>885</v>
      </c>
      <c r="U17" s="41">
        <v>885</v>
      </c>
      <c r="V17" s="41">
        <v>885</v>
      </c>
      <c r="W17" s="41">
        <v>885</v>
      </c>
      <c r="X17" s="41">
        <v>861</v>
      </c>
      <c r="Y17" s="41">
        <v>861</v>
      </c>
      <c r="Z17" s="41">
        <v>850</v>
      </c>
      <c r="AA17" s="41">
        <v>794</v>
      </c>
      <c r="AB17" s="41">
        <v>836.80121639671654</v>
      </c>
      <c r="AC17" s="41">
        <v>856.16419630615974</v>
      </c>
      <c r="AD17" s="41">
        <v>856.16419630615974</v>
      </c>
      <c r="AE17" s="41">
        <v>856.16419630615974</v>
      </c>
      <c r="AF17" s="41">
        <v>827.7737832482228</v>
      </c>
      <c r="AG17" s="41">
        <v>842.58758463763786</v>
      </c>
      <c r="AH17" s="41">
        <v>835.02956014903214</v>
      </c>
      <c r="AI17" s="41">
        <v>835.02956014903214</v>
      </c>
      <c r="AJ17" s="41">
        <v>821.92388317274299</v>
      </c>
      <c r="AK17" s="41">
        <v>838</v>
      </c>
      <c r="AL17" s="41">
        <v>863.68590309795047</v>
      </c>
      <c r="AM17" s="41">
        <v>864.84654926023097</v>
      </c>
      <c r="AN17" s="41">
        <v>864.84654926023097</v>
      </c>
      <c r="AO17" s="41">
        <v>864.84654926023097</v>
      </c>
      <c r="AP17" s="41">
        <v>877</v>
      </c>
      <c r="AQ17" s="41">
        <v>899.20414893105215</v>
      </c>
      <c r="AR17" s="41">
        <v>896.54965726587238</v>
      </c>
      <c r="AS17" s="41">
        <v>896.54965726587238</v>
      </c>
      <c r="AT17" s="41">
        <v>872.02588664698362</v>
      </c>
      <c r="AU17" s="41">
        <v>886.41271510495631</v>
      </c>
      <c r="AV17" s="41"/>
      <c r="AZ17" s="1" t="s">
        <v>87</v>
      </c>
      <c r="BA17" s="41">
        <v>1110</v>
      </c>
      <c r="BB17" s="41">
        <v>885</v>
      </c>
      <c r="BC17" s="41">
        <v>885</v>
      </c>
      <c r="BD17" s="41">
        <v>885</v>
      </c>
      <c r="BE17" s="41">
        <v>885</v>
      </c>
      <c r="BF17" s="41">
        <v>885</v>
      </c>
      <c r="BG17" s="41">
        <v>885</v>
      </c>
      <c r="BH17" s="41">
        <v>885</v>
      </c>
      <c r="BI17" s="41">
        <v>885</v>
      </c>
      <c r="BJ17" s="41">
        <v>885</v>
      </c>
      <c r="BK17" s="41">
        <v>885</v>
      </c>
      <c r="BL17" s="41">
        <v>885</v>
      </c>
      <c r="BM17" s="41">
        <v>885</v>
      </c>
      <c r="BN17" s="41">
        <v>885</v>
      </c>
      <c r="BO17" s="41">
        <v>885</v>
      </c>
      <c r="BP17" s="41">
        <v>885</v>
      </c>
      <c r="BQ17" s="41">
        <v>885</v>
      </c>
      <c r="BR17" s="41">
        <v>885</v>
      </c>
      <c r="BS17" s="41">
        <v>885</v>
      </c>
      <c r="BT17" s="41">
        <v>885</v>
      </c>
      <c r="BU17" s="41">
        <v>885</v>
      </c>
      <c r="BV17" s="41">
        <v>885</v>
      </c>
      <c r="BW17" s="41">
        <v>885</v>
      </c>
      <c r="BX17" s="41">
        <v>885</v>
      </c>
      <c r="BY17" s="41">
        <v>885</v>
      </c>
      <c r="BZ17" s="41">
        <v>885</v>
      </c>
      <c r="CA17" s="41">
        <v>885</v>
      </c>
      <c r="CB17" s="41">
        <v>885</v>
      </c>
      <c r="CC17" s="41">
        <v>885</v>
      </c>
      <c r="CD17" s="41">
        <v>885</v>
      </c>
      <c r="CE17" s="41">
        <v>885</v>
      </c>
      <c r="CF17" s="41">
        <v>885</v>
      </c>
      <c r="CG17" s="41">
        <v>885</v>
      </c>
      <c r="CH17" s="41">
        <v>885</v>
      </c>
      <c r="CI17" s="41">
        <v>885</v>
      </c>
      <c r="CJ17" s="41">
        <v>885</v>
      </c>
      <c r="CK17" s="41">
        <v>885</v>
      </c>
      <c r="CL17" s="41">
        <v>885</v>
      </c>
      <c r="CM17" s="41">
        <v>885</v>
      </c>
      <c r="CN17" s="41">
        <v>885</v>
      </c>
      <c r="CO17" s="41">
        <v>885</v>
      </c>
      <c r="CP17" s="41">
        <v>885</v>
      </c>
      <c r="CQ17" s="41">
        <v>885</v>
      </c>
      <c r="CR17" s="41">
        <v>885</v>
      </c>
      <c r="CS17" s="41">
        <v>885</v>
      </c>
      <c r="CT17" s="41">
        <v>885</v>
      </c>
      <c r="CU17" s="41">
        <v>885</v>
      </c>
      <c r="CV17" s="41">
        <v>885</v>
      </c>
      <c r="CW17" s="41">
        <v>885</v>
      </c>
      <c r="CX17" s="41">
        <v>885</v>
      </c>
      <c r="CY17" s="41">
        <v>885</v>
      </c>
      <c r="CZ17" s="41">
        <v>885</v>
      </c>
      <c r="DA17" s="41">
        <v>885</v>
      </c>
      <c r="DB17" s="41">
        <v>885</v>
      </c>
      <c r="DC17" s="41">
        <v>885</v>
      </c>
      <c r="DD17" s="41">
        <v>885</v>
      </c>
      <c r="DE17" s="41">
        <v>885</v>
      </c>
      <c r="DF17" s="41">
        <v>885</v>
      </c>
      <c r="DG17" s="41">
        <v>885</v>
      </c>
      <c r="DH17" s="41">
        <v>885</v>
      </c>
      <c r="DI17" s="41">
        <v>885</v>
      </c>
      <c r="DJ17" s="41">
        <v>885</v>
      </c>
      <c r="DK17" s="41">
        <v>885</v>
      </c>
      <c r="DL17" s="168">
        <v>861</v>
      </c>
      <c r="DM17" s="168">
        <v>861</v>
      </c>
      <c r="DN17" s="168">
        <v>861</v>
      </c>
      <c r="DO17" s="168">
        <v>861</v>
      </c>
      <c r="DP17" s="168">
        <v>861</v>
      </c>
      <c r="DQ17" s="168">
        <v>861</v>
      </c>
      <c r="DR17" s="168">
        <v>861</v>
      </c>
      <c r="DS17" s="168">
        <v>861</v>
      </c>
      <c r="DT17" s="168">
        <v>861</v>
      </c>
      <c r="DU17" s="168">
        <v>861</v>
      </c>
      <c r="DV17" s="168">
        <v>861</v>
      </c>
      <c r="DW17" s="168">
        <v>861</v>
      </c>
      <c r="DX17" s="168">
        <v>861</v>
      </c>
      <c r="DY17" s="168">
        <v>794</v>
      </c>
      <c r="DZ17" s="168">
        <v>794</v>
      </c>
      <c r="EA17" s="168">
        <v>794</v>
      </c>
      <c r="EB17" s="168">
        <v>794</v>
      </c>
      <c r="EC17" s="174">
        <v>836.80121639671654</v>
      </c>
      <c r="ED17" s="174">
        <v>836.80121639671654</v>
      </c>
      <c r="EE17" s="174">
        <v>836.80121639671654</v>
      </c>
      <c r="EF17" s="174">
        <v>836.80121639671654</v>
      </c>
      <c r="EG17" s="174">
        <v>836.80121639671654</v>
      </c>
      <c r="EH17" s="174">
        <v>856</v>
      </c>
      <c r="EI17" s="174">
        <v>856</v>
      </c>
      <c r="EJ17" s="174">
        <v>856</v>
      </c>
      <c r="EK17" s="174">
        <v>856</v>
      </c>
      <c r="EL17" s="41">
        <v>856.16419630615974</v>
      </c>
      <c r="EM17" s="41">
        <v>856.16419630615974</v>
      </c>
      <c r="EN17" s="41">
        <v>856.16419630615974</v>
      </c>
      <c r="EO17" s="41">
        <v>856.16419630615974</v>
      </c>
      <c r="EP17" s="41">
        <v>856.16419630615974</v>
      </c>
      <c r="EQ17" s="41">
        <v>856.16419630615974</v>
      </c>
      <c r="ER17" s="41">
        <v>856.16419630615974</v>
      </c>
      <c r="ES17" s="41">
        <v>856.16419630615974</v>
      </c>
      <c r="ET17" s="41">
        <v>856.16419630615974</v>
      </c>
      <c r="EU17" s="41">
        <v>827.7737832482228</v>
      </c>
      <c r="EV17" s="41">
        <v>827.7737832482228</v>
      </c>
      <c r="EW17" s="41">
        <v>827.7737832482228</v>
      </c>
      <c r="EX17" s="41">
        <v>827.7737832482228</v>
      </c>
      <c r="EY17" s="41">
        <v>842.58758463763786</v>
      </c>
      <c r="EZ17" s="41">
        <v>842.58758463763786</v>
      </c>
      <c r="FA17" s="41">
        <v>842.58758463763786</v>
      </c>
      <c r="FB17" s="41">
        <v>842.58758463763786</v>
      </c>
      <c r="FC17" s="41">
        <v>835.02956014903214</v>
      </c>
      <c r="FD17" s="41">
        <v>835.02956014903214</v>
      </c>
      <c r="FE17" s="41">
        <v>835.02956014903214</v>
      </c>
      <c r="FF17" s="41">
        <v>835.02956014903214</v>
      </c>
      <c r="FG17" s="41">
        <v>835.02956014903214</v>
      </c>
      <c r="FH17" s="41">
        <v>835.02956014903214</v>
      </c>
      <c r="FI17" s="41">
        <v>835.02956014903214</v>
      </c>
      <c r="FJ17" s="41">
        <v>835.02956014903214</v>
      </c>
      <c r="FK17" s="41">
        <v>821.92388317274299</v>
      </c>
      <c r="FL17" s="41">
        <v>821.92388317274299</v>
      </c>
      <c r="FM17" s="41">
        <v>821.92388317274299</v>
      </c>
      <c r="FN17" s="41">
        <v>821.92388317274299</v>
      </c>
      <c r="FO17" s="41">
        <v>838</v>
      </c>
      <c r="FP17" s="41">
        <v>838</v>
      </c>
      <c r="FQ17" s="41">
        <v>838</v>
      </c>
      <c r="FR17" s="41">
        <v>838</v>
      </c>
      <c r="FS17" s="41">
        <v>838</v>
      </c>
      <c r="FT17" s="41">
        <v>863.68590309795047</v>
      </c>
      <c r="FU17" s="41">
        <v>863.68590309795047</v>
      </c>
      <c r="FV17" s="41">
        <v>863.68590309795047</v>
      </c>
      <c r="FW17" s="41">
        <v>863.68590309795047</v>
      </c>
      <c r="FX17" s="41">
        <v>864.84654926023097</v>
      </c>
      <c r="FY17" s="41">
        <v>864.84654926023097</v>
      </c>
      <c r="FZ17" s="41">
        <v>864.84654926023097</v>
      </c>
      <c r="GA17" s="41">
        <v>864.84654926023097</v>
      </c>
      <c r="GB17" s="41">
        <v>864.84654926023097</v>
      </c>
      <c r="GC17" s="41">
        <v>864.84654926023097</v>
      </c>
      <c r="GD17" s="41">
        <v>864.84654926023097</v>
      </c>
      <c r="GE17" s="41">
        <v>864.84654926023097</v>
      </c>
      <c r="GF17" s="41">
        <v>864.84654926023097</v>
      </c>
      <c r="GG17" s="41">
        <v>864.84654926023097</v>
      </c>
      <c r="GH17" s="41">
        <v>864.84654926023097</v>
      </c>
      <c r="GI17" s="41">
        <v>864.84654926023097</v>
      </c>
      <c r="GJ17" s="41">
        <v>864.84654926023097</v>
      </c>
      <c r="GK17" s="41">
        <v>877</v>
      </c>
      <c r="GL17" s="41">
        <v>877</v>
      </c>
      <c r="GM17" s="41">
        <v>877</v>
      </c>
      <c r="GN17" s="41">
        <v>877</v>
      </c>
      <c r="GO17" s="41">
        <v>877</v>
      </c>
      <c r="GP17" s="41">
        <v>899.20414893105215</v>
      </c>
      <c r="GQ17" s="41">
        <v>899.20414893105215</v>
      </c>
      <c r="GR17" s="41">
        <v>899.20414893105215</v>
      </c>
      <c r="GS17" s="41">
        <v>899.20414893105215</v>
      </c>
      <c r="GT17" s="41">
        <v>896.54965726587238</v>
      </c>
      <c r="GU17" s="41">
        <v>896.54965726587238</v>
      </c>
      <c r="GV17" s="41">
        <v>896.54965726587238</v>
      </c>
      <c r="GW17" s="41">
        <v>896.54965726587238</v>
      </c>
      <c r="GX17" s="41">
        <v>896.54965726587238</v>
      </c>
      <c r="GY17" s="41">
        <v>896.54965726587238</v>
      </c>
      <c r="GZ17" s="41">
        <v>896.54965726587238</v>
      </c>
      <c r="HA17" s="41">
        <v>896.54965726587238</v>
      </c>
      <c r="HB17" s="41">
        <v>896.54965726587238</v>
      </c>
      <c r="HC17" s="41">
        <v>872.02588664698362</v>
      </c>
      <c r="HD17" s="41">
        <v>872.02588664698362</v>
      </c>
      <c r="HE17" s="41">
        <v>872.02588664698362</v>
      </c>
      <c r="HF17" s="41">
        <v>872.02588664698362</v>
      </c>
      <c r="HG17" s="41">
        <v>886.41271510495631</v>
      </c>
      <c r="HH17" s="41">
        <v>886.41271510495631</v>
      </c>
      <c r="HI17" s="41">
        <v>886.41271510495631</v>
      </c>
      <c r="HJ17" s="41">
        <v>886.41271510495631</v>
      </c>
    </row>
    <row r="18" spans="6:218" ht="15.5">
      <c r="F18" s="1" t="s">
        <v>114</v>
      </c>
      <c r="H18" s="64"/>
      <c r="AZ18" s="1" t="s">
        <v>114</v>
      </c>
      <c r="CT18" s="1">
        <v>810</v>
      </c>
      <c r="CU18" s="1">
        <v>810</v>
      </c>
      <c r="CV18" s="1">
        <v>810</v>
      </c>
      <c r="CW18" s="1">
        <v>810</v>
      </c>
      <c r="CX18" s="1">
        <v>810</v>
      </c>
      <c r="CY18" s="1">
        <v>810</v>
      </c>
      <c r="CZ18" s="1">
        <v>810</v>
      </c>
      <c r="DA18" s="1">
        <v>810</v>
      </c>
      <c r="DB18" s="1">
        <v>810</v>
      </c>
      <c r="DC18" s="1">
        <v>810</v>
      </c>
      <c r="DD18" s="1">
        <v>810</v>
      </c>
      <c r="DE18" s="1">
        <f>'Ma trận giá bán vảy PP'!AX6</f>
        <v>840</v>
      </c>
      <c r="DF18" s="1">
        <f>'Ma trận giá bán vảy PP'!AY6</f>
        <v>840</v>
      </c>
      <c r="DG18" s="1">
        <f>'Ma trận giá bán vảy PP'!AZ6</f>
        <v>840</v>
      </c>
      <c r="DH18" s="1">
        <f>'Ma trận giá bán vảy PP'!BA6</f>
        <v>880</v>
      </c>
      <c r="DI18" s="1">
        <f>'Ma trận giá bán vảy PP'!BB6</f>
        <v>880</v>
      </c>
      <c r="DJ18" s="1">
        <f>'Ma trận giá bán vảy PP'!BC6</f>
        <v>880</v>
      </c>
      <c r="DK18" s="1">
        <v>880</v>
      </c>
      <c r="DL18" s="1">
        <v>900</v>
      </c>
      <c r="DM18" s="1">
        <v>900</v>
      </c>
      <c r="DN18" s="1">
        <v>900</v>
      </c>
      <c r="DO18" s="1">
        <v>900</v>
      </c>
      <c r="DP18" s="1">
        <v>900</v>
      </c>
      <c r="DQ18" s="1">
        <v>900</v>
      </c>
      <c r="DR18" s="1">
        <v>900</v>
      </c>
      <c r="DS18" s="1">
        <v>900</v>
      </c>
      <c r="DT18" s="1">
        <v>900</v>
      </c>
      <c r="DU18" s="1">
        <v>900</v>
      </c>
      <c r="DV18" s="1">
        <v>900</v>
      </c>
      <c r="DW18" s="1">
        <v>900</v>
      </c>
      <c r="DX18" s="1">
        <v>900</v>
      </c>
      <c r="DY18" s="1">
        <v>900</v>
      </c>
      <c r="DZ18" s="1">
        <v>900</v>
      </c>
      <c r="EA18" s="1">
        <v>900</v>
      </c>
      <c r="EB18" s="1">
        <v>900</v>
      </c>
      <c r="EC18" s="1">
        <v>900</v>
      </c>
      <c r="ED18" s="1">
        <v>900</v>
      </c>
      <c r="EE18" s="1">
        <v>900</v>
      </c>
      <c r="EF18" s="1">
        <v>900</v>
      </c>
      <c r="EG18" s="1">
        <v>900</v>
      </c>
      <c r="EH18" s="1">
        <v>860</v>
      </c>
      <c r="EI18" s="1">
        <v>860</v>
      </c>
      <c r="EJ18" s="1">
        <v>860</v>
      </c>
      <c r="EK18" s="1">
        <f>'Ma trận giá bán vảy PP'!CD6</f>
        <v>860</v>
      </c>
      <c r="EL18" s="1">
        <f>'Ma trận giá bán vảy PP'!CE6</f>
        <v>855</v>
      </c>
      <c r="EM18" s="1">
        <f>'Ma trận giá bán vảy PP'!CF6</f>
        <v>855</v>
      </c>
      <c r="EN18" s="1">
        <f>'Ma trận giá bán vảy PP'!CG6</f>
        <v>855</v>
      </c>
      <c r="EO18" s="1">
        <f>'Ma trận giá bán vảy PP'!CH6</f>
        <v>855</v>
      </c>
      <c r="EP18" s="1">
        <f>'Ma trận giá bán vảy PP'!CI6</f>
        <v>855</v>
      </c>
      <c r="EQ18" s="1">
        <f>'Ma trận giá bán vảy PP'!CJ6</f>
        <v>855</v>
      </c>
      <c r="ER18" s="1">
        <f>'Ma trận giá bán vảy PP'!CK6</f>
        <v>855</v>
      </c>
      <c r="ES18" s="1">
        <f>'Ma trận giá bán vảy PP'!CL6</f>
        <v>855</v>
      </c>
      <c r="ET18" s="1">
        <f>'Ma trận giá bán vảy PP'!CM6</f>
        <v>855</v>
      </c>
      <c r="EU18" s="1">
        <f>'Ma trận giá bán vảy PP'!CN6</f>
        <v>855</v>
      </c>
      <c r="EV18" s="1">
        <f>'Ma trận giá bán vảy PP'!CO6</f>
        <v>855</v>
      </c>
      <c r="EW18" s="1">
        <f>'Ma trận giá bán vảy PP'!CP6</f>
        <v>855</v>
      </c>
      <c r="EX18" s="1">
        <f>'Ma trận giá bán vảy PP'!CQ6</f>
        <v>855</v>
      </c>
      <c r="EY18" s="1">
        <f>'Ma trận giá bán vảy PP'!CR6</f>
        <v>855</v>
      </c>
      <c r="EZ18" s="1">
        <f>'Ma trận giá bán vảy PP'!CS6</f>
        <v>855</v>
      </c>
      <c r="FA18" s="1">
        <f>'Ma trận giá bán vảy PP'!CT6</f>
        <v>855</v>
      </c>
      <c r="FB18" s="1">
        <f>'Ma trận giá bán vảy PP'!CU6</f>
        <v>855</v>
      </c>
      <c r="FC18" s="1">
        <f>'Ma trận giá bán vảy PP'!CV6</f>
        <v>780</v>
      </c>
      <c r="FD18" s="1">
        <f>'Ma trận giá bán vảy PP'!CW6</f>
        <v>780</v>
      </c>
      <c r="FE18" s="1">
        <f>'Ma trận giá bán vảy PP'!CX6</f>
        <v>780</v>
      </c>
      <c r="FF18" s="1">
        <f>'Ma trận giá bán vảy PP'!CY6</f>
        <v>780</v>
      </c>
      <c r="FG18" s="1">
        <f>'Ma trận giá bán vảy PP'!CZ6</f>
        <v>790</v>
      </c>
      <c r="FH18" s="1">
        <f>'Ma trận giá bán vảy PP'!DA6</f>
        <v>790</v>
      </c>
      <c r="FI18" s="1">
        <f>'Ma trận giá bán vảy PP'!DB6</f>
        <v>790</v>
      </c>
      <c r="FJ18" s="1">
        <f>'Ma trận giá bán vảy PP'!DC6</f>
        <v>790</v>
      </c>
      <c r="FK18" s="1">
        <f>'Ma trận giá bán vảy PP'!DD6</f>
        <v>785</v>
      </c>
      <c r="FL18" s="1">
        <f>'Ma trận giá bán vảy PP'!DE6</f>
        <v>785</v>
      </c>
      <c r="FM18" s="1">
        <f>'Ma trận giá bán vảy PP'!DF6</f>
        <v>785</v>
      </c>
      <c r="FN18" s="1">
        <f>'Ma trận giá bán vảy PP'!DG6</f>
        <v>785</v>
      </c>
      <c r="FO18" s="1">
        <f>'Ma trận giá bán vảy PP'!DH6</f>
        <v>765</v>
      </c>
      <c r="FP18" s="1">
        <f>'Ma trận giá bán vảy PP'!DI6</f>
        <v>765</v>
      </c>
      <c r="FQ18" s="1">
        <f>'Ma trận giá bán vảy PP'!DJ6</f>
        <v>765</v>
      </c>
      <c r="FR18" s="1">
        <f>'Ma trận giá bán vảy PP'!DK6</f>
        <v>765</v>
      </c>
      <c r="FS18" s="1">
        <f>'Ma trận giá bán vảy PP'!DL6</f>
        <v>765</v>
      </c>
      <c r="FT18" s="1">
        <f>'Ma trận giá bán vảy PP'!DM6</f>
        <v>765</v>
      </c>
      <c r="FU18" s="1">
        <f>'Ma trận giá bán vảy PP'!DN6</f>
        <v>765</v>
      </c>
      <c r="FV18" s="1">
        <f>'Ma trận giá bán vảy PP'!DO6</f>
        <v>765</v>
      </c>
      <c r="FW18" s="1">
        <f>'Ma trận giá bán vảy PP'!DP6</f>
        <v>765</v>
      </c>
      <c r="FX18" s="1">
        <f>'Ma trận giá bán vảy PP'!DQ6</f>
        <v>680</v>
      </c>
      <c r="FY18" s="1">
        <f>'Ma trận giá bán vảy PP'!DR6</f>
        <v>680</v>
      </c>
      <c r="FZ18" s="1">
        <f>'Ma trận giá bán vảy PP'!DS6</f>
        <v>680</v>
      </c>
      <c r="GA18" s="1">
        <f>'Ma trận giá bán vảy PP'!DT6</f>
        <v>680</v>
      </c>
      <c r="GB18" s="1">
        <f>'Ma trận giá bán vảy PP'!DU6</f>
        <v>680</v>
      </c>
      <c r="GC18" s="1">
        <f>'Ma trận giá bán vảy PP'!DV6</f>
        <v>660</v>
      </c>
      <c r="GD18" s="1">
        <f>'Ma trận giá bán vảy PP'!DW6</f>
        <v>660</v>
      </c>
      <c r="GE18" s="1">
        <f>'Ma trận giá bán vảy PP'!DX6</f>
        <v>660</v>
      </c>
      <c r="GF18" s="1">
        <f>'Ma trận giá bán vảy PP'!DY6</f>
        <v>660</v>
      </c>
      <c r="GG18" s="1">
        <f>'Ma trận giá bán vảy PP'!DZ6</f>
        <v>660</v>
      </c>
      <c r="GH18" s="1">
        <f>'Ma trận giá bán vảy PP'!EA6</f>
        <v>660</v>
      </c>
      <c r="GI18" s="1">
        <f>'Ma trận giá bán vảy PP'!EB6</f>
        <v>660</v>
      </c>
      <c r="GJ18" s="1">
        <f>'Ma trận giá bán vảy PP'!EC6</f>
        <v>660</v>
      </c>
      <c r="GK18" s="1">
        <f>'Ma trận giá bán vảy PP'!ED6</f>
        <v>650</v>
      </c>
      <c r="GL18" s="1">
        <f>'Ma trận giá bán vảy PP'!EE6</f>
        <v>650</v>
      </c>
      <c r="GM18" s="1">
        <f>'Ma trận giá bán vảy PP'!EF6</f>
        <v>650</v>
      </c>
      <c r="GN18" s="1">
        <f>'Ma trận giá bán vảy PP'!EG6</f>
        <v>650</v>
      </c>
      <c r="GO18" s="1">
        <f>'Ma trận giá bán vảy PP'!EH6</f>
        <v>650</v>
      </c>
      <c r="GP18" s="1">
        <f>'Ma trận giá bán vảy PP'!EI6</f>
        <v>650</v>
      </c>
      <c r="GQ18" s="1">
        <f>'Ma trận giá bán vảy PP'!EJ6</f>
        <v>650</v>
      </c>
      <c r="GR18" s="1">
        <f>'Ma trận giá bán vảy PP'!EK6</f>
        <v>650</v>
      </c>
      <c r="GS18" s="1">
        <f>'Ma trận giá bán vảy PP'!EL6</f>
        <v>650</v>
      </c>
      <c r="GT18" s="1">
        <f>'Ma trận giá bán vảy PP'!EM6</f>
        <v>650</v>
      </c>
      <c r="GU18" s="1">
        <f>'Ma trận giá bán vảy PP'!EN6</f>
        <v>650</v>
      </c>
      <c r="GV18" s="1">
        <f>'Ma trận giá bán vảy PP'!EO6</f>
        <v>650</v>
      </c>
      <c r="GW18" s="1">
        <f>'Ma trận giá bán vảy PP'!EP6</f>
        <v>650</v>
      </c>
      <c r="GX18" s="1">
        <f>'Ma trận giá bán vảy PP'!EQ6</f>
        <v>650</v>
      </c>
      <c r="GY18" s="1">
        <f>'Ma trận giá bán vảy PP'!ER6</f>
        <v>650</v>
      </c>
      <c r="GZ18" s="1">
        <f>'Ma trận giá bán vảy PP'!ES6</f>
        <v>650</v>
      </c>
      <c r="HA18" s="1">
        <f>'Ma trận giá bán vảy PP'!ET6</f>
        <v>650</v>
      </c>
      <c r="HB18" s="1">
        <f>'Ma trận giá bán vảy PP'!EU6</f>
        <v>650</v>
      </c>
      <c r="HC18" s="1">
        <f>'Ma trận giá bán vảy PP'!EV6</f>
        <v>650</v>
      </c>
      <c r="HD18" s="1">
        <f>'Ma trận giá bán vảy PP'!EW6</f>
        <v>650</v>
      </c>
      <c r="HE18" s="1">
        <f>'Ma trận giá bán vảy PP'!EX6</f>
        <v>650</v>
      </c>
      <c r="HF18" s="1">
        <f>'Ma trận giá bán vảy PP'!EY6</f>
        <v>650</v>
      </c>
      <c r="HG18" s="1">
        <f>'Ma trận giá bán vảy PP'!EZ6</f>
        <v>680</v>
      </c>
      <c r="HH18" s="1">
        <f>'Ma trận giá bán vảy PP'!FA6</f>
        <v>680</v>
      </c>
      <c r="HI18" s="1">
        <f>'Ma trận giá bán vảy PP'!FB6</f>
        <v>730</v>
      </c>
      <c r="HJ18" s="1">
        <f>'Ma trận giá bán vảy PP'!FC6</f>
        <v>730</v>
      </c>
    </row>
    <row r="19" spans="6:218" ht="15">
      <c r="F19" s="62"/>
      <c r="H19" s="62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</row>
    <row r="31" spans="6:218">
      <c r="F31" s="32"/>
      <c r="G31" s="32"/>
      <c r="H31" s="32"/>
    </row>
    <row r="32" spans="6:218">
      <c r="F32" s="32"/>
      <c r="G32" s="32"/>
      <c r="H32" s="32"/>
    </row>
    <row r="33" spans="6:8">
      <c r="F33" s="32"/>
      <c r="G33" s="32"/>
      <c r="H33" s="32"/>
    </row>
    <row r="34" spans="6:8">
      <c r="F34" s="32"/>
      <c r="G34" s="32"/>
      <c r="H34" s="32"/>
    </row>
    <row r="35" spans="6:8">
      <c r="F35" s="31"/>
      <c r="G35" s="32"/>
      <c r="H35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5F60-4B87-488C-8FB3-BABE9C61E389}">
  <sheetPr>
    <tabColor theme="9"/>
  </sheetPr>
  <dimension ref="R31:V71"/>
  <sheetViews>
    <sheetView topLeftCell="A16" zoomScale="85" zoomScaleNormal="85" workbookViewId="0">
      <selection activeCell="H33" sqref="H33"/>
    </sheetView>
  </sheetViews>
  <sheetFormatPr defaultColWidth="8.81640625" defaultRowHeight="14.5"/>
  <cols>
    <col min="1" max="16384" width="8.81640625" style="122"/>
  </cols>
  <sheetData>
    <row r="31" spans="22:22">
      <c r="V31" s="124"/>
    </row>
    <row r="32" spans="22:22">
      <c r="V32" s="123"/>
    </row>
    <row r="33" spans="22:22">
      <c r="V33" s="123"/>
    </row>
    <row r="34" spans="22:22">
      <c r="V34" s="123"/>
    </row>
    <row r="71" spans="18:18">
      <c r="R71" s="124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DFC6-CCD3-4E25-980E-7A34FAB4E021}">
  <sheetPr>
    <tabColor theme="9"/>
  </sheetPr>
  <dimension ref="V71:V72"/>
  <sheetViews>
    <sheetView topLeftCell="A16" zoomScale="80" zoomScaleNormal="80" workbookViewId="0">
      <selection activeCell="H34" sqref="H34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0F9B-8E8B-4919-9C3C-F61FC3463B66}">
  <dimension ref="A1:FC27"/>
  <sheetViews>
    <sheetView showGridLines="0" topLeftCell="D3" zoomScale="90" zoomScaleNormal="90" workbookViewId="0">
      <pane xSplit="3" ySplit="3" topLeftCell="AJ6" activePane="bottomRight" state="frozen"/>
      <selection activeCell="AU13" sqref="AU13"/>
      <selection pane="topRight" activeCell="AU13" sqref="AU13"/>
      <selection pane="bottomLeft" activeCell="AU13" sqref="AU13"/>
      <selection pane="bottomRight" activeCell="AK8" sqref="AK8"/>
    </sheetView>
  </sheetViews>
  <sheetFormatPr defaultColWidth="9.1796875" defaultRowHeight="13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6.81640625" style="1" customWidth="1"/>
    <col min="5" max="5" width="33.1796875" style="1" hidden="1" customWidth="1"/>
    <col min="6" max="6" width="40.453125" style="1" hidden="1" customWidth="1"/>
    <col min="7" max="7" width="10.54296875" style="1" hidden="1" customWidth="1"/>
    <col min="8" max="8" width="14.81640625" style="1" customWidth="1"/>
    <col min="9" max="9" width="9.81640625" style="1" hidden="1" customWidth="1"/>
    <col min="10" max="21" width="8" style="1" hidden="1" customWidth="1"/>
    <col min="22" max="37" width="8" style="1" customWidth="1"/>
    <col min="38" max="39" width="9.1796875" style="1"/>
    <col min="40" max="40" width="15.1796875" style="1" customWidth="1"/>
    <col min="41" max="51" width="0" style="1" hidden="1" customWidth="1"/>
    <col min="52" max="146" width="8.1796875" style="1" hidden="1" customWidth="1"/>
    <col min="147" max="159" width="8" style="1" customWidth="1"/>
    <col min="160" max="16384" width="9.1796875" style="1"/>
  </cols>
  <sheetData>
    <row r="1" spans="1:159" hidden="1"/>
    <row r="2" spans="1:159" hidden="1"/>
    <row r="3" spans="1:159" ht="19.399999999999999" customHeight="1">
      <c r="F3" s="15"/>
      <c r="H3" s="15" t="s">
        <v>118</v>
      </c>
      <c r="AT3" s="170">
        <v>2024</v>
      </c>
      <c r="CR3" s="170">
        <v>2025</v>
      </c>
    </row>
    <row r="4" spans="1:159" s="61" customFormat="1" ht="17.5">
      <c r="A4" s="71"/>
      <c r="B4" s="71"/>
      <c r="C4" s="71"/>
      <c r="D4" s="72"/>
      <c r="E4" s="71"/>
      <c r="F4" s="73" t="s">
        <v>3</v>
      </c>
      <c r="G4" s="73"/>
      <c r="H4" s="73"/>
      <c r="I4" s="74">
        <v>24000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O4" s="74">
        <v>24000</v>
      </c>
      <c r="AP4" s="74">
        <v>24000</v>
      </c>
      <c r="AQ4" s="74">
        <v>24000</v>
      </c>
      <c r="AR4" s="74">
        <v>24000</v>
      </c>
      <c r="AS4" s="74">
        <v>24000</v>
      </c>
      <c r="AT4" s="74">
        <v>24000</v>
      </c>
      <c r="AU4" s="74">
        <v>24000</v>
      </c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EQ4" s="178">
        <v>2026</v>
      </c>
    </row>
    <row r="5" spans="1:159" s="32" customFormat="1" ht="19.5" customHeight="1">
      <c r="A5" s="33" t="s">
        <v>0</v>
      </c>
      <c r="B5" s="33" t="s">
        <v>1</v>
      </c>
      <c r="C5" s="33" t="s">
        <v>4</v>
      </c>
      <c r="D5" s="34" t="s">
        <v>5</v>
      </c>
      <c r="E5" s="33" t="s">
        <v>6</v>
      </c>
      <c r="F5" s="33" t="s">
        <v>2</v>
      </c>
      <c r="G5" s="33" t="s">
        <v>7</v>
      </c>
      <c r="H5" s="33" t="s">
        <v>2</v>
      </c>
      <c r="I5" s="86" t="s">
        <v>119</v>
      </c>
      <c r="J5" s="86" t="s">
        <v>122</v>
      </c>
      <c r="K5" s="86">
        <v>2</v>
      </c>
      <c r="L5" s="86">
        <v>3</v>
      </c>
      <c r="M5" s="86">
        <v>4</v>
      </c>
      <c r="N5" s="86">
        <v>5</v>
      </c>
      <c r="O5" s="86">
        <v>6</v>
      </c>
      <c r="P5" s="86">
        <v>7</v>
      </c>
      <c r="Q5" s="86">
        <v>8</v>
      </c>
      <c r="R5" s="86">
        <v>9</v>
      </c>
      <c r="S5" s="86">
        <v>10</v>
      </c>
      <c r="T5" s="86">
        <v>11</v>
      </c>
      <c r="U5" s="86">
        <v>12</v>
      </c>
      <c r="V5" s="86" t="s">
        <v>174</v>
      </c>
      <c r="W5" s="86">
        <v>2</v>
      </c>
      <c r="X5" s="86">
        <v>3</v>
      </c>
      <c r="Y5" s="86">
        <v>4</v>
      </c>
      <c r="Z5" s="86">
        <v>5</v>
      </c>
      <c r="AA5" s="86">
        <v>6</v>
      </c>
      <c r="AB5" s="86">
        <v>7</v>
      </c>
      <c r="AC5" s="86">
        <v>8</v>
      </c>
      <c r="AD5" s="86">
        <v>9</v>
      </c>
      <c r="AE5" s="86">
        <v>10</v>
      </c>
      <c r="AF5" s="86">
        <v>11</v>
      </c>
      <c r="AG5" s="86">
        <v>12</v>
      </c>
      <c r="AH5" s="86" t="s">
        <v>198</v>
      </c>
      <c r="AI5" s="86">
        <v>2</v>
      </c>
      <c r="AJ5" s="86">
        <v>3</v>
      </c>
      <c r="AK5" s="86">
        <v>4</v>
      </c>
      <c r="AM5" s="34" t="s">
        <v>5</v>
      </c>
      <c r="AN5" s="33" t="s">
        <v>2</v>
      </c>
      <c r="AO5" s="101">
        <v>48</v>
      </c>
      <c r="AP5" s="101">
        <v>49</v>
      </c>
      <c r="AQ5" s="101">
        <v>50</v>
      </c>
      <c r="AR5" s="101">
        <v>51</v>
      </c>
      <c r="AS5" s="101">
        <v>52</v>
      </c>
      <c r="AT5" s="90" t="s">
        <v>121</v>
      </c>
      <c r="AU5" s="90" t="s">
        <v>123</v>
      </c>
      <c r="AV5" s="90" t="s">
        <v>124</v>
      </c>
      <c r="AW5" s="90" t="s">
        <v>125</v>
      </c>
      <c r="AX5" s="90" t="s">
        <v>126</v>
      </c>
      <c r="AY5" s="90" t="s">
        <v>142</v>
      </c>
      <c r="AZ5" s="90" t="s">
        <v>143</v>
      </c>
      <c r="BA5" s="90" t="s">
        <v>144</v>
      </c>
      <c r="BB5" s="90" t="s">
        <v>145</v>
      </c>
      <c r="BC5" s="90" t="s">
        <v>146</v>
      </c>
      <c r="BD5" s="90" t="s">
        <v>147</v>
      </c>
      <c r="BE5" s="90" t="s">
        <v>148</v>
      </c>
      <c r="BF5" s="90" t="s">
        <v>149</v>
      </c>
      <c r="BG5" s="90" t="s">
        <v>150</v>
      </c>
      <c r="BH5" s="90" t="s">
        <v>151</v>
      </c>
      <c r="BI5" s="90" t="s">
        <v>152</v>
      </c>
      <c r="BJ5" s="90" t="s">
        <v>153</v>
      </c>
      <c r="BK5" s="90" t="s">
        <v>154</v>
      </c>
      <c r="BL5" s="90" t="s">
        <v>155</v>
      </c>
      <c r="BM5" s="90" t="s">
        <v>162</v>
      </c>
      <c r="BN5" s="90" t="s">
        <v>163</v>
      </c>
      <c r="BO5" s="90" t="s">
        <v>164</v>
      </c>
      <c r="BP5" s="90" t="s">
        <v>165</v>
      </c>
      <c r="BQ5" s="90" t="s">
        <v>166</v>
      </c>
      <c r="BR5" s="90" t="s">
        <v>167</v>
      </c>
      <c r="BS5" s="90" t="s">
        <v>168</v>
      </c>
      <c r="BT5" s="90" t="s">
        <v>169</v>
      </c>
      <c r="BU5" s="90" t="s">
        <v>170</v>
      </c>
      <c r="BV5" s="90" t="s">
        <v>171</v>
      </c>
      <c r="BW5" s="90" t="s">
        <v>172</v>
      </c>
      <c r="BX5" s="90" t="s">
        <v>173</v>
      </c>
      <c r="BY5" s="90">
        <v>34</v>
      </c>
      <c r="BZ5" s="90">
        <v>35</v>
      </c>
      <c r="CA5" s="90">
        <v>36</v>
      </c>
      <c r="CB5" s="90">
        <v>37</v>
      </c>
      <c r="CC5" s="90">
        <v>38</v>
      </c>
      <c r="CD5" s="90">
        <v>39</v>
      </c>
      <c r="CE5" s="90">
        <v>40</v>
      </c>
      <c r="CF5" s="90">
        <v>41</v>
      </c>
      <c r="CG5" s="90">
        <v>42</v>
      </c>
      <c r="CH5" s="90">
        <v>43</v>
      </c>
      <c r="CI5" s="90">
        <v>44</v>
      </c>
      <c r="CJ5" s="90">
        <v>45</v>
      </c>
      <c r="CK5" s="90">
        <v>46</v>
      </c>
      <c r="CL5" s="90">
        <v>47</v>
      </c>
      <c r="CM5" s="90">
        <v>48</v>
      </c>
      <c r="CN5" s="90">
        <v>49</v>
      </c>
      <c r="CO5" s="90">
        <v>50</v>
      </c>
      <c r="CP5" s="90">
        <v>51</v>
      </c>
      <c r="CQ5" s="90">
        <v>52</v>
      </c>
      <c r="CR5" s="90" t="s">
        <v>121</v>
      </c>
      <c r="CS5" s="90" t="s">
        <v>123</v>
      </c>
      <c r="CT5" s="90" t="s">
        <v>124</v>
      </c>
      <c r="CU5" s="90" t="s">
        <v>125</v>
      </c>
      <c r="CV5" s="90" t="s">
        <v>175</v>
      </c>
      <c r="CW5" s="90" t="s">
        <v>177</v>
      </c>
      <c r="CX5" s="90" t="s">
        <v>142</v>
      </c>
      <c r="CY5" s="90" t="s">
        <v>143</v>
      </c>
      <c r="CZ5" s="90" t="s">
        <v>144</v>
      </c>
      <c r="DA5" s="90" t="s">
        <v>145</v>
      </c>
      <c r="DB5" s="90" t="s">
        <v>146</v>
      </c>
      <c r="DC5" s="90" t="s">
        <v>147</v>
      </c>
      <c r="DD5" s="90" t="s">
        <v>148</v>
      </c>
      <c r="DE5" s="90" t="s">
        <v>149</v>
      </c>
      <c r="DF5" s="90" t="s">
        <v>150</v>
      </c>
      <c r="DG5" s="90" t="s">
        <v>151</v>
      </c>
      <c r="DH5" s="90" t="s">
        <v>152</v>
      </c>
      <c r="DI5" s="90" t="s">
        <v>153</v>
      </c>
      <c r="DJ5" s="90" t="s">
        <v>154</v>
      </c>
      <c r="DK5" s="90" t="s">
        <v>155</v>
      </c>
      <c r="DL5" s="90" t="s">
        <v>162</v>
      </c>
      <c r="DM5" s="90" t="s">
        <v>163</v>
      </c>
      <c r="DN5" s="90" t="s">
        <v>164</v>
      </c>
      <c r="DO5" s="90" t="s">
        <v>165</v>
      </c>
      <c r="DP5" s="90" t="s">
        <v>166</v>
      </c>
      <c r="DQ5" s="90" t="s">
        <v>167</v>
      </c>
      <c r="DR5" s="90" t="s">
        <v>168</v>
      </c>
      <c r="DS5" s="90" t="s">
        <v>169</v>
      </c>
      <c r="DT5" s="90" t="s">
        <v>170</v>
      </c>
      <c r="DU5" s="90" t="s">
        <v>171</v>
      </c>
      <c r="DV5" s="90" t="s">
        <v>172</v>
      </c>
      <c r="DW5" s="90" t="s">
        <v>173</v>
      </c>
      <c r="DX5" s="90" t="s">
        <v>179</v>
      </c>
      <c r="DY5" s="90" t="s">
        <v>180</v>
      </c>
      <c r="DZ5" s="90" t="s">
        <v>181</v>
      </c>
      <c r="EA5" s="90" t="s">
        <v>182</v>
      </c>
      <c r="EB5" s="90" t="s">
        <v>183</v>
      </c>
      <c r="EC5" s="90" t="s">
        <v>184</v>
      </c>
      <c r="ED5" s="90">
        <v>40</v>
      </c>
      <c r="EE5" s="90">
        <v>41</v>
      </c>
      <c r="EF5" s="90">
        <v>42</v>
      </c>
      <c r="EG5" s="90">
        <v>43</v>
      </c>
      <c r="EH5" s="90">
        <v>44</v>
      </c>
      <c r="EI5" s="90">
        <v>45</v>
      </c>
      <c r="EJ5" s="90">
        <v>46</v>
      </c>
      <c r="EK5" s="90">
        <v>47</v>
      </c>
      <c r="EL5" s="90">
        <v>48</v>
      </c>
      <c r="EM5" s="90">
        <v>49</v>
      </c>
      <c r="EN5" s="90">
        <v>50</v>
      </c>
      <c r="EO5" s="90">
        <v>51</v>
      </c>
      <c r="EP5" s="90">
        <v>52</v>
      </c>
      <c r="EQ5" s="90" t="s">
        <v>121</v>
      </c>
      <c r="ER5" s="90" t="s">
        <v>123</v>
      </c>
      <c r="ES5" s="90" t="s">
        <v>124</v>
      </c>
      <c r="ET5" s="90" t="s">
        <v>125</v>
      </c>
      <c r="EU5" s="90" t="s">
        <v>126</v>
      </c>
      <c r="EV5" s="90" t="s">
        <v>175</v>
      </c>
      <c r="EW5" s="90" t="s">
        <v>177</v>
      </c>
      <c r="EX5" s="90" t="s">
        <v>142</v>
      </c>
      <c r="EY5" s="90" t="s">
        <v>143</v>
      </c>
      <c r="EZ5" s="182">
        <v>10</v>
      </c>
      <c r="FA5" s="182">
        <v>11</v>
      </c>
      <c r="FB5" s="182">
        <v>12</v>
      </c>
      <c r="FC5" s="182">
        <v>13</v>
      </c>
    </row>
    <row r="6" spans="1:159" ht="14">
      <c r="A6" s="9">
        <v>5</v>
      </c>
      <c r="B6" s="11" t="s">
        <v>25</v>
      </c>
      <c r="C6" s="11" t="s">
        <v>26</v>
      </c>
      <c r="D6" s="9"/>
      <c r="E6" s="11" t="s">
        <v>28</v>
      </c>
      <c r="F6" s="11" t="s">
        <v>29</v>
      </c>
      <c r="G6" s="9" t="s">
        <v>24</v>
      </c>
      <c r="H6" s="11" t="s">
        <v>137</v>
      </c>
      <c r="I6" s="50">
        <v>810</v>
      </c>
      <c r="J6" s="50">
        <v>810</v>
      </c>
      <c r="K6" s="50">
        <v>840</v>
      </c>
      <c r="L6" s="50">
        <v>880</v>
      </c>
      <c r="M6" s="50">
        <v>900</v>
      </c>
      <c r="N6" s="50">
        <v>900</v>
      </c>
      <c r="O6" s="50">
        <v>900</v>
      </c>
      <c r="P6" s="50">
        <v>900</v>
      </c>
      <c r="Q6" s="50">
        <v>900</v>
      </c>
      <c r="R6" s="50">
        <v>860</v>
      </c>
      <c r="S6" s="50">
        <v>855</v>
      </c>
      <c r="T6" s="50">
        <v>855</v>
      </c>
      <c r="U6" s="50">
        <v>855</v>
      </c>
      <c r="V6" s="50">
        <f>+SUM(CR6:CU6)/COUNT(CR6:CU6)</f>
        <v>855</v>
      </c>
      <c r="W6" s="50">
        <f>+SUM(CV6:CY6)/COUNT(CV6:CY6)</f>
        <v>780</v>
      </c>
      <c r="X6" s="50">
        <f>+SUM(CZ6:DC6)/COUNT(CZ6:DC6)</f>
        <v>790</v>
      </c>
      <c r="Y6" s="50">
        <v>785</v>
      </c>
      <c r="Z6" s="50">
        <v>765</v>
      </c>
      <c r="AA6" s="50">
        <v>765</v>
      </c>
      <c r="AB6" s="50">
        <v>680</v>
      </c>
      <c r="AC6" s="50">
        <f>680-20</f>
        <v>660</v>
      </c>
      <c r="AD6" s="50">
        <f>680-20</f>
        <v>660</v>
      </c>
      <c r="AE6" s="50">
        <v>650</v>
      </c>
      <c r="AF6" s="50">
        <v>650</v>
      </c>
      <c r="AG6" s="50">
        <v>650</v>
      </c>
      <c r="AH6" s="50">
        <v>650</v>
      </c>
      <c r="AI6" s="50">
        <v>650</v>
      </c>
      <c r="AJ6" s="50">
        <v>680</v>
      </c>
      <c r="AK6" s="50"/>
      <c r="AM6" s="9"/>
      <c r="AN6" s="11" t="s">
        <v>137</v>
      </c>
      <c r="AO6" s="50">
        <v>810</v>
      </c>
      <c r="AP6" s="50">
        <v>810</v>
      </c>
      <c r="AQ6" s="50">
        <v>810</v>
      </c>
      <c r="AR6" s="50">
        <v>810</v>
      </c>
      <c r="AS6" s="50">
        <v>810</v>
      </c>
      <c r="AT6" s="50">
        <v>810</v>
      </c>
      <c r="AU6" s="50">
        <v>810</v>
      </c>
      <c r="AV6" s="50">
        <v>810</v>
      </c>
      <c r="AW6" s="50">
        <v>810</v>
      </c>
      <c r="AX6" s="50">
        <v>840</v>
      </c>
      <c r="AY6" s="50">
        <v>840</v>
      </c>
      <c r="AZ6" s="50">
        <v>840</v>
      </c>
      <c r="BA6" s="50">
        <v>880</v>
      </c>
      <c r="BB6" s="50">
        <v>880</v>
      </c>
      <c r="BC6" s="50">
        <v>880</v>
      </c>
      <c r="BD6" s="50">
        <v>880</v>
      </c>
      <c r="BE6" s="50">
        <v>900</v>
      </c>
      <c r="BF6" s="50">
        <v>900</v>
      </c>
      <c r="BG6" s="50">
        <v>900</v>
      </c>
      <c r="BH6" s="50">
        <v>900</v>
      </c>
      <c r="BI6" s="50">
        <v>900</v>
      </c>
      <c r="BJ6" s="50">
        <v>900</v>
      </c>
      <c r="BK6" s="50">
        <v>900</v>
      </c>
      <c r="BL6" s="50">
        <v>900</v>
      </c>
      <c r="BM6" s="50">
        <v>900</v>
      </c>
      <c r="BN6" s="50">
        <v>900</v>
      </c>
      <c r="BO6" s="50">
        <v>900</v>
      </c>
      <c r="BP6" s="50">
        <v>900</v>
      </c>
      <c r="BQ6" s="50">
        <v>900</v>
      </c>
      <c r="BR6" s="50">
        <v>900</v>
      </c>
      <c r="BS6" s="50">
        <v>900</v>
      </c>
      <c r="BT6" s="50">
        <v>900</v>
      </c>
      <c r="BU6" s="50">
        <v>900</v>
      </c>
      <c r="BV6" s="50">
        <v>900</v>
      </c>
      <c r="BW6" s="50">
        <v>900</v>
      </c>
      <c r="BX6" s="50">
        <v>900</v>
      </c>
      <c r="BY6" s="50">
        <v>900</v>
      </c>
      <c r="BZ6" s="50">
        <v>900</v>
      </c>
      <c r="CA6" s="50">
        <v>860</v>
      </c>
      <c r="CB6" s="50">
        <v>860</v>
      </c>
      <c r="CC6" s="50">
        <v>860</v>
      </c>
      <c r="CD6" s="50">
        <v>860</v>
      </c>
      <c r="CE6" s="50">
        <v>855</v>
      </c>
      <c r="CF6" s="50">
        <v>855</v>
      </c>
      <c r="CG6" s="50">
        <v>855</v>
      </c>
      <c r="CH6" s="50">
        <v>855</v>
      </c>
      <c r="CI6" s="50">
        <v>855</v>
      </c>
      <c r="CJ6" s="50">
        <v>855</v>
      </c>
      <c r="CK6" s="50">
        <v>855</v>
      </c>
      <c r="CL6" s="50">
        <v>855</v>
      </c>
      <c r="CM6" s="50">
        <v>855</v>
      </c>
      <c r="CN6" s="50">
        <v>855</v>
      </c>
      <c r="CO6" s="50">
        <v>855</v>
      </c>
      <c r="CP6" s="50">
        <v>855</v>
      </c>
      <c r="CQ6" s="50">
        <v>855</v>
      </c>
      <c r="CR6" s="50">
        <v>855</v>
      </c>
      <c r="CS6" s="50">
        <v>855</v>
      </c>
      <c r="CT6" s="50">
        <v>855</v>
      </c>
      <c r="CU6" s="50">
        <v>855</v>
      </c>
      <c r="CV6" s="50">
        <v>780</v>
      </c>
      <c r="CW6" s="50">
        <v>780</v>
      </c>
      <c r="CX6" s="50">
        <v>780</v>
      </c>
      <c r="CY6" s="50">
        <v>780</v>
      </c>
      <c r="CZ6" s="50">
        <v>790</v>
      </c>
      <c r="DA6" s="50">
        <v>790</v>
      </c>
      <c r="DB6" s="50">
        <v>790</v>
      </c>
      <c r="DC6" s="50">
        <v>790</v>
      </c>
      <c r="DD6" s="50">
        <v>785</v>
      </c>
      <c r="DE6" s="50">
        <v>785</v>
      </c>
      <c r="DF6" s="50">
        <v>785</v>
      </c>
      <c r="DG6" s="50">
        <v>785</v>
      </c>
      <c r="DH6" s="50">
        <v>765</v>
      </c>
      <c r="DI6" s="50">
        <v>765</v>
      </c>
      <c r="DJ6" s="50">
        <v>765</v>
      </c>
      <c r="DK6" s="50">
        <v>765</v>
      </c>
      <c r="DL6" s="50">
        <v>765</v>
      </c>
      <c r="DM6" s="50">
        <v>765</v>
      </c>
      <c r="DN6" s="50">
        <v>765</v>
      </c>
      <c r="DO6" s="50">
        <v>765</v>
      </c>
      <c r="DP6" s="50">
        <v>765</v>
      </c>
      <c r="DQ6" s="50">
        <v>680</v>
      </c>
      <c r="DR6" s="50">
        <v>680</v>
      </c>
      <c r="DS6" s="50">
        <v>680</v>
      </c>
      <c r="DT6" s="50">
        <v>680</v>
      </c>
      <c r="DU6" s="50">
        <v>680</v>
      </c>
      <c r="DV6" s="50">
        <f>680-20</f>
        <v>660</v>
      </c>
      <c r="DW6" s="50">
        <f t="shared" ref="DW6:EC6" si="0">680-20</f>
        <v>660</v>
      </c>
      <c r="DX6" s="50">
        <f t="shared" si="0"/>
        <v>660</v>
      </c>
      <c r="DY6" s="50">
        <f t="shared" si="0"/>
        <v>660</v>
      </c>
      <c r="DZ6" s="50">
        <f t="shared" si="0"/>
        <v>660</v>
      </c>
      <c r="EA6" s="50">
        <f t="shared" si="0"/>
        <v>660</v>
      </c>
      <c r="EB6" s="50">
        <f t="shared" si="0"/>
        <v>660</v>
      </c>
      <c r="EC6" s="50">
        <f t="shared" si="0"/>
        <v>660</v>
      </c>
      <c r="ED6" s="50">
        <v>650</v>
      </c>
      <c r="EE6" s="50">
        <v>650</v>
      </c>
      <c r="EF6" s="50">
        <v>650</v>
      </c>
      <c r="EG6" s="50">
        <v>650</v>
      </c>
      <c r="EH6" s="50">
        <v>650</v>
      </c>
      <c r="EI6" s="50">
        <v>650</v>
      </c>
      <c r="EJ6" s="50">
        <v>650</v>
      </c>
      <c r="EK6" s="50">
        <v>650</v>
      </c>
      <c r="EL6" s="50">
        <v>650</v>
      </c>
      <c r="EM6" s="50">
        <v>650</v>
      </c>
      <c r="EN6" s="50">
        <v>650</v>
      </c>
      <c r="EO6" s="50">
        <v>650</v>
      </c>
      <c r="EP6" s="50">
        <v>650</v>
      </c>
      <c r="EQ6" s="50">
        <v>650</v>
      </c>
      <c r="ER6" s="50">
        <v>650</v>
      </c>
      <c r="ES6" s="50">
        <v>650</v>
      </c>
      <c r="ET6" s="50">
        <v>650</v>
      </c>
      <c r="EU6" s="50">
        <v>650</v>
      </c>
      <c r="EV6" s="50">
        <v>650</v>
      </c>
      <c r="EW6" s="50">
        <v>650</v>
      </c>
      <c r="EX6" s="50">
        <v>650</v>
      </c>
      <c r="EY6" s="50">
        <v>650</v>
      </c>
      <c r="EZ6" s="50">
        <v>680</v>
      </c>
      <c r="FA6" s="50">
        <v>680</v>
      </c>
      <c r="FB6" s="50">
        <f>680+50</f>
        <v>730</v>
      </c>
      <c r="FC6" s="50">
        <f>680+50</f>
        <v>730</v>
      </c>
    </row>
    <row r="7" spans="1:159" ht="14">
      <c r="D7" s="54" t="s">
        <v>41</v>
      </c>
      <c r="E7" s="25"/>
      <c r="F7" s="59" t="s">
        <v>94</v>
      </c>
      <c r="G7" s="54" t="s">
        <v>24</v>
      </c>
      <c r="H7" s="111" t="s">
        <v>130</v>
      </c>
      <c r="I7" s="129">
        <f>+SUM(AO7:AS7)/COUNT(AO7:AS7)</f>
        <v>926</v>
      </c>
      <c r="J7" s="129">
        <f>+SUM(AT7:AW7)/COUNT(AT7:AW7)</f>
        <v>962.5</v>
      </c>
      <c r="K7" s="129">
        <f>+SUM(AX7:AZ7)/COUNT(AX7:AZ7)</f>
        <v>986.66666666666663</v>
      </c>
      <c r="L7" s="129">
        <f>+SUM(BA7:BD7)/COUNT(BA7:BD7)</f>
        <v>990</v>
      </c>
      <c r="M7" s="129">
        <f>+SUM(BE7:BH7)/COUNT(BE7:BH7)</f>
        <v>992.5</v>
      </c>
      <c r="N7" s="129">
        <f>+SUM(BI7:BM7)/COUNT(BI7:BM7)</f>
        <v>1002</v>
      </c>
      <c r="O7" s="129">
        <f>+SUM(BN7:BQ7)/COUNT(BN7:BQ7)</f>
        <v>1025</v>
      </c>
      <c r="P7" s="129">
        <f>+SUM(BR7:BU7)/COUNT(BR7:BU7)</f>
        <v>1020</v>
      </c>
      <c r="Q7" s="129">
        <f>+SUM(BV7:BZ7)/COUNT(BV7:BZ7)</f>
        <v>970</v>
      </c>
      <c r="R7" s="129">
        <f>+SUM(CA7:CD7)/COUNT(CA7:CD7)</f>
        <v>955</v>
      </c>
      <c r="S7" s="129">
        <f>+SUM(CE7:CH7)/COUNT(CE7:CH7)</f>
        <v>955</v>
      </c>
      <c r="T7" s="129">
        <f>+SUM(CI7:CM7)/COUNT(CI7:CM7)</f>
        <v>968</v>
      </c>
      <c r="U7" s="129">
        <f>+SUM(CN7:CQ7)/COUNT(CN7:CQ7)</f>
        <v>960</v>
      </c>
      <c r="V7" s="129">
        <f>+SUM(CR7:CU7)/COUNT(CR7:CU7)</f>
        <v>970</v>
      </c>
      <c r="W7" s="129">
        <f>+SUM(CV7:CY7)/COUNT(CV7:CY7)</f>
        <v>985</v>
      </c>
      <c r="X7" s="129">
        <f>+SUM(CZ7:DC7)/COUNT(CZ7:DC7)</f>
        <v>980</v>
      </c>
      <c r="Y7" s="129">
        <f>+SUM(DD7:DG7)/COUNT(DD7:DG7)</f>
        <v>965</v>
      </c>
      <c r="Z7" s="129">
        <f>+SUM(DH7:DL7)/COUNT(DH7:DL7)</f>
        <v>932</v>
      </c>
      <c r="AA7" s="129">
        <f>+SUM(DM7:DP7)/COUNT(DM7:DP7)</f>
        <v>922.5</v>
      </c>
      <c r="AB7" s="129">
        <f>+SUM(DQ7:DU7)/COUNT(DQ7:DU7)</f>
        <v>918</v>
      </c>
      <c r="AC7" s="129">
        <f>+SUM(DV7:DY7)/COUNT(DV7:DY7)</f>
        <v>895</v>
      </c>
      <c r="AD7" s="129">
        <f>+SUM(DZ7:EC7)/COUNT(DZ7:EC7)</f>
        <v>870</v>
      </c>
      <c r="AE7" s="129">
        <f>+SUM(ED7:EH7)/COUNT(ED7:EH7)</f>
        <v>842</v>
      </c>
      <c r="AF7" s="129">
        <f>+SUM(EI7:EL7)/COUNT(EI7:EL7)</f>
        <v>827.5</v>
      </c>
      <c r="AG7" s="129">
        <f>+SUM(EM7:EP7)/COUNT(EM7:EP7)</f>
        <v>820</v>
      </c>
      <c r="AH7" s="129">
        <f>+SUM(EQ7:EU7)/COUNT(EQ7:EU7)</f>
        <v>816</v>
      </c>
      <c r="AI7" s="129">
        <f>+SUM(EV7:EY7)/COUNT(EV7:EY7)</f>
        <v>847.5</v>
      </c>
      <c r="AJ7" s="129">
        <f>+SUM(EZ7:FC7)/COUNT(EZ7:FC7)</f>
        <v>1250</v>
      </c>
      <c r="AK7" s="129">
        <v>1400</v>
      </c>
      <c r="AM7" s="54" t="s">
        <v>41</v>
      </c>
      <c r="AN7" s="111" t="s">
        <v>130</v>
      </c>
      <c r="AO7" s="118">
        <v>920</v>
      </c>
      <c r="AP7" s="118">
        <v>920</v>
      </c>
      <c r="AQ7" s="118">
        <v>930</v>
      </c>
      <c r="AR7" s="118">
        <v>930</v>
      </c>
      <c r="AS7" s="118">
        <v>930</v>
      </c>
      <c r="AT7" s="118">
        <v>930</v>
      </c>
      <c r="AU7" s="118">
        <v>970</v>
      </c>
      <c r="AV7" s="118">
        <v>970</v>
      </c>
      <c r="AW7" s="118">
        <v>980</v>
      </c>
      <c r="AX7" s="118">
        <v>1000</v>
      </c>
      <c r="AY7" s="118">
        <v>980</v>
      </c>
      <c r="AZ7" s="118">
        <v>980</v>
      </c>
      <c r="BA7" s="118">
        <v>980</v>
      </c>
      <c r="BB7" s="118">
        <v>980</v>
      </c>
      <c r="BC7" s="118">
        <v>1000</v>
      </c>
      <c r="BD7" s="118">
        <v>1000</v>
      </c>
      <c r="BE7" s="118">
        <v>1000</v>
      </c>
      <c r="BF7" s="118">
        <v>990</v>
      </c>
      <c r="BG7" s="118">
        <v>990</v>
      </c>
      <c r="BH7" s="118">
        <v>990</v>
      </c>
      <c r="BI7" s="118">
        <v>990</v>
      </c>
      <c r="BJ7" s="118">
        <v>1000</v>
      </c>
      <c r="BK7" s="118">
        <v>1000</v>
      </c>
      <c r="BL7" s="118">
        <v>1000</v>
      </c>
      <c r="BM7" s="118">
        <v>1020</v>
      </c>
      <c r="BN7" s="118">
        <v>1020</v>
      </c>
      <c r="BO7" s="118">
        <v>1020</v>
      </c>
      <c r="BP7" s="118">
        <v>1030</v>
      </c>
      <c r="BQ7" s="118">
        <v>1030</v>
      </c>
      <c r="BR7" s="118">
        <v>1030</v>
      </c>
      <c r="BS7" s="118">
        <v>1030</v>
      </c>
      <c r="BT7" s="118">
        <v>1030</v>
      </c>
      <c r="BU7" s="118">
        <v>990</v>
      </c>
      <c r="BV7" s="118">
        <v>980</v>
      </c>
      <c r="BW7" s="118">
        <v>980</v>
      </c>
      <c r="BX7" s="118">
        <v>970</v>
      </c>
      <c r="BY7" s="118">
        <v>960</v>
      </c>
      <c r="BZ7" s="118">
        <v>960</v>
      </c>
      <c r="CA7" s="118">
        <v>960</v>
      </c>
      <c r="CB7" s="118">
        <v>960</v>
      </c>
      <c r="CC7" s="118">
        <v>950</v>
      </c>
      <c r="CD7" s="118">
        <v>950</v>
      </c>
      <c r="CE7" s="118">
        <v>950</v>
      </c>
      <c r="CF7" s="118">
        <v>950</v>
      </c>
      <c r="CG7" s="118">
        <v>950</v>
      </c>
      <c r="CH7" s="118">
        <v>970</v>
      </c>
      <c r="CI7" s="118">
        <v>970</v>
      </c>
      <c r="CJ7" s="118">
        <v>970</v>
      </c>
      <c r="CK7" s="118">
        <v>970</v>
      </c>
      <c r="CL7" s="118">
        <v>970</v>
      </c>
      <c r="CM7" s="118">
        <v>960</v>
      </c>
      <c r="CN7" s="118">
        <v>960</v>
      </c>
      <c r="CO7" s="118">
        <v>960</v>
      </c>
      <c r="CP7" s="118">
        <v>960</v>
      </c>
      <c r="CQ7" s="118">
        <v>960</v>
      </c>
      <c r="CR7" s="118">
        <v>960</v>
      </c>
      <c r="CS7" s="118">
        <v>970</v>
      </c>
      <c r="CT7" s="118">
        <v>970</v>
      </c>
      <c r="CU7" s="118">
        <v>980</v>
      </c>
      <c r="CV7" s="118">
        <v>970</v>
      </c>
      <c r="CW7" s="118">
        <v>1000</v>
      </c>
      <c r="CX7" s="118">
        <v>990</v>
      </c>
      <c r="CY7" s="118">
        <v>980</v>
      </c>
      <c r="CZ7" s="118">
        <v>980</v>
      </c>
      <c r="DA7" s="118">
        <v>980</v>
      </c>
      <c r="DB7" s="118">
        <v>980</v>
      </c>
      <c r="DC7" s="118">
        <v>980</v>
      </c>
      <c r="DD7" s="118">
        <v>980</v>
      </c>
      <c r="DE7" s="118">
        <v>970</v>
      </c>
      <c r="DF7" s="118">
        <v>960</v>
      </c>
      <c r="DG7" s="118">
        <v>950</v>
      </c>
      <c r="DH7" s="118">
        <v>950</v>
      </c>
      <c r="DI7" s="118">
        <v>930</v>
      </c>
      <c r="DJ7" s="118">
        <v>930</v>
      </c>
      <c r="DK7" s="118">
        <v>930</v>
      </c>
      <c r="DL7" s="118">
        <v>920</v>
      </c>
      <c r="DM7" s="118">
        <v>920</v>
      </c>
      <c r="DN7" s="118">
        <v>910</v>
      </c>
      <c r="DO7" s="118">
        <v>930</v>
      </c>
      <c r="DP7" s="118">
        <v>930</v>
      </c>
      <c r="DQ7" s="118">
        <v>930</v>
      </c>
      <c r="DR7" s="118">
        <v>930</v>
      </c>
      <c r="DS7" s="118">
        <v>930</v>
      </c>
      <c r="DT7" s="118">
        <v>900</v>
      </c>
      <c r="DU7" s="118">
        <v>900</v>
      </c>
      <c r="DV7" s="118">
        <v>900</v>
      </c>
      <c r="DW7" s="118">
        <v>900</v>
      </c>
      <c r="DX7" s="118">
        <v>890</v>
      </c>
      <c r="DY7" s="118">
        <v>890</v>
      </c>
      <c r="DZ7" s="118">
        <v>890</v>
      </c>
      <c r="EA7" s="118">
        <v>870</v>
      </c>
      <c r="EB7" s="118">
        <v>870</v>
      </c>
      <c r="EC7" s="118">
        <v>850</v>
      </c>
      <c r="ED7" s="118">
        <v>850</v>
      </c>
      <c r="EE7" s="118">
        <v>850</v>
      </c>
      <c r="EF7" s="118">
        <v>840</v>
      </c>
      <c r="EG7" s="118">
        <v>840</v>
      </c>
      <c r="EH7" s="118">
        <v>830</v>
      </c>
      <c r="EI7" s="118">
        <v>830</v>
      </c>
      <c r="EJ7" s="118">
        <v>830</v>
      </c>
      <c r="EK7" s="118">
        <v>830</v>
      </c>
      <c r="EL7" s="118">
        <v>820</v>
      </c>
      <c r="EM7" s="118">
        <v>820</v>
      </c>
      <c r="EN7" s="118">
        <v>820</v>
      </c>
      <c r="EO7" s="118">
        <v>820</v>
      </c>
      <c r="EP7" s="118">
        <v>820</v>
      </c>
      <c r="EQ7" s="118">
        <v>810</v>
      </c>
      <c r="ER7" s="118">
        <v>810</v>
      </c>
      <c r="ES7" s="118">
        <v>820</v>
      </c>
      <c r="ET7" s="118">
        <v>820</v>
      </c>
      <c r="EU7" s="118">
        <v>820</v>
      </c>
      <c r="EV7" s="118">
        <v>840</v>
      </c>
      <c r="EW7" s="118">
        <v>850</v>
      </c>
      <c r="EX7" s="118">
        <v>850</v>
      </c>
      <c r="EY7" s="118">
        <v>850</v>
      </c>
      <c r="EZ7" s="118">
        <f>(950+1050)/2</f>
        <v>1000</v>
      </c>
      <c r="FA7" s="118">
        <v>1200</v>
      </c>
      <c r="FB7" s="118">
        <v>1400</v>
      </c>
      <c r="FC7" s="118">
        <v>1400</v>
      </c>
    </row>
    <row r="8" spans="1:159" ht="14">
      <c r="F8" s="117"/>
      <c r="H8" s="117" t="s">
        <v>82</v>
      </c>
      <c r="I8" s="131">
        <f t="shared" ref="I8:N8" si="1">I7</f>
        <v>926</v>
      </c>
      <c r="J8" s="131">
        <f t="shared" si="1"/>
        <v>962.5</v>
      </c>
      <c r="K8" s="131">
        <f t="shared" si="1"/>
        <v>986.66666666666663</v>
      </c>
      <c r="L8" s="131">
        <f t="shared" si="1"/>
        <v>990</v>
      </c>
      <c r="M8" s="131">
        <f t="shared" si="1"/>
        <v>992.5</v>
      </c>
      <c r="N8" s="131">
        <f t="shared" si="1"/>
        <v>1002</v>
      </c>
      <c r="O8" s="131">
        <f t="shared" ref="O8:P8" si="2">O7</f>
        <v>1025</v>
      </c>
      <c r="P8" s="131">
        <f t="shared" si="2"/>
        <v>1020</v>
      </c>
      <c r="Q8" s="131">
        <f t="shared" ref="Q8:R8" si="3">Q7</f>
        <v>970</v>
      </c>
      <c r="R8" s="131">
        <f t="shared" si="3"/>
        <v>955</v>
      </c>
      <c r="S8" s="131">
        <f t="shared" ref="S8:T8" si="4">S7</f>
        <v>955</v>
      </c>
      <c r="T8" s="131">
        <f t="shared" si="4"/>
        <v>968</v>
      </c>
      <c r="U8" s="131">
        <f t="shared" ref="U8:V8" si="5">U7</f>
        <v>960</v>
      </c>
      <c r="V8" s="131">
        <f t="shared" si="5"/>
        <v>970</v>
      </c>
      <c r="W8" s="131">
        <f t="shared" ref="W8:X8" si="6">W7</f>
        <v>985</v>
      </c>
      <c r="X8" s="131">
        <f t="shared" si="6"/>
        <v>980</v>
      </c>
      <c r="Y8" s="131">
        <f t="shared" ref="Y8:Z8" si="7">Y7</f>
        <v>965</v>
      </c>
      <c r="Z8" s="131">
        <f t="shared" si="7"/>
        <v>932</v>
      </c>
      <c r="AA8" s="131">
        <f t="shared" ref="AA8:AB8" si="8">AA7</f>
        <v>922.5</v>
      </c>
      <c r="AB8" s="131">
        <f t="shared" si="8"/>
        <v>918</v>
      </c>
      <c r="AC8" s="131">
        <f t="shared" ref="AC8:AD8" si="9">AC7</f>
        <v>895</v>
      </c>
      <c r="AD8" s="131">
        <f t="shared" si="9"/>
        <v>870</v>
      </c>
      <c r="AE8" s="131">
        <f t="shared" ref="AE8:AF8" si="10">AE7</f>
        <v>842</v>
      </c>
      <c r="AF8" s="131">
        <f t="shared" si="10"/>
        <v>827.5</v>
      </c>
      <c r="AG8" s="131">
        <f t="shared" ref="AG8:AH8" si="11">AG7</f>
        <v>820</v>
      </c>
      <c r="AH8" s="131">
        <f t="shared" si="11"/>
        <v>816</v>
      </c>
      <c r="AI8" s="131">
        <f t="shared" ref="AI8:AJ8" si="12">AI7</f>
        <v>847.5</v>
      </c>
      <c r="AJ8" s="131">
        <f t="shared" si="12"/>
        <v>1250</v>
      </c>
      <c r="AK8" s="131">
        <f t="shared" ref="AK8" si="13">AK7</f>
        <v>1400</v>
      </c>
      <c r="AN8" s="117" t="s">
        <v>82</v>
      </c>
      <c r="AO8" s="41">
        <f t="shared" ref="AO8:AR8" si="14">AO7</f>
        <v>920</v>
      </c>
      <c r="AP8" s="41">
        <f t="shared" si="14"/>
        <v>920</v>
      </c>
      <c r="AQ8" s="41">
        <f t="shared" si="14"/>
        <v>930</v>
      </c>
      <c r="AR8" s="41">
        <f t="shared" si="14"/>
        <v>930</v>
      </c>
      <c r="AS8" s="41">
        <f t="shared" ref="AS8:AT8" si="15">AS7</f>
        <v>930</v>
      </c>
      <c r="AT8" s="41">
        <f t="shared" si="15"/>
        <v>930</v>
      </c>
      <c r="AU8" s="41">
        <f t="shared" ref="AU8:AV8" si="16">AU7</f>
        <v>970</v>
      </c>
      <c r="AV8" s="41">
        <f t="shared" si="16"/>
        <v>970</v>
      </c>
      <c r="AW8" s="41">
        <f t="shared" ref="AW8:AX8" si="17">AW7</f>
        <v>980</v>
      </c>
      <c r="AX8" s="41">
        <f t="shared" si="17"/>
        <v>1000</v>
      </c>
      <c r="AY8" s="41">
        <f t="shared" ref="AY8:AZ8" si="18">AY7</f>
        <v>980</v>
      </c>
      <c r="AZ8" s="41">
        <f t="shared" si="18"/>
        <v>980</v>
      </c>
      <c r="BA8" s="41">
        <f t="shared" ref="BA8:BB8" si="19">BA7</f>
        <v>980</v>
      </c>
      <c r="BB8" s="41">
        <f t="shared" si="19"/>
        <v>980</v>
      </c>
      <c r="BC8" s="41">
        <f t="shared" ref="BC8:BD8" si="20">BC7</f>
        <v>1000</v>
      </c>
      <c r="BD8" s="41">
        <f t="shared" si="20"/>
        <v>1000</v>
      </c>
      <c r="BE8" s="41">
        <f t="shared" ref="BE8:BF8" si="21">BE7</f>
        <v>1000</v>
      </c>
      <c r="BF8" s="41">
        <f t="shared" si="21"/>
        <v>990</v>
      </c>
      <c r="BG8" s="41">
        <f t="shared" ref="BG8:BH8" si="22">BG7</f>
        <v>990</v>
      </c>
      <c r="BH8" s="41">
        <f t="shared" si="22"/>
        <v>990</v>
      </c>
      <c r="BI8" s="41">
        <f t="shared" ref="BI8:BJ8" si="23">BI7</f>
        <v>990</v>
      </c>
      <c r="BJ8" s="41">
        <f t="shared" si="23"/>
        <v>1000</v>
      </c>
      <c r="BK8" s="41">
        <f t="shared" ref="BK8:BL8" si="24">BK7</f>
        <v>1000</v>
      </c>
      <c r="BL8" s="41">
        <f t="shared" si="24"/>
        <v>1000</v>
      </c>
      <c r="BM8" s="41">
        <f t="shared" ref="BM8:BN8" si="25">BM7</f>
        <v>1020</v>
      </c>
      <c r="BN8" s="41">
        <f t="shared" si="25"/>
        <v>1020</v>
      </c>
      <c r="BO8" s="41">
        <f t="shared" ref="BO8:BP8" si="26">BO7</f>
        <v>1020</v>
      </c>
      <c r="BP8" s="41">
        <f t="shared" si="26"/>
        <v>1030</v>
      </c>
      <c r="BQ8" s="41">
        <f t="shared" ref="BQ8:BR8" si="27">BQ7</f>
        <v>1030</v>
      </c>
      <c r="BR8" s="41">
        <f t="shared" si="27"/>
        <v>1030</v>
      </c>
      <c r="BS8" s="41">
        <f t="shared" ref="BS8:BT8" si="28">BS7</f>
        <v>1030</v>
      </c>
      <c r="BT8" s="41">
        <f t="shared" si="28"/>
        <v>1030</v>
      </c>
      <c r="BU8" s="41">
        <f t="shared" ref="BU8:BV8" si="29">BU7</f>
        <v>990</v>
      </c>
      <c r="BV8" s="41">
        <f t="shared" si="29"/>
        <v>980</v>
      </c>
      <c r="BW8" s="41">
        <f t="shared" ref="BW8:BX8" si="30">BW7</f>
        <v>980</v>
      </c>
      <c r="BX8" s="41">
        <f t="shared" si="30"/>
        <v>970</v>
      </c>
      <c r="BY8" s="41">
        <f t="shared" ref="BY8:CA8" si="31">BY7</f>
        <v>960</v>
      </c>
      <c r="BZ8" s="41">
        <f t="shared" si="31"/>
        <v>960</v>
      </c>
      <c r="CA8" s="41">
        <f t="shared" si="31"/>
        <v>960</v>
      </c>
      <c r="CB8" s="41">
        <f t="shared" ref="CB8:CC8" si="32">CB7</f>
        <v>960</v>
      </c>
      <c r="CC8" s="41">
        <f t="shared" si="32"/>
        <v>950</v>
      </c>
      <c r="CD8" s="41">
        <f t="shared" ref="CD8:CF8" si="33">CD7</f>
        <v>950</v>
      </c>
      <c r="CE8" s="41">
        <f t="shared" si="33"/>
        <v>950</v>
      </c>
      <c r="CF8" s="41">
        <f t="shared" si="33"/>
        <v>950</v>
      </c>
      <c r="CG8" s="41">
        <f t="shared" ref="CG8:CH8" si="34">CG7</f>
        <v>950</v>
      </c>
      <c r="CH8" s="41">
        <f t="shared" si="34"/>
        <v>970</v>
      </c>
      <c r="CI8" s="41">
        <f t="shared" ref="CI8:CM8" si="35">CI7</f>
        <v>970</v>
      </c>
      <c r="CJ8" s="41">
        <f t="shared" si="35"/>
        <v>970</v>
      </c>
      <c r="CK8" s="41">
        <f t="shared" si="35"/>
        <v>970</v>
      </c>
      <c r="CL8" s="41">
        <f t="shared" si="35"/>
        <v>970</v>
      </c>
      <c r="CM8" s="41">
        <f t="shared" si="35"/>
        <v>960</v>
      </c>
      <c r="CN8" s="41">
        <f t="shared" ref="CN8:CQ8" si="36">CN7</f>
        <v>960</v>
      </c>
      <c r="CO8" s="41">
        <f t="shared" si="36"/>
        <v>960</v>
      </c>
      <c r="CP8" s="41">
        <f t="shared" si="36"/>
        <v>960</v>
      </c>
      <c r="CQ8" s="41">
        <f t="shared" si="36"/>
        <v>960</v>
      </c>
      <c r="CR8" s="41">
        <f t="shared" ref="CR8:CS8" si="37">CR7</f>
        <v>960</v>
      </c>
      <c r="CS8" s="41">
        <f t="shared" si="37"/>
        <v>970</v>
      </c>
      <c r="CT8" s="41">
        <f t="shared" ref="CT8:CU8" si="38">CT7</f>
        <v>970</v>
      </c>
      <c r="CU8" s="41">
        <f t="shared" si="38"/>
        <v>980</v>
      </c>
      <c r="CV8" s="41">
        <f t="shared" ref="CV8:CX8" si="39">CV7</f>
        <v>970</v>
      </c>
      <c r="CW8" s="41">
        <f t="shared" si="39"/>
        <v>1000</v>
      </c>
      <c r="CX8" s="41">
        <f t="shared" si="39"/>
        <v>990</v>
      </c>
      <c r="CY8" s="41">
        <f t="shared" ref="CY8:CZ8" si="40">CY7</f>
        <v>980</v>
      </c>
      <c r="CZ8" s="41">
        <f t="shared" si="40"/>
        <v>980</v>
      </c>
      <c r="DA8" s="41">
        <f t="shared" ref="DA8:DC8" si="41">DA7</f>
        <v>980</v>
      </c>
      <c r="DB8" s="41">
        <f t="shared" si="41"/>
        <v>980</v>
      </c>
      <c r="DC8" s="41">
        <f t="shared" si="41"/>
        <v>980</v>
      </c>
      <c r="DD8" s="41">
        <f t="shared" ref="DD8:DG8" si="42">DD7</f>
        <v>980</v>
      </c>
      <c r="DE8" s="41">
        <f t="shared" si="42"/>
        <v>970</v>
      </c>
      <c r="DF8" s="41">
        <f t="shared" si="42"/>
        <v>960</v>
      </c>
      <c r="DG8" s="41">
        <f t="shared" si="42"/>
        <v>950</v>
      </c>
      <c r="DH8" s="41">
        <f t="shared" ref="DH8:DL8" si="43">DH7</f>
        <v>950</v>
      </c>
      <c r="DI8" s="41">
        <f t="shared" si="43"/>
        <v>930</v>
      </c>
      <c r="DJ8" s="41">
        <f t="shared" si="43"/>
        <v>930</v>
      </c>
      <c r="DK8" s="41">
        <f t="shared" si="43"/>
        <v>930</v>
      </c>
      <c r="DL8" s="41">
        <f t="shared" si="43"/>
        <v>920</v>
      </c>
      <c r="DM8" s="41">
        <f t="shared" ref="DM8:DP8" si="44">DM7</f>
        <v>920</v>
      </c>
      <c r="DN8" s="41">
        <f t="shared" si="44"/>
        <v>910</v>
      </c>
      <c r="DO8" s="41">
        <f t="shared" si="44"/>
        <v>930</v>
      </c>
      <c r="DP8" s="41">
        <f t="shared" si="44"/>
        <v>930</v>
      </c>
      <c r="DQ8" s="41">
        <f t="shared" ref="DQ8:DU8" si="45">DQ7</f>
        <v>930</v>
      </c>
      <c r="DR8" s="41">
        <f t="shared" si="45"/>
        <v>930</v>
      </c>
      <c r="DS8" s="41">
        <f t="shared" si="45"/>
        <v>930</v>
      </c>
      <c r="DT8" s="41">
        <f t="shared" si="45"/>
        <v>900</v>
      </c>
      <c r="DU8" s="41">
        <f t="shared" si="45"/>
        <v>900</v>
      </c>
      <c r="DV8" s="41">
        <f t="shared" ref="DV8:DY8" si="46">DV7</f>
        <v>900</v>
      </c>
      <c r="DW8" s="41">
        <f t="shared" si="46"/>
        <v>900</v>
      </c>
      <c r="DX8" s="41">
        <f t="shared" si="46"/>
        <v>890</v>
      </c>
      <c r="DY8" s="41">
        <f t="shared" si="46"/>
        <v>890</v>
      </c>
      <c r="DZ8" s="41">
        <f t="shared" ref="DZ8:EC8" si="47">DZ7</f>
        <v>890</v>
      </c>
      <c r="EA8" s="41">
        <f t="shared" si="47"/>
        <v>870</v>
      </c>
      <c r="EB8" s="41">
        <f t="shared" si="47"/>
        <v>870</v>
      </c>
      <c r="EC8" s="41">
        <f t="shared" si="47"/>
        <v>850</v>
      </c>
      <c r="ED8" s="41">
        <f t="shared" ref="ED8:EH8" si="48">ED7</f>
        <v>850</v>
      </c>
      <c r="EE8" s="41">
        <f t="shared" si="48"/>
        <v>850</v>
      </c>
      <c r="EF8" s="41">
        <f t="shared" si="48"/>
        <v>840</v>
      </c>
      <c r="EG8" s="41">
        <f t="shared" si="48"/>
        <v>840</v>
      </c>
      <c r="EH8" s="41">
        <f t="shared" si="48"/>
        <v>830</v>
      </c>
      <c r="EI8" s="41">
        <f t="shared" ref="EI8:EL8" si="49">EI7</f>
        <v>830</v>
      </c>
      <c r="EJ8" s="41">
        <f t="shared" si="49"/>
        <v>830</v>
      </c>
      <c r="EK8" s="41">
        <f t="shared" si="49"/>
        <v>830</v>
      </c>
      <c r="EL8" s="41">
        <f t="shared" si="49"/>
        <v>820</v>
      </c>
      <c r="EM8" s="41">
        <f t="shared" ref="EM8:EP8" si="50">EM7</f>
        <v>820</v>
      </c>
      <c r="EN8" s="41">
        <f t="shared" si="50"/>
        <v>820</v>
      </c>
      <c r="EO8" s="41">
        <f t="shared" si="50"/>
        <v>820</v>
      </c>
      <c r="EP8" s="41">
        <f t="shared" si="50"/>
        <v>820</v>
      </c>
      <c r="EQ8" s="41">
        <f t="shared" ref="EQ8:EU8" si="51">EQ7</f>
        <v>810</v>
      </c>
      <c r="ER8" s="41">
        <f t="shared" si="51"/>
        <v>810</v>
      </c>
      <c r="ES8" s="41">
        <f t="shared" si="51"/>
        <v>820</v>
      </c>
      <c r="ET8" s="41">
        <f t="shared" si="51"/>
        <v>820</v>
      </c>
      <c r="EU8" s="41">
        <f t="shared" si="51"/>
        <v>820</v>
      </c>
      <c r="EV8" s="41">
        <f t="shared" ref="EV8:EY8" si="52">EV7</f>
        <v>840</v>
      </c>
      <c r="EW8" s="41">
        <f t="shared" si="52"/>
        <v>850</v>
      </c>
      <c r="EX8" s="41">
        <f t="shared" si="52"/>
        <v>850</v>
      </c>
      <c r="EY8" s="41">
        <f t="shared" si="52"/>
        <v>850</v>
      </c>
      <c r="EZ8" s="41">
        <f t="shared" ref="EZ8:FC8" si="53">EZ7</f>
        <v>1000</v>
      </c>
      <c r="FA8" s="41">
        <f t="shared" si="53"/>
        <v>1200</v>
      </c>
      <c r="FB8" s="41">
        <f t="shared" si="53"/>
        <v>1400</v>
      </c>
      <c r="FC8" s="41">
        <f t="shared" si="53"/>
        <v>1400</v>
      </c>
    </row>
    <row r="9" spans="1:159" ht="14">
      <c r="F9" s="117"/>
      <c r="H9" s="117" t="s">
        <v>83</v>
      </c>
      <c r="I9" s="41">
        <f t="shared" ref="I9:N9" si="54">+I6-I8</f>
        <v>-116</v>
      </c>
      <c r="J9" s="41">
        <f t="shared" si="54"/>
        <v>-152.5</v>
      </c>
      <c r="K9" s="41">
        <f t="shared" si="54"/>
        <v>-146.66666666666663</v>
      </c>
      <c r="L9" s="41">
        <f t="shared" si="54"/>
        <v>-110</v>
      </c>
      <c r="M9" s="41">
        <f t="shared" si="54"/>
        <v>-92.5</v>
      </c>
      <c r="N9" s="41">
        <f t="shared" si="54"/>
        <v>-102</v>
      </c>
      <c r="O9" s="41">
        <f t="shared" ref="O9:P9" si="55">+O6-O8</f>
        <v>-125</v>
      </c>
      <c r="P9" s="41">
        <f t="shared" si="55"/>
        <v>-120</v>
      </c>
      <c r="Q9" s="41">
        <f t="shared" ref="Q9:R9" si="56">+Q6-Q8</f>
        <v>-70</v>
      </c>
      <c r="R9" s="41">
        <f t="shared" si="56"/>
        <v>-95</v>
      </c>
      <c r="S9" s="41">
        <f t="shared" ref="S9:T9" si="57">+S6-S8</f>
        <v>-100</v>
      </c>
      <c r="T9" s="41">
        <f t="shared" si="57"/>
        <v>-113</v>
      </c>
      <c r="U9" s="41">
        <f t="shared" ref="U9:V9" si="58">+U6-U8</f>
        <v>-105</v>
      </c>
      <c r="V9" s="41">
        <f t="shared" si="58"/>
        <v>-115</v>
      </c>
      <c r="W9" s="41">
        <f t="shared" ref="W9:X9" si="59">+W6-W8</f>
        <v>-205</v>
      </c>
      <c r="X9" s="41">
        <f t="shared" si="59"/>
        <v>-190</v>
      </c>
      <c r="Y9" s="41">
        <f t="shared" ref="Y9:Z9" si="60">+Y6-Y8</f>
        <v>-180</v>
      </c>
      <c r="Z9" s="41">
        <f t="shared" si="60"/>
        <v>-167</v>
      </c>
      <c r="AA9" s="41">
        <f t="shared" ref="AA9:AB9" si="61">+AA6-AA8</f>
        <v>-157.5</v>
      </c>
      <c r="AB9" s="41">
        <f t="shared" si="61"/>
        <v>-238</v>
      </c>
      <c r="AC9" s="41">
        <f t="shared" ref="AC9:AD9" si="62">+AC6-AC8</f>
        <v>-235</v>
      </c>
      <c r="AD9" s="41">
        <f t="shared" si="62"/>
        <v>-210</v>
      </c>
      <c r="AE9" s="41">
        <f t="shared" ref="AE9:AF9" si="63">+AE6-AE8</f>
        <v>-192</v>
      </c>
      <c r="AF9" s="41">
        <f t="shared" si="63"/>
        <v>-177.5</v>
      </c>
      <c r="AG9" s="41">
        <f t="shared" ref="AG9:AH9" si="64">+AG6-AG8</f>
        <v>-170</v>
      </c>
      <c r="AH9" s="41">
        <f t="shared" si="64"/>
        <v>-166</v>
      </c>
      <c r="AI9" s="41">
        <f t="shared" ref="AI9:AJ9" si="65">+AI6-AI8</f>
        <v>-197.5</v>
      </c>
      <c r="AJ9" s="41">
        <f t="shared" si="65"/>
        <v>-570</v>
      </c>
      <c r="AK9" s="41">
        <f t="shared" ref="AK9" si="66">+AK6-AK8</f>
        <v>-1400</v>
      </c>
      <c r="AN9" s="117" t="s">
        <v>83</v>
      </c>
      <c r="AO9" s="41">
        <f t="shared" ref="AO9:AT9" si="67">+AO6-AO8</f>
        <v>-110</v>
      </c>
      <c r="AP9" s="41">
        <f t="shared" si="67"/>
        <v>-110</v>
      </c>
      <c r="AQ9" s="41">
        <f t="shared" si="67"/>
        <v>-120</v>
      </c>
      <c r="AR9" s="41">
        <f t="shared" si="67"/>
        <v>-120</v>
      </c>
      <c r="AS9" s="41">
        <f t="shared" si="67"/>
        <v>-120</v>
      </c>
      <c r="AT9" s="41">
        <f t="shared" si="67"/>
        <v>-120</v>
      </c>
      <c r="AU9" s="41">
        <f t="shared" ref="AU9:AV9" si="68">+AU6-AU8</f>
        <v>-160</v>
      </c>
      <c r="AV9" s="41">
        <f t="shared" si="68"/>
        <v>-160</v>
      </c>
      <c r="AW9" s="41">
        <f t="shared" ref="AW9:AX9" si="69">+AW6-AW8</f>
        <v>-170</v>
      </c>
      <c r="AX9" s="41">
        <f t="shared" si="69"/>
        <v>-160</v>
      </c>
      <c r="AY9" s="41">
        <f t="shared" ref="AY9:AZ9" si="70">+AY6-AY8</f>
        <v>-140</v>
      </c>
      <c r="AZ9" s="41">
        <f t="shared" si="70"/>
        <v>-140</v>
      </c>
      <c r="BA9" s="41">
        <f t="shared" ref="BA9:BB9" si="71">+BA6-BA8</f>
        <v>-100</v>
      </c>
      <c r="BB9" s="41">
        <f t="shared" si="71"/>
        <v>-100</v>
      </c>
      <c r="BC9" s="41">
        <f t="shared" ref="BC9:BD9" si="72">+BC6-BC8</f>
        <v>-120</v>
      </c>
      <c r="BD9" s="41">
        <f t="shared" si="72"/>
        <v>-120</v>
      </c>
      <c r="BE9" s="41">
        <f t="shared" ref="BE9:BF9" si="73">+BE6-BE8</f>
        <v>-100</v>
      </c>
      <c r="BF9" s="41">
        <f t="shared" si="73"/>
        <v>-90</v>
      </c>
      <c r="BG9" s="41">
        <f t="shared" ref="BG9:BH9" si="74">+BG6-BG8</f>
        <v>-90</v>
      </c>
      <c r="BH9" s="41">
        <f t="shared" si="74"/>
        <v>-90</v>
      </c>
      <c r="BI9" s="41">
        <f t="shared" ref="BI9:BJ9" si="75">+BI6-BI8</f>
        <v>-90</v>
      </c>
      <c r="BJ9" s="41">
        <f t="shared" si="75"/>
        <v>-100</v>
      </c>
      <c r="BK9" s="41">
        <f t="shared" ref="BK9:BL9" si="76">+BK6-BK8</f>
        <v>-100</v>
      </c>
      <c r="BL9" s="41">
        <f t="shared" si="76"/>
        <v>-100</v>
      </c>
      <c r="BM9" s="41">
        <f t="shared" ref="BM9:BN9" si="77">+BM6-BM8</f>
        <v>-120</v>
      </c>
      <c r="BN9" s="41">
        <f t="shared" si="77"/>
        <v>-120</v>
      </c>
      <c r="BO9" s="41">
        <f t="shared" ref="BO9:BP9" si="78">+BO6-BO8</f>
        <v>-120</v>
      </c>
      <c r="BP9" s="41">
        <f t="shared" si="78"/>
        <v>-130</v>
      </c>
      <c r="BQ9" s="41">
        <f t="shared" ref="BQ9:BR9" si="79">+BQ6-BQ8</f>
        <v>-130</v>
      </c>
      <c r="BR9" s="41">
        <f t="shared" si="79"/>
        <v>-130</v>
      </c>
      <c r="BS9" s="41">
        <f t="shared" ref="BS9:BT9" si="80">+BS6-BS8</f>
        <v>-130</v>
      </c>
      <c r="BT9" s="41">
        <f t="shared" si="80"/>
        <v>-130</v>
      </c>
      <c r="BU9" s="41">
        <f t="shared" ref="BU9:BV9" si="81">+BU6-BU8</f>
        <v>-90</v>
      </c>
      <c r="BV9" s="41">
        <f t="shared" si="81"/>
        <v>-80</v>
      </c>
      <c r="BW9" s="41">
        <f t="shared" ref="BW9:BX9" si="82">+BW6-BW8</f>
        <v>-80</v>
      </c>
      <c r="BX9" s="41">
        <f t="shared" si="82"/>
        <v>-70</v>
      </c>
      <c r="BY9" s="41">
        <f t="shared" ref="BY9:CA9" si="83">+BY6-BY8</f>
        <v>-60</v>
      </c>
      <c r="BZ9" s="41">
        <f t="shared" si="83"/>
        <v>-60</v>
      </c>
      <c r="CA9" s="41">
        <f t="shared" si="83"/>
        <v>-100</v>
      </c>
      <c r="CB9" s="41">
        <f t="shared" ref="CB9:CC9" si="84">+CB6-CB8</f>
        <v>-100</v>
      </c>
      <c r="CC9" s="41">
        <f t="shared" si="84"/>
        <v>-90</v>
      </c>
      <c r="CD9" s="41">
        <f t="shared" ref="CD9:CF9" si="85">+CD6-CD8</f>
        <v>-90</v>
      </c>
      <c r="CE9" s="41">
        <f t="shared" si="85"/>
        <v>-95</v>
      </c>
      <c r="CF9" s="41">
        <f t="shared" si="85"/>
        <v>-95</v>
      </c>
      <c r="CG9" s="41">
        <f t="shared" ref="CG9:CH9" si="86">+CG6-CG8</f>
        <v>-95</v>
      </c>
      <c r="CH9" s="41">
        <f t="shared" si="86"/>
        <v>-115</v>
      </c>
      <c r="CI9" s="41">
        <f t="shared" ref="CI9:CM9" si="87">+CI6-CI8</f>
        <v>-115</v>
      </c>
      <c r="CJ9" s="41">
        <f t="shared" si="87"/>
        <v>-115</v>
      </c>
      <c r="CK9" s="41">
        <f t="shared" si="87"/>
        <v>-115</v>
      </c>
      <c r="CL9" s="41">
        <f t="shared" si="87"/>
        <v>-115</v>
      </c>
      <c r="CM9" s="41">
        <f t="shared" si="87"/>
        <v>-105</v>
      </c>
      <c r="CN9" s="41">
        <f t="shared" ref="CN9:CQ9" si="88">+CN6-CN8</f>
        <v>-105</v>
      </c>
      <c r="CO9" s="41">
        <f t="shared" si="88"/>
        <v>-105</v>
      </c>
      <c r="CP9" s="41">
        <f t="shared" si="88"/>
        <v>-105</v>
      </c>
      <c r="CQ9" s="41">
        <f t="shared" si="88"/>
        <v>-105</v>
      </c>
      <c r="CR9" s="41">
        <f t="shared" ref="CR9:CS9" si="89">+CR6-CR8</f>
        <v>-105</v>
      </c>
      <c r="CS9" s="41">
        <f t="shared" si="89"/>
        <v>-115</v>
      </c>
      <c r="CT9" s="41">
        <f t="shared" ref="CT9:CU9" si="90">+CT6-CT8</f>
        <v>-115</v>
      </c>
      <c r="CU9" s="41">
        <f t="shared" si="90"/>
        <v>-125</v>
      </c>
      <c r="CV9" s="41">
        <f t="shared" ref="CV9:CX9" si="91">+CV6-CV8</f>
        <v>-190</v>
      </c>
      <c r="CW9" s="41">
        <f t="shared" si="91"/>
        <v>-220</v>
      </c>
      <c r="CX9" s="41">
        <f t="shared" si="91"/>
        <v>-210</v>
      </c>
      <c r="CY9" s="41">
        <f t="shared" ref="CY9:CZ9" si="92">+CY6-CY8</f>
        <v>-200</v>
      </c>
      <c r="CZ9" s="41">
        <f t="shared" si="92"/>
        <v>-190</v>
      </c>
      <c r="DA9" s="41">
        <f t="shared" ref="DA9:DC9" si="93">+DA6-DA8</f>
        <v>-190</v>
      </c>
      <c r="DB9" s="41">
        <f t="shared" si="93"/>
        <v>-190</v>
      </c>
      <c r="DC9" s="41">
        <f t="shared" si="93"/>
        <v>-190</v>
      </c>
      <c r="DD9" s="41">
        <f t="shared" ref="DD9:DG9" si="94">+DD6-DD8</f>
        <v>-195</v>
      </c>
      <c r="DE9" s="41">
        <f t="shared" si="94"/>
        <v>-185</v>
      </c>
      <c r="DF9" s="41">
        <f t="shared" si="94"/>
        <v>-175</v>
      </c>
      <c r="DG9" s="41">
        <f t="shared" si="94"/>
        <v>-165</v>
      </c>
      <c r="DH9" s="41">
        <f t="shared" ref="DH9:DL9" si="95">+DH6-DH8</f>
        <v>-185</v>
      </c>
      <c r="DI9" s="41">
        <f t="shared" si="95"/>
        <v>-165</v>
      </c>
      <c r="DJ9" s="41">
        <f t="shared" si="95"/>
        <v>-165</v>
      </c>
      <c r="DK9" s="41">
        <f t="shared" si="95"/>
        <v>-165</v>
      </c>
      <c r="DL9" s="41">
        <f t="shared" si="95"/>
        <v>-155</v>
      </c>
      <c r="DM9" s="41">
        <f t="shared" ref="DM9:DP9" si="96">+DM6-DM8</f>
        <v>-155</v>
      </c>
      <c r="DN9" s="41">
        <f t="shared" si="96"/>
        <v>-145</v>
      </c>
      <c r="DO9" s="41">
        <f t="shared" si="96"/>
        <v>-165</v>
      </c>
      <c r="DP9" s="41">
        <f t="shared" si="96"/>
        <v>-165</v>
      </c>
      <c r="DQ9" s="41">
        <f t="shared" ref="DQ9:DU9" si="97">+DQ6-DQ8</f>
        <v>-250</v>
      </c>
      <c r="DR9" s="41">
        <f t="shared" si="97"/>
        <v>-250</v>
      </c>
      <c r="DS9" s="41">
        <f t="shared" si="97"/>
        <v>-250</v>
      </c>
      <c r="DT9" s="41">
        <f t="shared" si="97"/>
        <v>-220</v>
      </c>
      <c r="DU9" s="41">
        <f t="shared" si="97"/>
        <v>-220</v>
      </c>
      <c r="DV9" s="41">
        <f t="shared" ref="DV9:DY9" si="98">+DV6-DV8</f>
        <v>-240</v>
      </c>
      <c r="DW9" s="41">
        <f t="shared" si="98"/>
        <v>-240</v>
      </c>
      <c r="DX9" s="41">
        <f t="shared" si="98"/>
        <v>-230</v>
      </c>
      <c r="DY9" s="41">
        <f t="shared" si="98"/>
        <v>-230</v>
      </c>
      <c r="DZ9" s="41">
        <f t="shared" ref="DZ9:EC9" si="99">+DZ6-DZ8</f>
        <v>-230</v>
      </c>
      <c r="EA9" s="41">
        <f t="shared" si="99"/>
        <v>-210</v>
      </c>
      <c r="EB9" s="41">
        <f t="shared" si="99"/>
        <v>-210</v>
      </c>
      <c r="EC9" s="41">
        <f t="shared" si="99"/>
        <v>-190</v>
      </c>
      <c r="ED9" s="41">
        <f t="shared" ref="ED9:EH9" si="100">+ED6-ED8</f>
        <v>-200</v>
      </c>
      <c r="EE9" s="41">
        <f t="shared" si="100"/>
        <v>-200</v>
      </c>
      <c r="EF9" s="41">
        <f t="shared" si="100"/>
        <v>-190</v>
      </c>
      <c r="EG9" s="41">
        <f t="shared" si="100"/>
        <v>-190</v>
      </c>
      <c r="EH9" s="41">
        <f t="shared" si="100"/>
        <v>-180</v>
      </c>
      <c r="EI9" s="41">
        <f t="shared" ref="EI9:EL9" si="101">+EI6-EI8</f>
        <v>-180</v>
      </c>
      <c r="EJ9" s="41">
        <f t="shared" si="101"/>
        <v>-180</v>
      </c>
      <c r="EK9" s="41">
        <f t="shared" si="101"/>
        <v>-180</v>
      </c>
      <c r="EL9" s="41">
        <f t="shared" si="101"/>
        <v>-170</v>
      </c>
      <c r="EM9" s="41">
        <f t="shared" ref="EM9:EP9" si="102">+EM6-EM8</f>
        <v>-170</v>
      </c>
      <c r="EN9" s="41">
        <f t="shared" si="102"/>
        <v>-170</v>
      </c>
      <c r="EO9" s="41">
        <f t="shared" si="102"/>
        <v>-170</v>
      </c>
      <c r="EP9" s="41">
        <f t="shared" si="102"/>
        <v>-170</v>
      </c>
      <c r="EQ9" s="41">
        <f t="shared" ref="EQ9:EU9" si="103">+EQ6-EQ8</f>
        <v>-160</v>
      </c>
      <c r="ER9" s="41">
        <f t="shared" si="103"/>
        <v>-160</v>
      </c>
      <c r="ES9" s="41">
        <f t="shared" si="103"/>
        <v>-170</v>
      </c>
      <c r="ET9" s="41">
        <f t="shared" si="103"/>
        <v>-170</v>
      </c>
      <c r="EU9" s="41">
        <f t="shared" si="103"/>
        <v>-170</v>
      </c>
      <c r="EV9" s="41">
        <f t="shared" ref="EV9:EY9" si="104">+EV6-EV8</f>
        <v>-190</v>
      </c>
      <c r="EW9" s="41">
        <f t="shared" si="104"/>
        <v>-200</v>
      </c>
      <c r="EX9" s="41">
        <f t="shared" si="104"/>
        <v>-200</v>
      </c>
      <c r="EY9" s="41">
        <f t="shared" si="104"/>
        <v>-200</v>
      </c>
      <c r="EZ9" s="41">
        <f t="shared" ref="EZ9:FC9" si="105">+EZ6-EZ8</f>
        <v>-320</v>
      </c>
      <c r="FA9" s="41">
        <f t="shared" si="105"/>
        <v>-520</v>
      </c>
      <c r="FB9" s="41">
        <f t="shared" si="105"/>
        <v>-670</v>
      </c>
      <c r="FC9" s="41">
        <f t="shared" si="105"/>
        <v>-670</v>
      </c>
    </row>
    <row r="10" spans="1:159">
      <c r="H10" s="1" t="s">
        <v>81</v>
      </c>
      <c r="I10" s="51">
        <f t="shared" ref="I10:N10" si="106">+I9/I8</f>
        <v>-0.12526997840172785</v>
      </c>
      <c r="J10" s="51">
        <f t="shared" si="106"/>
        <v>-0.15844155844155844</v>
      </c>
      <c r="K10" s="51">
        <f t="shared" si="106"/>
        <v>-0.14864864864864863</v>
      </c>
      <c r="L10" s="51">
        <f t="shared" si="106"/>
        <v>-0.1111111111111111</v>
      </c>
      <c r="M10" s="51">
        <f t="shared" si="106"/>
        <v>-9.3198992443324941E-2</v>
      </c>
      <c r="N10" s="51">
        <f t="shared" si="106"/>
        <v>-0.10179640718562874</v>
      </c>
      <c r="O10" s="51">
        <f t="shared" ref="O10:P10" si="107">+O9/O8</f>
        <v>-0.12195121951219512</v>
      </c>
      <c r="P10" s="51">
        <f t="shared" si="107"/>
        <v>-0.11764705882352941</v>
      </c>
      <c r="Q10" s="51">
        <f t="shared" ref="Q10:R10" si="108">+Q9/Q8</f>
        <v>-7.2164948453608241E-2</v>
      </c>
      <c r="R10" s="51">
        <f t="shared" si="108"/>
        <v>-9.947643979057591E-2</v>
      </c>
      <c r="S10" s="51">
        <f t="shared" ref="S10:T10" si="109">+S9/S8</f>
        <v>-0.10471204188481675</v>
      </c>
      <c r="T10" s="51">
        <f t="shared" si="109"/>
        <v>-0.11673553719008264</v>
      </c>
      <c r="U10" s="51">
        <f t="shared" ref="U10:V10" si="110">+U9/U8</f>
        <v>-0.109375</v>
      </c>
      <c r="V10" s="51">
        <f t="shared" si="110"/>
        <v>-0.11855670103092783</v>
      </c>
      <c r="W10" s="51">
        <f t="shared" ref="W10:X10" si="111">+W9/W8</f>
        <v>-0.20812182741116753</v>
      </c>
      <c r="X10" s="51">
        <f t="shared" si="111"/>
        <v>-0.19387755102040816</v>
      </c>
      <c r="Y10" s="51">
        <f t="shared" ref="Y10:Z10" si="112">+Y9/Y8</f>
        <v>-0.18652849740932642</v>
      </c>
      <c r="Z10" s="51">
        <f t="shared" si="112"/>
        <v>-0.17918454935622319</v>
      </c>
      <c r="AA10" s="51">
        <f t="shared" ref="AA10:AB10" si="113">+AA9/AA8</f>
        <v>-0.17073170731707318</v>
      </c>
      <c r="AB10" s="51">
        <f t="shared" si="113"/>
        <v>-0.25925925925925924</v>
      </c>
      <c r="AC10" s="51">
        <f t="shared" ref="AC10:AD10" si="114">+AC9/AC8</f>
        <v>-0.26256983240223464</v>
      </c>
      <c r="AD10" s="51">
        <f t="shared" si="114"/>
        <v>-0.2413793103448276</v>
      </c>
      <c r="AE10" s="51">
        <f t="shared" ref="AE10:AF10" si="115">+AE9/AE8</f>
        <v>-0.22802850356294538</v>
      </c>
      <c r="AF10" s="51">
        <f t="shared" si="115"/>
        <v>-0.21450151057401812</v>
      </c>
      <c r="AG10" s="51">
        <f t="shared" ref="AG10:AH10" si="116">+AG9/AG8</f>
        <v>-0.2073170731707317</v>
      </c>
      <c r="AH10" s="51">
        <f t="shared" si="116"/>
        <v>-0.20343137254901961</v>
      </c>
      <c r="AI10" s="51">
        <f t="shared" ref="AI10:AJ10" si="117">+AI9/AI8</f>
        <v>-0.23303834808259588</v>
      </c>
      <c r="AJ10" s="51">
        <f t="shared" si="117"/>
        <v>-0.45600000000000002</v>
      </c>
      <c r="AK10" s="51">
        <f t="shared" ref="AK10" si="118">+AK9/AK8</f>
        <v>-1</v>
      </c>
      <c r="AN10" s="1" t="s">
        <v>81</v>
      </c>
      <c r="AO10" s="51">
        <f t="shared" ref="AO10:AR10" si="119">+AO9/AO8</f>
        <v>-0.11956521739130435</v>
      </c>
      <c r="AP10" s="51">
        <f t="shared" si="119"/>
        <v>-0.11956521739130435</v>
      </c>
      <c r="AQ10" s="51">
        <f t="shared" si="119"/>
        <v>-0.12903225806451613</v>
      </c>
      <c r="AR10" s="51">
        <f t="shared" si="119"/>
        <v>-0.12903225806451613</v>
      </c>
      <c r="AS10" s="51">
        <f t="shared" ref="AS10:AT10" si="120">+AS9/AS8</f>
        <v>-0.12903225806451613</v>
      </c>
      <c r="AT10" s="51">
        <f t="shared" si="120"/>
        <v>-0.12903225806451613</v>
      </c>
      <c r="AU10" s="51">
        <f t="shared" ref="AU10:AV10" si="121">+AU9/AU8</f>
        <v>-0.16494845360824742</v>
      </c>
      <c r="AV10" s="51">
        <f t="shared" si="121"/>
        <v>-0.16494845360824742</v>
      </c>
      <c r="AW10" s="51">
        <f t="shared" ref="AW10:AX10" si="122">+AW9/AW8</f>
        <v>-0.17346938775510204</v>
      </c>
      <c r="AX10" s="51">
        <f t="shared" si="122"/>
        <v>-0.16</v>
      </c>
      <c r="AY10" s="51">
        <f t="shared" ref="AY10:AZ10" si="123">+AY9/AY8</f>
        <v>-0.14285714285714285</v>
      </c>
      <c r="AZ10" s="51">
        <f t="shared" si="123"/>
        <v>-0.14285714285714285</v>
      </c>
      <c r="BA10" s="51">
        <f t="shared" ref="BA10:BB10" si="124">+BA9/BA8</f>
        <v>-0.10204081632653061</v>
      </c>
      <c r="BB10" s="51">
        <f t="shared" si="124"/>
        <v>-0.10204081632653061</v>
      </c>
      <c r="BC10" s="51">
        <f t="shared" ref="BC10:BD10" si="125">+BC9/BC8</f>
        <v>-0.12</v>
      </c>
      <c r="BD10" s="51">
        <f t="shared" si="125"/>
        <v>-0.12</v>
      </c>
      <c r="BE10" s="51">
        <f t="shared" ref="BE10:BF10" si="126">+BE9/BE8</f>
        <v>-0.1</v>
      </c>
      <c r="BF10" s="51">
        <f t="shared" si="126"/>
        <v>-9.0909090909090912E-2</v>
      </c>
      <c r="BG10" s="51">
        <f t="shared" ref="BG10:BH10" si="127">+BG9/BG8</f>
        <v>-9.0909090909090912E-2</v>
      </c>
      <c r="BH10" s="51">
        <f t="shared" si="127"/>
        <v>-9.0909090909090912E-2</v>
      </c>
      <c r="BI10" s="51">
        <f t="shared" ref="BI10:BJ10" si="128">+BI9/BI8</f>
        <v>-9.0909090909090912E-2</v>
      </c>
      <c r="BJ10" s="51">
        <f t="shared" si="128"/>
        <v>-0.1</v>
      </c>
      <c r="BK10" s="51">
        <f t="shared" ref="BK10:BL10" si="129">+BK9/BK8</f>
        <v>-0.1</v>
      </c>
      <c r="BL10" s="51">
        <f t="shared" si="129"/>
        <v>-0.1</v>
      </c>
      <c r="BM10" s="51">
        <f t="shared" ref="BM10:BN10" si="130">+BM9/BM8</f>
        <v>-0.11764705882352941</v>
      </c>
      <c r="BN10" s="51">
        <f t="shared" si="130"/>
        <v>-0.11764705882352941</v>
      </c>
      <c r="BO10" s="51">
        <f t="shared" ref="BO10:BP10" si="131">+BO9/BO8</f>
        <v>-0.11764705882352941</v>
      </c>
      <c r="BP10" s="51">
        <f t="shared" si="131"/>
        <v>-0.12621359223300971</v>
      </c>
      <c r="BQ10" s="51">
        <f t="shared" ref="BQ10:BR10" si="132">+BQ9/BQ8</f>
        <v>-0.12621359223300971</v>
      </c>
      <c r="BR10" s="51">
        <f t="shared" si="132"/>
        <v>-0.12621359223300971</v>
      </c>
      <c r="BS10" s="51">
        <f t="shared" ref="BS10:BT10" si="133">+BS9/BS8</f>
        <v>-0.12621359223300971</v>
      </c>
      <c r="BT10" s="51">
        <f t="shared" si="133"/>
        <v>-0.12621359223300971</v>
      </c>
      <c r="BU10" s="51">
        <f t="shared" ref="BU10:BV10" si="134">+BU9/BU8</f>
        <v>-9.0909090909090912E-2</v>
      </c>
      <c r="BV10" s="51">
        <f t="shared" si="134"/>
        <v>-8.1632653061224483E-2</v>
      </c>
      <c r="BW10" s="51">
        <f t="shared" ref="BW10:BX10" si="135">+BW9/BW8</f>
        <v>-8.1632653061224483E-2</v>
      </c>
      <c r="BX10" s="51">
        <f t="shared" si="135"/>
        <v>-7.2164948453608241E-2</v>
      </c>
      <c r="BY10" s="51">
        <f t="shared" ref="BY10:CA10" si="136">+BY9/BY8</f>
        <v>-6.25E-2</v>
      </c>
      <c r="BZ10" s="51">
        <f t="shared" si="136"/>
        <v>-6.25E-2</v>
      </c>
      <c r="CA10" s="51">
        <f t="shared" si="136"/>
        <v>-0.10416666666666667</v>
      </c>
      <c r="CB10" s="51">
        <f t="shared" ref="CB10:CC10" si="137">+CB9/CB8</f>
        <v>-0.10416666666666667</v>
      </c>
      <c r="CC10" s="51">
        <f t="shared" si="137"/>
        <v>-9.4736842105263161E-2</v>
      </c>
      <c r="CD10" s="51">
        <f t="shared" ref="CD10:CF10" si="138">+CD9/CD8</f>
        <v>-9.4736842105263161E-2</v>
      </c>
      <c r="CE10" s="51">
        <f t="shared" si="138"/>
        <v>-0.1</v>
      </c>
      <c r="CF10" s="51">
        <f t="shared" si="138"/>
        <v>-0.1</v>
      </c>
      <c r="CG10" s="51">
        <f t="shared" ref="CG10:CH10" si="139">+CG9/CG8</f>
        <v>-0.1</v>
      </c>
      <c r="CH10" s="51">
        <f t="shared" si="139"/>
        <v>-0.11855670103092783</v>
      </c>
      <c r="CI10" s="51">
        <f t="shared" ref="CI10:CM10" si="140">+CI9/CI8</f>
        <v>-0.11855670103092783</v>
      </c>
      <c r="CJ10" s="51">
        <f t="shared" si="140"/>
        <v>-0.11855670103092783</v>
      </c>
      <c r="CK10" s="51">
        <f t="shared" si="140"/>
        <v>-0.11855670103092783</v>
      </c>
      <c r="CL10" s="51">
        <f t="shared" si="140"/>
        <v>-0.11855670103092783</v>
      </c>
      <c r="CM10" s="51">
        <f t="shared" si="140"/>
        <v>-0.109375</v>
      </c>
      <c r="CN10" s="51">
        <f t="shared" ref="CN10:CQ10" si="141">+CN9/CN8</f>
        <v>-0.109375</v>
      </c>
      <c r="CO10" s="51">
        <f t="shared" si="141"/>
        <v>-0.109375</v>
      </c>
      <c r="CP10" s="51">
        <f t="shared" si="141"/>
        <v>-0.109375</v>
      </c>
      <c r="CQ10" s="51">
        <f t="shared" si="141"/>
        <v>-0.109375</v>
      </c>
      <c r="CR10" s="51">
        <f t="shared" ref="CR10:CS10" si="142">+CR9/CR8</f>
        <v>-0.109375</v>
      </c>
      <c r="CS10" s="51">
        <f t="shared" si="142"/>
        <v>-0.11855670103092783</v>
      </c>
      <c r="CT10" s="51">
        <f t="shared" ref="CT10:CU10" si="143">+CT9/CT8</f>
        <v>-0.11855670103092783</v>
      </c>
      <c r="CU10" s="51">
        <f t="shared" si="143"/>
        <v>-0.12755102040816327</v>
      </c>
      <c r="CV10" s="51">
        <f t="shared" ref="CV10:CX10" si="144">+CV9/CV8</f>
        <v>-0.19587628865979381</v>
      </c>
      <c r="CW10" s="51">
        <f t="shared" si="144"/>
        <v>-0.22</v>
      </c>
      <c r="CX10" s="51">
        <f t="shared" si="144"/>
        <v>-0.21212121212121213</v>
      </c>
      <c r="CY10" s="51">
        <f t="shared" ref="CY10:CZ10" si="145">+CY9/CY8</f>
        <v>-0.20408163265306123</v>
      </c>
      <c r="CZ10" s="51">
        <f t="shared" si="145"/>
        <v>-0.19387755102040816</v>
      </c>
      <c r="DA10" s="51">
        <f t="shared" ref="DA10:DC10" si="146">+DA9/DA8</f>
        <v>-0.19387755102040816</v>
      </c>
      <c r="DB10" s="51">
        <f t="shared" si="146"/>
        <v>-0.19387755102040816</v>
      </c>
      <c r="DC10" s="51">
        <f t="shared" si="146"/>
        <v>-0.19387755102040816</v>
      </c>
      <c r="DD10" s="51">
        <f t="shared" ref="DD10:DG10" si="147">+DD9/DD8</f>
        <v>-0.19897959183673469</v>
      </c>
      <c r="DE10" s="51">
        <f t="shared" si="147"/>
        <v>-0.19072164948453607</v>
      </c>
      <c r="DF10" s="51">
        <f t="shared" si="147"/>
        <v>-0.18229166666666666</v>
      </c>
      <c r="DG10" s="51">
        <f t="shared" si="147"/>
        <v>-0.1736842105263158</v>
      </c>
      <c r="DH10" s="51">
        <f t="shared" ref="DH10:DL10" si="148">+DH9/DH8</f>
        <v>-0.19473684210526315</v>
      </c>
      <c r="DI10" s="51">
        <f t="shared" si="148"/>
        <v>-0.17741935483870969</v>
      </c>
      <c r="DJ10" s="51">
        <f t="shared" si="148"/>
        <v>-0.17741935483870969</v>
      </c>
      <c r="DK10" s="51">
        <f t="shared" si="148"/>
        <v>-0.17741935483870969</v>
      </c>
      <c r="DL10" s="51">
        <f t="shared" si="148"/>
        <v>-0.16847826086956522</v>
      </c>
      <c r="DM10" s="51">
        <f t="shared" ref="DM10:DP10" si="149">+DM9/DM8</f>
        <v>-0.16847826086956522</v>
      </c>
      <c r="DN10" s="51">
        <f t="shared" si="149"/>
        <v>-0.15934065934065933</v>
      </c>
      <c r="DO10" s="51">
        <f t="shared" si="149"/>
        <v>-0.17741935483870969</v>
      </c>
      <c r="DP10" s="51">
        <f t="shared" si="149"/>
        <v>-0.17741935483870969</v>
      </c>
      <c r="DQ10" s="51">
        <f t="shared" ref="DQ10:DU10" si="150">+DQ9/DQ8</f>
        <v>-0.26881720430107525</v>
      </c>
      <c r="DR10" s="51">
        <f t="shared" si="150"/>
        <v>-0.26881720430107525</v>
      </c>
      <c r="DS10" s="51">
        <f t="shared" si="150"/>
        <v>-0.26881720430107525</v>
      </c>
      <c r="DT10" s="51">
        <f t="shared" si="150"/>
        <v>-0.24444444444444444</v>
      </c>
      <c r="DU10" s="51">
        <f t="shared" si="150"/>
        <v>-0.24444444444444444</v>
      </c>
      <c r="DV10" s="51">
        <f t="shared" ref="DV10:DY10" si="151">+DV9/DV8</f>
        <v>-0.26666666666666666</v>
      </c>
      <c r="DW10" s="51">
        <f t="shared" si="151"/>
        <v>-0.26666666666666666</v>
      </c>
      <c r="DX10" s="51">
        <f t="shared" si="151"/>
        <v>-0.25842696629213485</v>
      </c>
      <c r="DY10" s="51">
        <f t="shared" si="151"/>
        <v>-0.25842696629213485</v>
      </c>
      <c r="DZ10" s="51">
        <f t="shared" ref="DZ10:EC10" si="152">+DZ9/DZ8</f>
        <v>-0.25842696629213485</v>
      </c>
      <c r="EA10" s="51">
        <f t="shared" si="152"/>
        <v>-0.2413793103448276</v>
      </c>
      <c r="EB10" s="51">
        <f t="shared" si="152"/>
        <v>-0.2413793103448276</v>
      </c>
      <c r="EC10" s="51">
        <f t="shared" si="152"/>
        <v>-0.22352941176470589</v>
      </c>
      <c r="ED10" s="51">
        <f t="shared" ref="ED10:EH10" si="153">+ED9/ED8</f>
        <v>-0.23529411764705882</v>
      </c>
      <c r="EE10" s="51">
        <f t="shared" si="153"/>
        <v>-0.23529411764705882</v>
      </c>
      <c r="EF10" s="51">
        <f t="shared" si="153"/>
        <v>-0.22619047619047619</v>
      </c>
      <c r="EG10" s="51">
        <f t="shared" si="153"/>
        <v>-0.22619047619047619</v>
      </c>
      <c r="EH10" s="51">
        <f t="shared" si="153"/>
        <v>-0.21686746987951808</v>
      </c>
      <c r="EI10" s="51">
        <f t="shared" ref="EI10:EL10" si="154">+EI9/EI8</f>
        <v>-0.21686746987951808</v>
      </c>
      <c r="EJ10" s="51">
        <f t="shared" si="154"/>
        <v>-0.21686746987951808</v>
      </c>
      <c r="EK10" s="51">
        <f t="shared" si="154"/>
        <v>-0.21686746987951808</v>
      </c>
      <c r="EL10" s="51">
        <f t="shared" si="154"/>
        <v>-0.2073170731707317</v>
      </c>
      <c r="EM10" s="51">
        <f t="shared" ref="EM10:EP10" si="155">+EM9/EM8</f>
        <v>-0.2073170731707317</v>
      </c>
      <c r="EN10" s="51">
        <f t="shared" si="155"/>
        <v>-0.2073170731707317</v>
      </c>
      <c r="EO10" s="51">
        <f t="shared" si="155"/>
        <v>-0.2073170731707317</v>
      </c>
      <c r="EP10" s="51">
        <f t="shared" si="155"/>
        <v>-0.2073170731707317</v>
      </c>
      <c r="EQ10" s="51">
        <f t="shared" ref="EQ10:EU10" si="156">+EQ9/EQ8</f>
        <v>-0.19753086419753085</v>
      </c>
      <c r="ER10" s="51">
        <f t="shared" si="156"/>
        <v>-0.19753086419753085</v>
      </c>
      <c r="ES10" s="51">
        <f t="shared" si="156"/>
        <v>-0.2073170731707317</v>
      </c>
      <c r="ET10" s="51">
        <f t="shared" si="156"/>
        <v>-0.2073170731707317</v>
      </c>
      <c r="EU10" s="51">
        <f t="shared" si="156"/>
        <v>-0.2073170731707317</v>
      </c>
      <c r="EV10" s="51">
        <f t="shared" ref="EV10:EY10" si="157">+EV9/EV8</f>
        <v>-0.22619047619047619</v>
      </c>
      <c r="EW10" s="51">
        <f t="shared" si="157"/>
        <v>-0.23529411764705882</v>
      </c>
      <c r="EX10" s="51">
        <f t="shared" si="157"/>
        <v>-0.23529411764705882</v>
      </c>
      <c r="EY10" s="51">
        <f t="shared" si="157"/>
        <v>-0.23529411764705882</v>
      </c>
      <c r="EZ10" s="51">
        <f t="shared" ref="EZ10:FC10" si="158">+EZ9/EZ8</f>
        <v>-0.32</v>
      </c>
      <c r="FA10" s="51">
        <f t="shared" si="158"/>
        <v>-0.43333333333333335</v>
      </c>
      <c r="FB10" s="51">
        <f t="shared" si="158"/>
        <v>-0.47857142857142859</v>
      </c>
      <c r="FC10" s="51">
        <f t="shared" si="158"/>
        <v>-0.47857142857142859</v>
      </c>
    </row>
    <row r="11" spans="1:159" ht="15.5">
      <c r="F11" s="62"/>
      <c r="H11" s="163" t="s">
        <v>87</v>
      </c>
      <c r="I11" s="1">
        <v>772</v>
      </c>
      <c r="J11" s="1">
        <v>772</v>
      </c>
      <c r="K11" s="1">
        <v>772</v>
      </c>
      <c r="L11" s="1">
        <v>772</v>
      </c>
      <c r="M11" s="1">
        <v>772</v>
      </c>
      <c r="N11" s="1">
        <v>772</v>
      </c>
      <c r="O11" s="1">
        <v>772</v>
      </c>
      <c r="P11" s="1">
        <v>738</v>
      </c>
      <c r="Q11" s="173">
        <v>780.1665026220935</v>
      </c>
      <c r="R11" s="173">
        <v>790.84736542275789</v>
      </c>
      <c r="S11" s="173">
        <v>794.61882076959819</v>
      </c>
      <c r="T11" s="173">
        <v>794.61882076959819</v>
      </c>
      <c r="U11" s="173">
        <v>772.61324687952413</v>
      </c>
      <c r="V11" s="173">
        <v>790.71342693105714</v>
      </c>
      <c r="W11" s="173">
        <v>780.14594515953695</v>
      </c>
      <c r="X11" s="173">
        <v>780.14594515953695</v>
      </c>
      <c r="Y11" s="173">
        <v>767.45783789288964</v>
      </c>
      <c r="Z11" s="173">
        <v>720.25560128568611</v>
      </c>
      <c r="AA11" s="173">
        <v>754.85044113798847</v>
      </c>
      <c r="AB11" s="173">
        <v>757.17190222429883</v>
      </c>
      <c r="AC11" s="173">
        <v>757.17190222429883</v>
      </c>
      <c r="AD11" s="173">
        <v>757.17190222429883</v>
      </c>
      <c r="AE11" s="173">
        <v>760.07393351542305</v>
      </c>
      <c r="AF11" s="173">
        <v>760.79553063281901</v>
      </c>
      <c r="AG11" s="173">
        <v>765.98333885599538</v>
      </c>
      <c r="AH11" s="173">
        <v>765.98333885599538</v>
      </c>
      <c r="AI11" s="173">
        <v>765.48148735896382</v>
      </c>
      <c r="AJ11" s="173">
        <v>799.47433626065799</v>
      </c>
      <c r="AK11" s="173"/>
      <c r="AN11" s="163" t="s">
        <v>87</v>
      </c>
      <c r="AO11" s="1">
        <v>772</v>
      </c>
      <c r="AP11" s="1">
        <v>772</v>
      </c>
      <c r="AQ11" s="1">
        <v>772</v>
      </c>
      <c r="AR11" s="1">
        <v>772</v>
      </c>
      <c r="AS11" s="1">
        <v>772</v>
      </c>
      <c r="AT11" s="1">
        <v>772</v>
      </c>
      <c r="AU11" s="1">
        <v>772</v>
      </c>
      <c r="AV11" s="1">
        <v>772</v>
      </c>
      <c r="AW11" s="1">
        <v>772</v>
      </c>
      <c r="AX11" s="1">
        <v>772</v>
      </c>
      <c r="AY11" s="1">
        <v>772</v>
      </c>
      <c r="AZ11" s="1">
        <v>772</v>
      </c>
      <c r="BA11" s="1">
        <v>772</v>
      </c>
      <c r="BB11" s="1">
        <v>772</v>
      </c>
      <c r="BC11" s="1">
        <v>772</v>
      </c>
      <c r="BD11" s="1">
        <v>772</v>
      </c>
      <c r="BE11" s="1">
        <v>772</v>
      </c>
      <c r="BF11" s="1">
        <v>772</v>
      </c>
      <c r="BG11" s="1">
        <v>772</v>
      </c>
      <c r="BH11" s="1">
        <v>772</v>
      </c>
      <c r="BI11" s="1">
        <v>772</v>
      </c>
      <c r="BJ11" s="1">
        <v>772</v>
      </c>
      <c r="BK11" s="1">
        <v>772</v>
      </c>
      <c r="BL11" s="1">
        <v>772</v>
      </c>
      <c r="BM11" s="1">
        <v>772</v>
      </c>
      <c r="BN11" s="1">
        <v>772</v>
      </c>
      <c r="BO11" s="1">
        <v>772</v>
      </c>
      <c r="BP11" s="1">
        <v>772</v>
      </c>
      <c r="BQ11" s="1">
        <v>772</v>
      </c>
      <c r="BR11" s="1">
        <v>738</v>
      </c>
      <c r="BS11" s="1">
        <v>738</v>
      </c>
      <c r="BT11" s="1">
        <v>738</v>
      </c>
      <c r="BU11" s="1">
        <v>738</v>
      </c>
      <c r="BV11" s="173">
        <v>780.1665026220935</v>
      </c>
      <c r="BW11" s="173">
        <v>780.1665026220935</v>
      </c>
      <c r="BX11" s="173">
        <v>780.1665026220935</v>
      </c>
      <c r="BY11" s="173">
        <v>780.1665026220935</v>
      </c>
      <c r="BZ11" s="173">
        <v>780.1665026220935</v>
      </c>
      <c r="CA11" s="173">
        <v>791</v>
      </c>
      <c r="CB11" s="173">
        <v>791</v>
      </c>
      <c r="CC11" s="173">
        <v>791</v>
      </c>
      <c r="CD11" s="173">
        <v>791</v>
      </c>
      <c r="CE11" s="173">
        <v>794.61882076959819</v>
      </c>
      <c r="CF11" s="173">
        <v>794.61882076959819</v>
      </c>
      <c r="CG11" s="173">
        <v>794.61882076959819</v>
      </c>
      <c r="CH11" s="173">
        <v>794.61882076959819</v>
      </c>
      <c r="CI11" s="173">
        <v>794.61882076959819</v>
      </c>
      <c r="CJ11" s="173">
        <v>794.61882076959819</v>
      </c>
      <c r="CK11" s="173">
        <v>794.61882076959819</v>
      </c>
      <c r="CL11" s="173">
        <v>794.61882076959819</v>
      </c>
      <c r="CM11" s="173">
        <v>794.61882076959819</v>
      </c>
      <c r="CN11" s="173">
        <v>772.61324687952413</v>
      </c>
      <c r="CO11" s="173">
        <v>772.61324687952413</v>
      </c>
      <c r="CP11" s="173">
        <v>772.61324687952413</v>
      </c>
      <c r="CQ11" s="173">
        <v>772.61324687952413</v>
      </c>
      <c r="CR11" s="173">
        <v>790.71342693105714</v>
      </c>
      <c r="CS11" s="173">
        <v>790.71342693105714</v>
      </c>
      <c r="CT11" s="173">
        <v>790.71342693105714</v>
      </c>
      <c r="CU11" s="173">
        <v>790.71342693105714</v>
      </c>
      <c r="CV11" s="173">
        <v>780.14594515953695</v>
      </c>
      <c r="CW11" s="173">
        <v>780.14594515953695</v>
      </c>
      <c r="CX11" s="173">
        <v>780.14594515953695</v>
      </c>
      <c r="CY11" s="173">
        <v>780.14594515953695</v>
      </c>
      <c r="CZ11" s="173">
        <v>780.14594515953695</v>
      </c>
      <c r="DA11" s="173">
        <v>780.14594515953695</v>
      </c>
      <c r="DB11" s="173">
        <v>780.14594515953695</v>
      </c>
      <c r="DC11" s="173">
        <v>780.14594515953695</v>
      </c>
      <c r="DD11" s="173">
        <v>767.45783789288964</v>
      </c>
      <c r="DE11" s="173">
        <v>767.45783789288964</v>
      </c>
      <c r="DF11" s="173">
        <v>767.45783789288964</v>
      </c>
      <c r="DG11" s="173">
        <v>767.45783789288964</v>
      </c>
      <c r="DH11" s="173">
        <v>720.25560128568611</v>
      </c>
      <c r="DI11" s="173">
        <v>720.25560128568611</v>
      </c>
      <c r="DJ11" s="173">
        <v>720.25560128568611</v>
      </c>
      <c r="DK11" s="173">
        <v>720.25560128568611</v>
      </c>
      <c r="DL11" s="173">
        <v>720.25560128568611</v>
      </c>
      <c r="DM11" s="173">
        <v>754.85044113798847</v>
      </c>
      <c r="DN11" s="173">
        <v>754.85044113798847</v>
      </c>
      <c r="DO11" s="173">
        <v>754.85044113798847</v>
      </c>
      <c r="DP11" s="173">
        <v>754.85044113798847</v>
      </c>
      <c r="DQ11" s="173">
        <v>757.17190222429883</v>
      </c>
      <c r="DR11" s="173">
        <v>757.17190222429883</v>
      </c>
      <c r="DS11" s="173">
        <v>757.17190222429883</v>
      </c>
      <c r="DT11" s="173">
        <v>757.17190222429883</v>
      </c>
      <c r="DU11" s="173">
        <v>757.17190222429883</v>
      </c>
      <c r="DV11" s="173">
        <v>757.17190222429883</v>
      </c>
      <c r="DW11" s="173">
        <v>757.17190222429883</v>
      </c>
      <c r="DX11" s="173">
        <v>757.17190222429883</v>
      </c>
      <c r="DY11" s="173">
        <v>757.17190222429883</v>
      </c>
      <c r="DZ11" s="173">
        <v>757.17190222429883</v>
      </c>
      <c r="EA11" s="173">
        <v>757.17190222429883</v>
      </c>
      <c r="EB11" s="173">
        <v>757.17190222429883</v>
      </c>
      <c r="EC11" s="173">
        <v>757.17190222429883</v>
      </c>
      <c r="ED11" s="173">
        <v>760.07393351542305</v>
      </c>
      <c r="EE11" s="173">
        <v>760.07393351542305</v>
      </c>
      <c r="EF11" s="173">
        <v>760.07393351542305</v>
      </c>
      <c r="EG11" s="173">
        <v>760.07393351542305</v>
      </c>
      <c r="EH11" s="173">
        <v>760.07393351542305</v>
      </c>
      <c r="EI11" s="173">
        <v>760.79553063281901</v>
      </c>
      <c r="EJ11" s="173">
        <v>760.79553063281901</v>
      </c>
      <c r="EK11" s="173">
        <v>760.79553063281901</v>
      </c>
      <c r="EL11" s="173">
        <v>760.79553063281901</v>
      </c>
      <c r="EM11" s="173">
        <v>765.98333885599538</v>
      </c>
      <c r="EN11" s="173">
        <v>765.98333885599538</v>
      </c>
      <c r="EO11" s="173">
        <v>765.98333885599538</v>
      </c>
      <c r="EP11" s="173">
        <v>765.98333885599538</v>
      </c>
      <c r="EQ11" s="173">
        <v>765.98333885599538</v>
      </c>
      <c r="ER11" s="173">
        <v>765.98333885599538</v>
      </c>
      <c r="ES11" s="173">
        <v>765.98333885599538</v>
      </c>
      <c r="ET11" s="173">
        <v>765.98333885599538</v>
      </c>
      <c r="EU11" s="173">
        <v>765.98333885599538</v>
      </c>
      <c r="EV11" s="173">
        <v>765.48148735896382</v>
      </c>
      <c r="EW11" s="173">
        <v>765.48148735896382</v>
      </c>
      <c r="EX11" s="173">
        <v>765.48148735896382</v>
      </c>
      <c r="EY11" s="173">
        <v>765.48148735896382</v>
      </c>
      <c r="EZ11" s="173">
        <v>799.47433626065799</v>
      </c>
      <c r="FA11" s="173">
        <v>799.47433626065799</v>
      </c>
      <c r="FB11" s="173">
        <v>799.47433626065799</v>
      </c>
      <c r="FC11" s="173">
        <v>799.47433626065799</v>
      </c>
    </row>
    <row r="13" spans="1:159"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</row>
    <row r="23" spans="6:8">
      <c r="F23" s="32"/>
      <c r="G23" s="32"/>
      <c r="H23" s="32"/>
    </row>
    <row r="24" spans="6:8">
      <c r="F24" s="32"/>
      <c r="G24" s="32"/>
      <c r="H24" s="32"/>
    </row>
    <row r="25" spans="6:8">
      <c r="F25" s="32"/>
      <c r="G25" s="32"/>
      <c r="H25" s="32"/>
    </row>
    <row r="26" spans="6:8">
      <c r="F26" s="32"/>
      <c r="G26" s="32"/>
      <c r="H26" s="32"/>
    </row>
    <row r="27" spans="6:8">
      <c r="F27" s="31"/>
      <c r="G27" s="32"/>
      <c r="H27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BB5B-408A-4E4D-98FD-DEDF4C5E225C}">
  <sheetPr>
    <tabColor rgb="FF2CD8D4"/>
  </sheetPr>
  <dimension ref="A1:V72"/>
  <sheetViews>
    <sheetView zoomScale="80" zoomScaleNormal="80" workbookViewId="0">
      <selection activeCell="G33" sqref="G33"/>
    </sheetView>
  </sheetViews>
  <sheetFormatPr defaultColWidth="8.81640625" defaultRowHeight="14.5"/>
  <cols>
    <col min="1" max="16384" width="8.81640625" style="122"/>
  </cols>
  <sheetData>
    <row r="1" spans="1:1">
      <c r="A1" s="122" t="e" vm="1">
        <v>#VALUE!</v>
      </c>
    </row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CA19-A703-4DEE-B4A1-A163BF41AE5A}">
  <sheetPr>
    <tabColor rgb="FF2CD8D4"/>
  </sheetPr>
  <dimension ref="V71:V72"/>
  <sheetViews>
    <sheetView zoomScale="70" zoomScaleNormal="70" workbookViewId="0">
      <selection activeCell="F35" sqref="F35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5E48-658C-44C0-BD34-306C82827A5D}">
  <dimension ref="A1:EX27"/>
  <sheetViews>
    <sheetView showGridLines="0" tabSelected="1" topLeftCell="A3" zoomScale="90" zoomScaleNormal="90" workbookViewId="0">
      <pane xSplit="2" ySplit="3" topLeftCell="AB6" activePane="bottomRight" state="frozen"/>
      <selection activeCell="AH16" sqref="AH16"/>
      <selection pane="topRight" activeCell="AH16" sqref="AH16"/>
      <selection pane="bottomLeft" activeCell="AH16" sqref="AH16"/>
      <selection pane="bottomRight" activeCell="EL10" sqref="EL10"/>
    </sheetView>
  </sheetViews>
  <sheetFormatPr defaultColWidth="9.81640625" defaultRowHeight="13"/>
  <cols>
    <col min="1" max="1" width="9.81640625" style="1"/>
    <col min="2" max="2" width="23.453125" style="1" hidden="1" customWidth="1"/>
    <col min="3" max="3" width="0" style="1" hidden="1" customWidth="1"/>
    <col min="4" max="4" width="15.81640625" style="1" customWidth="1"/>
    <col min="5" max="5" width="0" style="1" hidden="1" customWidth="1"/>
    <col min="6" max="17" width="8" style="1" hidden="1" customWidth="1"/>
    <col min="18" max="33" width="8" style="1" customWidth="1"/>
    <col min="34" max="34" width="5.1796875" style="1" customWidth="1"/>
    <col min="35" max="35" width="13.81640625" style="1" customWidth="1"/>
    <col min="36" max="40" width="0" style="1" hidden="1" customWidth="1"/>
    <col min="41" max="122" width="8.453125" style="1" hidden="1" customWidth="1"/>
    <col min="123" max="141" width="7.81640625" style="1" hidden="1" customWidth="1"/>
    <col min="142" max="143" width="7.81640625" style="1" customWidth="1"/>
    <col min="144" max="154" width="7.54296875" style="1" customWidth="1"/>
    <col min="155" max="16384" width="9.81640625" style="1"/>
  </cols>
  <sheetData>
    <row r="1" spans="1:154" hidden="1"/>
    <row r="2" spans="1:154" hidden="1"/>
    <row r="3" spans="1:154" ht="19.399999999999999" customHeight="1">
      <c r="A3" s="15" t="s">
        <v>120</v>
      </c>
      <c r="B3" s="15"/>
      <c r="D3" s="15"/>
      <c r="AO3" s="170">
        <v>2024</v>
      </c>
      <c r="CM3" s="170">
        <v>2025</v>
      </c>
      <c r="EL3" s="178">
        <v>2026</v>
      </c>
    </row>
    <row r="4" spans="1:154" s="61" customFormat="1" ht="17.5">
      <c r="A4" s="72"/>
      <c r="B4" s="73" t="s">
        <v>3</v>
      </c>
      <c r="C4" s="73"/>
      <c r="D4" s="73"/>
      <c r="E4" s="74">
        <v>24000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J4" s="74">
        <v>24000</v>
      </c>
      <c r="AK4" s="74">
        <v>24000</v>
      </c>
      <c r="AL4" s="74">
        <v>24000</v>
      </c>
      <c r="AM4" s="74">
        <v>24000</v>
      </c>
      <c r="AN4" s="74">
        <v>24000</v>
      </c>
      <c r="AO4" s="74">
        <v>24000</v>
      </c>
      <c r="AP4" s="74">
        <v>24000</v>
      </c>
      <c r="AQ4" s="74"/>
      <c r="AR4" s="74"/>
      <c r="AS4" s="74"/>
      <c r="AT4" s="74"/>
      <c r="AU4" s="74"/>
      <c r="AV4" s="74"/>
      <c r="AW4" s="74"/>
      <c r="AX4" s="74"/>
    </row>
    <row r="5" spans="1:154" s="32" customFormat="1" ht="19.5" customHeight="1">
      <c r="A5" s="34" t="s">
        <v>5</v>
      </c>
      <c r="B5" s="33" t="s">
        <v>2</v>
      </c>
      <c r="C5" s="33" t="s">
        <v>7</v>
      </c>
      <c r="D5" s="33" t="s">
        <v>2</v>
      </c>
      <c r="E5" s="86" t="s">
        <v>119</v>
      </c>
      <c r="F5" s="86" t="s">
        <v>122</v>
      </c>
      <c r="G5" s="86">
        <v>2</v>
      </c>
      <c r="H5" s="86">
        <v>3</v>
      </c>
      <c r="I5" s="86">
        <v>4</v>
      </c>
      <c r="J5" s="86">
        <v>5</v>
      </c>
      <c r="K5" s="86">
        <v>6</v>
      </c>
      <c r="L5" s="86">
        <v>7</v>
      </c>
      <c r="M5" s="86">
        <v>8</v>
      </c>
      <c r="N5" s="86">
        <v>9</v>
      </c>
      <c r="O5" s="86">
        <v>10</v>
      </c>
      <c r="P5" s="86">
        <v>11</v>
      </c>
      <c r="Q5" s="86">
        <v>12</v>
      </c>
      <c r="R5" s="86" t="s">
        <v>174</v>
      </c>
      <c r="S5" s="86">
        <v>2</v>
      </c>
      <c r="T5" s="86">
        <v>3</v>
      </c>
      <c r="U5" s="86">
        <v>4</v>
      </c>
      <c r="V5" s="86">
        <v>5</v>
      </c>
      <c r="W5" s="86">
        <v>6</v>
      </c>
      <c r="X5" s="86">
        <v>7</v>
      </c>
      <c r="Y5" s="86">
        <v>8</v>
      </c>
      <c r="Z5" s="86">
        <v>9</v>
      </c>
      <c r="AA5" s="86">
        <v>10</v>
      </c>
      <c r="AB5" s="86">
        <v>11</v>
      </c>
      <c r="AC5" s="86">
        <v>12</v>
      </c>
      <c r="AD5" s="86" t="s">
        <v>198</v>
      </c>
      <c r="AE5" s="86">
        <v>2</v>
      </c>
      <c r="AF5" s="86">
        <v>3</v>
      </c>
      <c r="AG5" s="86">
        <v>4</v>
      </c>
      <c r="AI5" s="33" t="s">
        <v>2</v>
      </c>
      <c r="AJ5" s="101">
        <v>48</v>
      </c>
      <c r="AK5" s="101">
        <v>49</v>
      </c>
      <c r="AL5" s="101">
        <v>50</v>
      </c>
      <c r="AM5" s="101">
        <v>51</v>
      </c>
      <c r="AN5" s="101">
        <v>52</v>
      </c>
      <c r="AO5" s="90" t="s">
        <v>121</v>
      </c>
      <c r="AP5" s="90" t="s">
        <v>123</v>
      </c>
      <c r="AQ5" s="90" t="s">
        <v>124</v>
      </c>
      <c r="AR5" s="90" t="s">
        <v>125</v>
      </c>
      <c r="AS5" s="90" t="s">
        <v>126</v>
      </c>
      <c r="AT5" s="90" t="s">
        <v>142</v>
      </c>
      <c r="AU5" s="90" t="s">
        <v>143</v>
      </c>
      <c r="AV5" s="90" t="s">
        <v>144</v>
      </c>
      <c r="AW5" s="90" t="s">
        <v>145</v>
      </c>
      <c r="AX5" s="90" t="s">
        <v>146</v>
      </c>
      <c r="AY5" s="90" t="s">
        <v>147</v>
      </c>
      <c r="AZ5" s="90" t="s">
        <v>148</v>
      </c>
      <c r="BA5" s="90" t="s">
        <v>149</v>
      </c>
      <c r="BB5" s="90" t="s">
        <v>150</v>
      </c>
      <c r="BC5" s="90" t="s">
        <v>151</v>
      </c>
      <c r="BD5" s="90" t="s">
        <v>152</v>
      </c>
      <c r="BE5" s="90" t="s">
        <v>153</v>
      </c>
      <c r="BF5" s="90" t="s">
        <v>154</v>
      </c>
      <c r="BG5" s="90" t="s">
        <v>155</v>
      </c>
      <c r="BH5" s="90" t="s">
        <v>162</v>
      </c>
      <c r="BI5" s="90" t="s">
        <v>163</v>
      </c>
      <c r="BJ5" s="90" t="s">
        <v>164</v>
      </c>
      <c r="BK5" s="90" t="s">
        <v>165</v>
      </c>
      <c r="BL5" s="90" t="s">
        <v>166</v>
      </c>
      <c r="BM5" s="90" t="s">
        <v>167</v>
      </c>
      <c r="BN5" s="90" t="s">
        <v>168</v>
      </c>
      <c r="BO5" s="90" t="s">
        <v>169</v>
      </c>
      <c r="BP5" s="90" t="s">
        <v>170</v>
      </c>
      <c r="BQ5" s="90" t="s">
        <v>171</v>
      </c>
      <c r="BR5" s="90" t="s">
        <v>172</v>
      </c>
      <c r="BS5" s="90" t="s">
        <v>173</v>
      </c>
      <c r="BT5" s="90">
        <v>34</v>
      </c>
      <c r="BU5" s="90">
        <v>35</v>
      </c>
      <c r="BV5" s="90">
        <v>36</v>
      </c>
      <c r="BW5" s="90">
        <v>37</v>
      </c>
      <c r="BX5" s="90">
        <v>38</v>
      </c>
      <c r="BY5" s="90">
        <v>39</v>
      </c>
      <c r="BZ5" s="90">
        <v>40</v>
      </c>
      <c r="CA5" s="90">
        <v>41</v>
      </c>
      <c r="CB5" s="90">
        <v>42</v>
      </c>
      <c r="CC5" s="90">
        <v>43</v>
      </c>
      <c r="CD5" s="90">
        <v>44</v>
      </c>
      <c r="CE5" s="90">
        <v>45</v>
      </c>
      <c r="CF5" s="90">
        <v>46</v>
      </c>
      <c r="CG5" s="90">
        <v>47</v>
      </c>
      <c r="CH5" s="90">
        <v>48</v>
      </c>
      <c r="CI5" s="90">
        <v>49</v>
      </c>
      <c r="CJ5" s="90">
        <v>50</v>
      </c>
      <c r="CK5" s="90">
        <v>51</v>
      </c>
      <c r="CL5" s="90">
        <v>52</v>
      </c>
      <c r="CM5" s="90" t="s">
        <v>121</v>
      </c>
      <c r="CN5" s="90" t="s">
        <v>123</v>
      </c>
      <c r="CO5" s="90" t="s">
        <v>124</v>
      </c>
      <c r="CP5" s="90" t="s">
        <v>125</v>
      </c>
      <c r="CQ5" s="90" t="s">
        <v>175</v>
      </c>
      <c r="CR5" s="90" t="s">
        <v>177</v>
      </c>
      <c r="CS5" s="90" t="s">
        <v>142</v>
      </c>
      <c r="CT5" s="90" t="s">
        <v>143</v>
      </c>
      <c r="CU5" s="90" t="s">
        <v>144</v>
      </c>
      <c r="CV5" s="90" t="s">
        <v>145</v>
      </c>
      <c r="CW5" s="90" t="s">
        <v>146</v>
      </c>
      <c r="CX5" s="90" t="s">
        <v>147</v>
      </c>
      <c r="CY5" s="90" t="s">
        <v>148</v>
      </c>
      <c r="CZ5" s="90" t="s">
        <v>149</v>
      </c>
      <c r="DA5" s="90" t="s">
        <v>150</v>
      </c>
      <c r="DB5" s="90" t="s">
        <v>151</v>
      </c>
      <c r="DC5" s="90" t="s">
        <v>152</v>
      </c>
      <c r="DD5" s="90" t="s">
        <v>153</v>
      </c>
      <c r="DE5" s="90" t="s">
        <v>154</v>
      </c>
      <c r="DF5" s="90" t="s">
        <v>155</v>
      </c>
      <c r="DG5" s="90" t="s">
        <v>162</v>
      </c>
      <c r="DH5" s="90" t="s">
        <v>163</v>
      </c>
      <c r="DI5" s="90" t="s">
        <v>164</v>
      </c>
      <c r="DJ5" s="90" t="s">
        <v>165</v>
      </c>
      <c r="DK5" s="90" t="s">
        <v>166</v>
      </c>
      <c r="DL5" s="90" t="s">
        <v>167</v>
      </c>
      <c r="DM5" s="90" t="s">
        <v>168</v>
      </c>
      <c r="DN5" s="90" t="s">
        <v>169</v>
      </c>
      <c r="DO5" s="90" t="s">
        <v>170</v>
      </c>
      <c r="DP5" s="90" t="s">
        <v>171</v>
      </c>
      <c r="DQ5" s="90" t="s">
        <v>172</v>
      </c>
      <c r="DR5" s="90" t="s">
        <v>173</v>
      </c>
      <c r="DS5" s="90" t="s">
        <v>179</v>
      </c>
      <c r="DT5" s="90" t="s">
        <v>180</v>
      </c>
      <c r="DU5" s="90">
        <v>36</v>
      </c>
      <c r="DV5" s="90">
        <v>37</v>
      </c>
      <c r="DW5" s="90">
        <v>38</v>
      </c>
      <c r="DX5" s="90">
        <v>39</v>
      </c>
      <c r="DY5" s="90">
        <v>40</v>
      </c>
      <c r="DZ5" s="90">
        <v>41</v>
      </c>
      <c r="EA5" s="90">
        <v>42</v>
      </c>
      <c r="EB5" s="90">
        <v>43</v>
      </c>
      <c r="EC5" s="90">
        <v>44</v>
      </c>
      <c r="ED5" s="90">
        <v>45</v>
      </c>
      <c r="EE5" s="90">
        <v>46</v>
      </c>
      <c r="EF5" s="90">
        <v>47</v>
      </c>
      <c r="EG5" s="90">
        <v>48</v>
      </c>
      <c r="EH5" s="90">
        <v>49</v>
      </c>
      <c r="EI5" s="90">
        <v>50</v>
      </c>
      <c r="EJ5" s="90">
        <v>51</v>
      </c>
      <c r="EK5" s="90">
        <v>52</v>
      </c>
      <c r="EL5" s="90" t="s">
        <v>121</v>
      </c>
      <c r="EM5" s="90" t="s">
        <v>123</v>
      </c>
      <c r="EN5" s="90" t="s">
        <v>124</v>
      </c>
      <c r="EO5" s="90" t="s">
        <v>125</v>
      </c>
      <c r="EP5" s="90" t="s">
        <v>126</v>
      </c>
      <c r="EQ5" s="90" t="s">
        <v>175</v>
      </c>
      <c r="ER5" s="90" t="s">
        <v>177</v>
      </c>
      <c r="ES5" s="90" t="s">
        <v>142</v>
      </c>
      <c r="ET5" s="90" t="s">
        <v>143</v>
      </c>
      <c r="EU5" s="90">
        <v>10</v>
      </c>
      <c r="EV5" s="90">
        <v>11</v>
      </c>
      <c r="EW5" s="90">
        <v>12</v>
      </c>
      <c r="EX5" s="90">
        <v>13</v>
      </c>
    </row>
    <row r="6" spans="1:154" ht="14">
      <c r="A6" s="9"/>
      <c r="B6" s="11" t="s">
        <v>29</v>
      </c>
      <c r="C6" s="9" t="s">
        <v>24</v>
      </c>
      <c r="D6" s="11" t="s">
        <v>137</v>
      </c>
      <c r="E6" s="50">
        <v>810</v>
      </c>
      <c r="F6" s="50">
        <v>810</v>
      </c>
      <c r="G6" s="50">
        <v>880</v>
      </c>
      <c r="H6" s="50">
        <v>900</v>
      </c>
      <c r="I6" s="50">
        <v>900</v>
      </c>
      <c r="J6" s="50">
        <v>870</v>
      </c>
      <c r="K6" s="50">
        <v>870</v>
      </c>
      <c r="L6" s="50">
        <v>870</v>
      </c>
      <c r="M6" s="50">
        <v>870</v>
      </c>
      <c r="N6" s="50">
        <v>850</v>
      </c>
      <c r="O6" s="50">
        <v>840</v>
      </c>
      <c r="P6" s="50">
        <v>825</v>
      </c>
      <c r="Q6" s="50">
        <f>+SUM(CI6:CL6)/COUNT(CI6:CL6)</f>
        <v>825</v>
      </c>
      <c r="R6" s="50">
        <f>+SUM(CM6:CP6)/COUNT(CM6:CP6)</f>
        <v>825</v>
      </c>
      <c r="S6" s="50">
        <f>+SUM(CQ6:CT6)/COUNT(CQ6:CT6)</f>
        <v>750</v>
      </c>
      <c r="T6" s="50">
        <f>+SUM(CU6:CX6)/COUNT(CU6:CX6)</f>
        <v>750</v>
      </c>
      <c r="U6" s="50">
        <v>750</v>
      </c>
      <c r="V6" s="50">
        <f>750-30</f>
        <v>720</v>
      </c>
      <c r="W6" s="50">
        <f>750-30</f>
        <v>720</v>
      </c>
      <c r="X6" s="50">
        <f>750-30</f>
        <v>720</v>
      </c>
      <c r="Y6" s="50">
        <f>750-30-20</f>
        <v>700</v>
      </c>
      <c r="Z6" s="50">
        <f>750-30-20</f>
        <v>700</v>
      </c>
      <c r="AA6" s="50">
        <f>750-30-20</f>
        <v>700</v>
      </c>
      <c r="AB6" s="50">
        <v>690</v>
      </c>
      <c r="AC6" s="50">
        <v>665</v>
      </c>
      <c r="AD6" s="50">
        <v>665</v>
      </c>
      <c r="AE6" s="50">
        <v>665</v>
      </c>
      <c r="AF6" s="50">
        <v>665</v>
      </c>
      <c r="AG6" s="50"/>
      <c r="AI6" s="11" t="s">
        <v>137</v>
      </c>
      <c r="AJ6" s="50">
        <v>810</v>
      </c>
      <c r="AK6" s="50">
        <v>810</v>
      </c>
      <c r="AL6" s="50">
        <v>810</v>
      </c>
      <c r="AM6" s="50">
        <v>810</v>
      </c>
      <c r="AN6" s="50">
        <v>810</v>
      </c>
      <c r="AO6" s="50">
        <v>810</v>
      </c>
      <c r="AP6" s="50">
        <v>810</v>
      </c>
      <c r="AQ6" s="50">
        <v>810</v>
      </c>
      <c r="AR6" s="50">
        <v>810</v>
      </c>
      <c r="AS6" s="50">
        <v>880</v>
      </c>
      <c r="AT6" s="50">
        <v>880</v>
      </c>
      <c r="AU6" s="50">
        <v>880</v>
      </c>
      <c r="AV6" s="50">
        <v>900</v>
      </c>
      <c r="AW6" s="50">
        <v>900</v>
      </c>
      <c r="AX6" s="50">
        <v>900</v>
      </c>
      <c r="AY6" s="50">
        <v>900</v>
      </c>
      <c r="AZ6" s="50">
        <v>900</v>
      </c>
      <c r="BA6" s="50">
        <v>900</v>
      </c>
      <c r="BB6" s="50">
        <v>900</v>
      </c>
      <c r="BC6" s="50">
        <v>900</v>
      </c>
      <c r="BD6" s="50">
        <v>870</v>
      </c>
      <c r="BE6" s="50">
        <v>870</v>
      </c>
      <c r="BF6" s="50">
        <v>870</v>
      </c>
      <c r="BG6" s="50">
        <v>870</v>
      </c>
      <c r="BH6" s="50">
        <v>870</v>
      </c>
      <c r="BI6" s="50">
        <v>870</v>
      </c>
      <c r="BJ6" s="50">
        <v>870</v>
      </c>
      <c r="BK6" s="50">
        <v>870</v>
      </c>
      <c r="BL6" s="50">
        <v>870</v>
      </c>
      <c r="BM6" s="50">
        <v>870</v>
      </c>
      <c r="BN6" s="50">
        <v>870</v>
      </c>
      <c r="BO6" s="50">
        <v>870</v>
      </c>
      <c r="BP6" s="50">
        <v>870</v>
      </c>
      <c r="BQ6" s="50">
        <v>870</v>
      </c>
      <c r="BR6" s="50">
        <v>870</v>
      </c>
      <c r="BS6" s="50">
        <v>870</v>
      </c>
      <c r="BT6" s="50">
        <v>870</v>
      </c>
      <c r="BU6" s="50">
        <v>870</v>
      </c>
      <c r="BV6" s="50">
        <v>850</v>
      </c>
      <c r="BW6" s="50">
        <v>850</v>
      </c>
      <c r="BX6" s="50">
        <v>850</v>
      </c>
      <c r="BY6" s="50">
        <v>850</v>
      </c>
      <c r="BZ6" s="50">
        <v>840</v>
      </c>
      <c r="CA6" s="50">
        <v>840</v>
      </c>
      <c r="CB6" s="50">
        <v>840</v>
      </c>
      <c r="CC6" s="50">
        <v>840</v>
      </c>
      <c r="CD6" s="50">
        <v>825</v>
      </c>
      <c r="CE6" s="50">
        <v>825</v>
      </c>
      <c r="CF6" s="50">
        <v>825</v>
      </c>
      <c r="CG6" s="50">
        <v>825</v>
      </c>
      <c r="CH6" s="50">
        <v>825</v>
      </c>
      <c r="CI6" s="50">
        <v>825</v>
      </c>
      <c r="CJ6" s="50">
        <v>825</v>
      </c>
      <c r="CK6" s="50">
        <v>825</v>
      </c>
      <c r="CL6" s="50">
        <v>825</v>
      </c>
      <c r="CM6" s="50">
        <v>825</v>
      </c>
      <c r="CN6" s="50">
        <v>825</v>
      </c>
      <c r="CO6" s="50">
        <v>825</v>
      </c>
      <c r="CP6" s="50">
        <v>825</v>
      </c>
      <c r="CQ6" s="50">
        <v>750</v>
      </c>
      <c r="CR6" s="50">
        <v>750</v>
      </c>
      <c r="CS6" s="50">
        <v>750</v>
      </c>
      <c r="CT6" s="50">
        <v>750</v>
      </c>
      <c r="CU6" s="50">
        <v>750</v>
      </c>
      <c r="CV6" s="50">
        <v>750</v>
      </c>
      <c r="CW6" s="50">
        <v>750</v>
      </c>
      <c r="CX6" s="50">
        <v>750</v>
      </c>
      <c r="CY6" s="50">
        <v>750</v>
      </c>
      <c r="CZ6" s="50">
        <v>750</v>
      </c>
      <c r="DA6" s="50">
        <v>750</v>
      </c>
      <c r="DB6" s="50">
        <v>750</v>
      </c>
      <c r="DC6" s="50">
        <v>720</v>
      </c>
      <c r="DD6" s="50">
        <v>720</v>
      </c>
      <c r="DE6" s="50">
        <v>720</v>
      </c>
      <c r="DF6" s="50">
        <v>720</v>
      </c>
      <c r="DG6" s="50">
        <v>720</v>
      </c>
      <c r="DH6" s="50">
        <v>720</v>
      </c>
      <c r="DI6" s="50">
        <v>720</v>
      </c>
      <c r="DJ6" s="50">
        <v>720</v>
      </c>
      <c r="DK6" s="50">
        <v>720</v>
      </c>
      <c r="DL6" s="50">
        <v>720</v>
      </c>
      <c r="DM6" s="50">
        <v>720</v>
      </c>
      <c r="DN6" s="50">
        <v>720</v>
      </c>
      <c r="DO6" s="50">
        <v>720</v>
      </c>
      <c r="DP6" s="50">
        <v>720</v>
      </c>
      <c r="DQ6" s="50">
        <v>700</v>
      </c>
      <c r="DR6" s="50">
        <v>700</v>
      </c>
      <c r="DS6" s="50">
        <v>700</v>
      </c>
      <c r="DT6" s="50">
        <v>700</v>
      </c>
      <c r="DU6" s="50">
        <v>700</v>
      </c>
      <c r="DV6" s="50">
        <v>700</v>
      </c>
      <c r="DW6" s="50">
        <v>700</v>
      </c>
      <c r="DX6" s="50">
        <v>700</v>
      </c>
      <c r="DY6" s="50">
        <v>700</v>
      </c>
      <c r="DZ6" s="50">
        <v>700</v>
      </c>
      <c r="EA6" s="50">
        <v>700</v>
      </c>
      <c r="EB6" s="50">
        <v>700</v>
      </c>
      <c r="EC6" s="50">
        <v>700</v>
      </c>
      <c r="ED6" s="50">
        <v>690</v>
      </c>
      <c r="EE6" s="50">
        <v>690</v>
      </c>
      <c r="EF6" s="50">
        <v>690</v>
      </c>
      <c r="EG6" s="50">
        <v>690</v>
      </c>
      <c r="EH6" s="50">
        <v>665</v>
      </c>
      <c r="EI6" s="50">
        <v>665</v>
      </c>
      <c r="EJ6" s="50">
        <v>665</v>
      </c>
      <c r="EK6" s="50">
        <v>665</v>
      </c>
      <c r="EL6" s="50">
        <v>665</v>
      </c>
      <c r="EM6" s="50">
        <v>665</v>
      </c>
      <c r="EN6" s="50">
        <v>665</v>
      </c>
      <c r="EO6" s="50">
        <v>665</v>
      </c>
      <c r="EP6" s="50">
        <v>665</v>
      </c>
      <c r="EQ6" s="50">
        <v>665</v>
      </c>
      <c r="ER6" s="50">
        <v>665</v>
      </c>
      <c r="ES6" s="50">
        <v>665</v>
      </c>
      <c r="ET6" s="50">
        <v>665</v>
      </c>
      <c r="EU6" s="50">
        <v>665</v>
      </c>
      <c r="EV6" s="50">
        <v>665</v>
      </c>
      <c r="EW6" s="50">
        <f>665+50</f>
        <v>715</v>
      </c>
      <c r="EX6" s="50">
        <f>665+50</f>
        <v>715</v>
      </c>
    </row>
    <row r="7" spans="1:154" ht="14">
      <c r="A7" s="54" t="s">
        <v>41</v>
      </c>
      <c r="B7" s="59" t="s">
        <v>94</v>
      </c>
      <c r="C7" s="54" t="s">
        <v>24</v>
      </c>
      <c r="D7" s="111" t="s">
        <v>130</v>
      </c>
      <c r="E7" s="129">
        <f>+SUM(AJ7:AN7)/COUNT(AJ7:AN7)</f>
        <v>900</v>
      </c>
      <c r="F7" s="129">
        <f>+SUM(AO7:AR7)/COUNT(AO7:AR7)</f>
        <v>947.5</v>
      </c>
      <c r="G7" s="129">
        <f>+SUM(AS7:AU7)/COUNT(AS7:AU7)</f>
        <v>1010</v>
      </c>
      <c r="H7" s="129">
        <f>+SUM(AV7:AY7)/COUNT(AV7:AY7)</f>
        <v>995</v>
      </c>
      <c r="I7" s="129">
        <f>+SUM(AZ7:BC7)/COUNT(AZ7:BC7)</f>
        <v>975</v>
      </c>
      <c r="J7" s="129">
        <f>+SUM(BD7:BH7)/COUNT(BD7:BH7)</f>
        <v>956</v>
      </c>
      <c r="K7" s="129">
        <f>+SUM(BI7:BL7)/COUNT(BI7:BL7)</f>
        <v>980</v>
      </c>
      <c r="L7" s="129">
        <f>+SUM(BM7:BP7)/COUNT(BM7:BP7)</f>
        <v>975</v>
      </c>
      <c r="M7" s="129">
        <f>+SUM(BQ7:BU7)/COUNT(BQ7:BU7)</f>
        <v>946</v>
      </c>
      <c r="N7" s="129">
        <f>+SUM(BV7:BY7)/COUNT(BV7:BY7)</f>
        <v>932.5</v>
      </c>
      <c r="O7" s="129">
        <f>+SUM(BZ7:CC7)/COUNT(BZ7:CC7)</f>
        <v>925</v>
      </c>
      <c r="P7" s="129">
        <f>+SUM(CD7:CH7)/COUNT(CD7:CH7)</f>
        <v>940</v>
      </c>
      <c r="Q7" s="129">
        <f>+SUM(CI7:CL7)/COUNT(CI7:CL7)</f>
        <v>940</v>
      </c>
      <c r="R7" s="129">
        <f>+SUM(CM7:CP7)/COUNT(CM7:CP7)</f>
        <v>940</v>
      </c>
      <c r="S7" s="129">
        <f>+SUM(CQ7:CT7)/COUNT(CQ7:CT7)</f>
        <v>945</v>
      </c>
      <c r="T7" s="129">
        <f>+SUM(CU7:CX7)/COUNT(CU7:CX7)</f>
        <v>940</v>
      </c>
      <c r="U7" s="129">
        <f>+SUM(CY7:DB7)/COUNT(CY7:DB7)</f>
        <v>905</v>
      </c>
      <c r="V7" s="129">
        <f>+SUM(DC7:DG7)/COUNT(DC7:DG7)</f>
        <v>908</v>
      </c>
      <c r="W7" s="129">
        <f>+SUM(DH7:DK7)/COUNT(DH7:DK7)</f>
        <v>915</v>
      </c>
      <c r="X7" s="129">
        <f>+SUM(DL7:DP7)/COUNT(DL7:DP7)</f>
        <v>930</v>
      </c>
      <c r="Y7" s="129">
        <f>+SUM(DQ7:DT7)/COUNT(DQ7:DT7)</f>
        <v>930</v>
      </c>
      <c r="Z7" s="129">
        <f>+SUM(DU7:DX7)/COUNT(DU7:DX7)</f>
        <v>915</v>
      </c>
      <c r="AA7" s="129">
        <f>+SUM(DY7:EC7)/COUNT(DY7:EC7)</f>
        <v>870</v>
      </c>
      <c r="AB7" s="129">
        <f>+SUM(ED7:EG7)/COUNT(ED7:EG7)</f>
        <v>840</v>
      </c>
      <c r="AC7" s="129">
        <f>+SUM(EH7:EK7)/COUNT(EH7:EK7)</f>
        <v>830</v>
      </c>
      <c r="AD7" s="129">
        <f>+SUM(EL7:EP7)/COUNT(EL7:EP7)</f>
        <v>830</v>
      </c>
      <c r="AE7" s="129">
        <f>+SUM(EQ7:ET7)/COUNT(EQ7:ET7)</f>
        <v>830</v>
      </c>
      <c r="AF7" s="129">
        <f>+SUM(EU7:EX7)/COUNT(EU7:EX7)</f>
        <v>1268.75</v>
      </c>
      <c r="AG7" s="129">
        <v>1450</v>
      </c>
      <c r="AH7" s="51"/>
      <c r="AI7" s="111" t="s">
        <v>130</v>
      </c>
      <c r="AJ7" s="118">
        <v>900</v>
      </c>
      <c r="AK7" s="118">
        <v>900</v>
      </c>
      <c r="AL7" s="118">
        <v>900</v>
      </c>
      <c r="AM7" s="118">
        <v>900</v>
      </c>
      <c r="AN7" s="118">
        <v>900</v>
      </c>
      <c r="AO7" s="118">
        <v>900</v>
      </c>
      <c r="AP7" s="118">
        <v>930</v>
      </c>
      <c r="AQ7" s="118">
        <v>930</v>
      </c>
      <c r="AR7" s="118">
        <v>1030</v>
      </c>
      <c r="AS7" s="118">
        <v>1030</v>
      </c>
      <c r="AT7" s="118">
        <v>1000</v>
      </c>
      <c r="AU7" s="118">
        <v>1000</v>
      </c>
      <c r="AV7" s="118">
        <v>1000</v>
      </c>
      <c r="AW7" s="118">
        <v>1000</v>
      </c>
      <c r="AX7" s="118">
        <v>1000</v>
      </c>
      <c r="AY7" s="118">
        <v>980</v>
      </c>
      <c r="AZ7" s="118">
        <v>980</v>
      </c>
      <c r="BA7" s="118">
        <v>980</v>
      </c>
      <c r="BB7" s="118">
        <v>980</v>
      </c>
      <c r="BC7" s="118">
        <v>960</v>
      </c>
      <c r="BD7" s="118">
        <v>950</v>
      </c>
      <c r="BE7" s="118">
        <v>950</v>
      </c>
      <c r="BF7" s="118">
        <v>950</v>
      </c>
      <c r="BG7" s="118">
        <v>950</v>
      </c>
      <c r="BH7" s="118">
        <v>980</v>
      </c>
      <c r="BI7" s="118">
        <v>980</v>
      </c>
      <c r="BJ7" s="118">
        <v>980</v>
      </c>
      <c r="BK7" s="118">
        <v>980</v>
      </c>
      <c r="BL7" s="118">
        <v>980</v>
      </c>
      <c r="BM7" s="118">
        <v>980</v>
      </c>
      <c r="BN7" s="118">
        <v>980</v>
      </c>
      <c r="BO7" s="118">
        <v>980</v>
      </c>
      <c r="BP7" s="118">
        <v>960</v>
      </c>
      <c r="BQ7" s="118">
        <v>950</v>
      </c>
      <c r="BR7" s="118">
        <v>950</v>
      </c>
      <c r="BS7" s="118">
        <v>950</v>
      </c>
      <c r="BT7" s="118">
        <v>940</v>
      </c>
      <c r="BU7" s="118">
        <v>940</v>
      </c>
      <c r="BV7" s="118">
        <v>940</v>
      </c>
      <c r="BW7" s="118">
        <v>930</v>
      </c>
      <c r="BX7" s="118">
        <v>930</v>
      </c>
      <c r="BY7" s="118">
        <v>930</v>
      </c>
      <c r="BZ7" s="118">
        <v>920</v>
      </c>
      <c r="CA7" s="118">
        <v>920</v>
      </c>
      <c r="CB7" s="118">
        <v>920</v>
      </c>
      <c r="CC7" s="118">
        <v>940</v>
      </c>
      <c r="CD7" s="118">
        <v>940</v>
      </c>
      <c r="CE7" s="118">
        <v>940</v>
      </c>
      <c r="CF7" s="118">
        <v>940</v>
      </c>
      <c r="CG7" s="118">
        <v>940</v>
      </c>
      <c r="CH7" s="118">
        <v>940</v>
      </c>
      <c r="CI7" s="118">
        <v>940</v>
      </c>
      <c r="CJ7" s="118">
        <v>940</v>
      </c>
      <c r="CK7" s="118">
        <v>940</v>
      </c>
      <c r="CL7" s="118">
        <v>940</v>
      </c>
      <c r="CM7" s="118">
        <v>940</v>
      </c>
      <c r="CN7" s="118">
        <v>940</v>
      </c>
      <c r="CO7" s="118">
        <v>940</v>
      </c>
      <c r="CP7" s="118">
        <v>940</v>
      </c>
      <c r="CQ7" s="118">
        <v>940</v>
      </c>
      <c r="CR7" s="118">
        <v>940</v>
      </c>
      <c r="CS7" s="118">
        <v>950</v>
      </c>
      <c r="CT7" s="118">
        <v>950</v>
      </c>
      <c r="CU7" s="118">
        <v>950</v>
      </c>
      <c r="CV7" s="118">
        <v>950</v>
      </c>
      <c r="CW7" s="118">
        <v>950</v>
      </c>
      <c r="CX7" s="118">
        <v>910</v>
      </c>
      <c r="CY7" s="118">
        <v>910</v>
      </c>
      <c r="CZ7" s="118">
        <v>900</v>
      </c>
      <c r="DA7" s="118">
        <v>900</v>
      </c>
      <c r="DB7" s="118">
        <v>910</v>
      </c>
      <c r="DC7" s="118">
        <v>910</v>
      </c>
      <c r="DD7" s="118">
        <v>910</v>
      </c>
      <c r="DE7" s="118">
        <v>910</v>
      </c>
      <c r="DF7" s="118">
        <v>910</v>
      </c>
      <c r="DG7" s="118">
        <v>900</v>
      </c>
      <c r="DH7" s="118">
        <v>900</v>
      </c>
      <c r="DI7" s="118">
        <v>900</v>
      </c>
      <c r="DJ7" s="118">
        <v>930</v>
      </c>
      <c r="DK7" s="118">
        <v>930</v>
      </c>
      <c r="DL7" s="118">
        <v>930</v>
      </c>
      <c r="DM7" s="118">
        <v>930</v>
      </c>
      <c r="DN7" s="118">
        <v>930</v>
      </c>
      <c r="DO7" s="118">
        <v>930</v>
      </c>
      <c r="DP7" s="118">
        <v>930</v>
      </c>
      <c r="DQ7" s="118">
        <v>930</v>
      </c>
      <c r="DR7" s="118">
        <v>930</v>
      </c>
      <c r="DS7" s="118">
        <v>930</v>
      </c>
      <c r="DT7" s="118">
        <v>930</v>
      </c>
      <c r="DU7" s="118">
        <v>930</v>
      </c>
      <c r="DV7" s="118">
        <v>930</v>
      </c>
      <c r="DW7" s="118">
        <v>930</v>
      </c>
      <c r="DX7" s="118">
        <v>870</v>
      </c>
      <c r="DY7" s="118">
        <v>870</v>
      </c>
      <c r="DZ7" s="118">
        <v>870</v>
      </c>
      <c r="EA7" s="118">
        <v>870</v>
      </c>
      <c r="EB7" s="118">
        <v>870</v>
      </c>
      <c r="EC7" s="118">
        <v>870</v>
      </c>
      <c r="ED7" s="118">
        <v>870</v>
      </c>
      <c r="EE7" s="118">
        <v>830</v>
      </c>
      <c r="EF7" s="118">
        <v>830</v>
      </c>
      <c r="EG7" s="118">
        <v>830</v>
      </c>
      <c r="EH7" s="118">
        <v>830</v>
      </c>
      <c r="EI7" s="118">
        <v>830</v>
      </c>
      <c r="EJ7" s="118">
        <v>830</v>
      </c>
      <c r="EK7" s="118">
        <v>830</v>
      </c>
      <c r="EL7" s="118">
        <v>830</v>
      </c>
      <c r="EM7" s="118">
        <v>830</v>
      </c>
      <c r="EN7" s="118">
        <v>830</v>
      </c>
      <c r="EO7" s="118">
        <v>830</v>
      </c>
      <c r="EP7" s="118">
        <v>830</v>
      </c>
      <c r="EQ7" s="118">
        <v>830</v>
      </c>
      <c r="ER7" s="118">
        <v>830</v>
      </c>
      <c r="ES7" s="118">
        <v>830</v>
      </c>
      <c r="ET7" s="118">
        <v>830</v>
      </c>
      <c r="EU7" s="118">
        <f>(950+1000)/2</f>
        <v>975</v>
      </c>
      <c r="EV7" s="118">
        <v>1250</v>
      </c>
      <c r="EW7" s="118">
        <v>1400</v>
      </c>
      <c r="EX7" s="118">
        <v>1450</v>
      </c>
    </row>
    <row r="8" spans="1:154" ht="14">
      <c r="B8" s="117"/>
      <c r="D8" s="117" t="s">
        <v>82</v>
      </c>
      <c r="E8" s="131">
        <f t="shared" ref="E8:J8" si="0">E7</f>
        <v>900</v>
      </c>
      <c r="F8" s="131">
        <f t="shared" si="0"/>
        <v>947.5</v>
      </c>
      <c r="G8" s="131">
        <f t="shared" si="0"/>
        <v>1010</v>
      </c>
      <c r="H8" s="131">
        <f t="shared" si="0"/>
        <v>995</v>
      </c>
      <c r="I8" s="131">
        <f t="shared" si="0"/>
        <v>975</v>
      </c>
      <c r="J8" s="131">
        <f t="shared" si="0"/>
        <v>956</v>
      </c>
      <c r="K8" s="131">
        <f t="shared" ref="K8:L8" si="1">K7</f>
        <v>980</v>
      </c>
      <c r="L8" s="131">
        <f t="shared" si="1"/>
        <v>975</v>
      </c>
      <c r="M8" s="131">
        <f t="shared" ref="M8:N8" si="2">M7</f>
        <v>946</v>
      </c>
      <c r="N8" s="131">
        <f t="shared" si="2"/>
        <v>932.5</v>
      </c>
      <c r="O8" s="131">
        <f t="shared" ref="O8:P8" si="3">O7</f>
        <v>925</v>
      </c>
      <c r="P8" s="131">
        <f t="shared" si="3"/>
        <v>940</v>
      </c>
      <c r="Q8" s="131">
        <f t="shared" ref="Q8:R8" si="4">Q7</f>
        <v>940</v>
      </c>
      <c r="R8" s="131">
        <f t="shared" si="4"/>
        <v>940</v>
      </c>
      <c r="S8" s="131">
        <f t="shared" ref="S8:T8" si="5">S7</f>
        <v>945</v>
      </c>
      <c r="T8" s="131">
        <f t="shared" si="5"/>
        <v>940</v>
      </c>
      <c r="U8" s="131">
        <f t="shared" ref="U8:Z8" si="6">U7</f>
        <v>905</v>
      </c>
      <c r="V8" s="131">
        <f t="shared" si="6"/>
        <v>908</v>
      </c>
      <c r="W8" s="131">
        <f t="shared" si="6"/>
        <v>915</v>
      </c>
      <c r="X8" s="131">
        <f t="shared" si="6"/>
        <v>930</v>
      </c>
      <c r="Y8" s="131">
        <f t="shared" si="6"/>
        <v>930</v>
      </c>
      <c r="Z8" s="131">
        <f t="shared" si="6"/>
        <v>915</v>
      </c>
      <c r="AA8" s="131">
        <f t="shared" ref="AA8:AB8" si="7">AA7</f>
        <v>870</v>
      </c>
      <c r="AB8" s="131">
        <f t="shared" si="7"/>
        <v>840</v>
      </c>
      <c r="AC8" s="131">
        <f t="shared" ref="AC8:AD8" si="8">AC7</f>
        <v>830</v>
      </c>
      <c r="AD8" s="131">
        <f t="shared" si="8"/>
        <v>830</v>
      </c>
      <c r="AE8" s="131">
        <f t="shared" ref="AE8:AF8" si="9">AE7</f>
        <v>830</v>
      </c>
      <c r="AF8" s="131">
        <f t="shared" si="9"/>
        <v>1268.75</v>
      </c>
      <c r="AG8" s="131">
        <f t="shared" ref="AG8" si="10">AG7</f>
        <v>1450</v>
      </c>
      <c r="AI8" s="117" t="s">
        <v>82</v>
      </c>
      <c r="AJ8" s="41">
        <f t="shared" ref="AJ8:AM8" si="11">AJ7</f>
        <v>900</v>
      </c>
      <c r="AK8" s="41">
        <f t="shared" si="11"/>
        <v>900</v>
      </c>
      <c r="AL8" s="41">
        <f t="shared" si="11"/>
        <v>900</v>
      </c>
      <c r="AM8" s="41">
        <f t="shared" si="11"/>
        <v>900</v>
      </c>
      <c r="AN8" s="41">
        <f t="shared" ref="AN8:AO8" si="12">AN7</f>
        <v>900</v>
      </c>
      <c r="AO8" s="41">
        <f t="shared" si="12"/>
        <v>900</v>
      </c>
      <c r="AP8" s="41">
        <f t="shared" ref="AP8:AQ8" si="13">AP7</f>
        <v>930</v>
      </c>
      <c r="AQ8" s="41">
        <f t="shared" si="13"/>
        <v>930</v>
      </c>
      <c r="AR8" s="41">
        <f t="shared" ref="AR8:AS8" si="14">AR7</f>
        <v>1030</v>
      </c>
      <c r="AS8" s="41">
        <f t="shared" si="14"/>
        <v>1030</v>
      </c>
      <c r="AT8" s="41">
        <f t="shared" ref="AT8:AU8" si="15">AT7</f>
        <v>1000</v>
      </c>
      <c r="AU8" s="41">
        <f t="shared" si="15"/>
        <v>1000</v>
      </c>
      <c r="AV8" s="41">
        <f t="shared" ref="AV8:AW8" si="16">AV7</f>
        <v>1000</v>
      </c>
      <c r="AW8" s="41">
        <f t="shared" si="16"/>
        <v>1000</v>
      </c>
      <c r="AX8" s="41">
        <f t="shared" ref="AX8:AY8" si="17">AX7</f>
        <v>1000</v>
      </c>
      <c r="AY8" s="41">
        <f t="shared" si="17"/>
        <v>980</v>
      </c>
      <c r="AZ8" s="41">
        <f t="shared" ref="AZ8:BA8" si="18">AZ7</f>
        <v>980</v>
      </c>
      <c r="BA8" s="41">
        <f t="shared" si="18"/>
        <v>980</v>
      </c>
      <c r="BB8" s="41">
        <f t="shared" ref="BB8:BC8" si="19">BB7</f>
        <v>980</v>
      </c>
      <c r="BC8" s="41">
        <f t="shared" si="19"/>
        <v>960</v>
      </c>
      <c r="BD8" s="41">
        <f t="shared" ref="BD8:BE8" si="20">BD7</f>
        <v>950</v>
      </c>
      <c r="BE8" s="41">
        <f t="shared" si="20"/>
        <v>950</v>
      </c>
      <c r="BF8" s="41">
        <f t="shared" ref="BF8:BG8" si="21">BF7</f>
        <v>950</v>
      </c>
      <c r="BG8" s="41">
        <f t="shared" si="21"/>
        <v>950</v>
      </c>
      <c r="BH8" s="41">
        <f t="shared" ref="BH8:BI8" si="22">BH7</f>
        <v>980</v>
      </c>
      <c r="BI8" s="41">
        <f t="shared" si="22"/>
        <v>980</v>
      </c>
      <c r="BJ8" s="41">
        <f t="shared" ref="BJ8:BK8" si="23">BJ7</f>
        <v>980</v>
      </c>
      <c r="BK8" s="41">
        <f t="shared" si="23"/>
        <v>980</v>
      </c>
      <c r="BL8" s="41">
        <f t="shared" ref="BL8:BM8" si="24">BL7</f>
        <v>980</v>
      </c>
      <c r="BM8" s="41">
        <f t="shared" si="24"/>
        <v>980</v>
      </c>
      <c r="BN8" s="41">
        <f t="shared" ref="BN8:BO8" si="25">BN7</f>
        <v>980</v>
      </c>
      <c r="BO8" s="41">
        <f t="shared" si="25"/>
        <v>980</v>
      </c>
      <c r="BP8" s="41">
        <f t="shared" ref="BP8:BQ8" si="26">BP7</f>
        <v>960</v>
      </c>
      <c r="BQ8" s="41">
        <f t="shared" si="26"/>
        <v>950</v>
      </c>
      <c r="BR8" s="41">
        <f t="shared" ref="BR8:BS8" si="27">BR7</f>
        <v>950</v>
      </c>
      <c r="BS8" s="41">
        <f t="shared" si="27"/>
        <v>950</v>
      </c>
      <c r="BT8" s="41">
        <f t="shared" ref="BT8:BU8" si="28">BT7</f>
        <v>940</v>
      </c>
      <c r="BU8" s="41">
        <f t="shared" si="28"/>
        <v>940</v>
      </c>
      <c r="BV8" s="41">
        <f t="shared" ref="BV8:BW8" si="29">BV7</f>
        <v>940</v>
      </c>
      <c r="BW8" s="41">
        <f t="shared" si="29"/>
        <v>930</v>
      </c>
      <c r="BX8" s="41">
        <f t="shared" ref="BX8:BY8" si="30">BX7</f>
        <v>930</v>
      </c>
      <c r="BY8" s="41">
        <f t="shared" si="30"/>
        <v>930</v>
      </c>
      <c r="BZ8" s="41">
        <f t="shared" ref="BZ8:CA8" si="31">BZ7</f>
        <v>920</v>
      </c>
      <c r="CA8" s="41">
        <f t="shared" si="31"/>
        <v>920</v>
      </c>
      <c r="CB8" s="41">
        <f t="shared" ref="CB8:CC8" si="32">CB7</f>
        <v>920</v>
      </c>
      <c r="CC8" s="41">
        <f t="shared" si="32"/>
        <v>940</v>
      </c>
      <c r="CD8" s="41">
        <f t="shared" ref="CD8:CF8" si="33">CD7</f>
        <v>940</v>
      </c>
      <c r="CE8" s="41">
        <f t="shared" si="33"/>
        <v>940</v>
      </c>
      <c r="CF8" s="41">
        <f t="shared" si="33"/>
        <v>940</v>
      </c>
      <c r="CG8" s="41">
        <f t="shared" ref="CG8:CH8" si="34">CG7</f>
        <v>940</v>
      </c>
      <c r="CH8" s="41">
        <f t="shared" si="34"/>
        <v>940</v>
      </c>
      <c r="CI8" s="41">
        <f t="shared" ref="CI8:CL8" si="35">CI7</f>
        <v>940</v>
      </c>
      <c r="CJ8" s="41">
        <f t="shared" si="35"/>
        <v>940</v>
      </c>
      <c r="CK8" s="41">
        <f t="shared" si="35"/>
        <v>940</v>
      </c>
      <c r="CL8" s="41">
        <f t="shared" si="35"/>
        <v>940</v>
      </c>
      <c r="CM8" s="41">
        <f t="shared" ref="CM8:CO8" si="36">CM7</f>
        <v>940</v>
      </c>
      <c r="CN8" s="41">
        <f t="shared" si="36"/>
        <v>940</v>
      </c>
      <c r="CO8" s="41">
        <f t="shared" si="36"/>
        <v>940</v>
      </c>
      <c r="CP8" s="41">
        <f t="shared" ref="CP8:CQ8" si="37">CP7</f>
        <v>940</v>
      </c>
      <c r="CQ8" s="41">
        <f t="shared" si="37"/>
        <v>940</v>
      </c>
      <c r="CR8" s="41">
        <f t="shared" ref="CR8:CS8" si="38">CR7</f>
        <v>940</v>
      </c>
      <c r="CS8" s="41">
        <f t="shared" si="38"/>
        <v>950</v>
      </c>
      <c r="CT8" s="41">
        <f t="shared" ref="CT8:CU8" si="39">CT7</f>
        <v>950</v>
      </c>
      <c r="CU8" s="41">
        <f t="shared" si="39"/>
        <v>950</v>
      </c>
      <c r="CV8" s="41">
        <f t="shared" ref="CV8:CX8" si="40">CV7</f>
        <v>950</v>
      </c>
      <c r="CW8" s="41">
        <f t="shared" si="40"/>
        <v>950</v>
      </c>
      <c r="CX8" s="41">
        <f t="shared" si="40"/>
        <v>910</v>
      </c>
      <c r="CY8" s="41">
        <f t="shared" ref="CY8:DB8" si="41">CY7</f>
        <v>910</v>
      </c>
      <c r="CZ8" s="41">
        <f t="shared" si="41"/>
        <v>900</v>
      </c>
      <c r="DA8" s="41">
        <f t="shared" si="41"/>
        <v>900</v>
      </c>
      <c r="DB8" s="41">
        <f t="shared" si="41"/>
        <v>910</v>
      </c>
      <c r="DC8" s="41">
        <f t="shared" ref="DC8:DG8" si="42">DC7</f>
        <v>910</v>
      </c>
      <c r="DD8" s="41">
        <f t="shared" si="42"/>
        <v>910</v>
      </c>
      <c r="DE8" s="41">
        <f t="shared" si="42"/>
        <v>910</v>
      </c>
      <c r="DF8" s="41">
        <f t="shared" si="42"/>
        <v>910</v>
      </c>
      <c r="DG8" s="41">
        <f t="shared" si="42"/>
        <v>900</v>
      </c>
      <c r="DH8" s="41">
        <f t="shared" ref="DH8:DK8" si="43">DH7</f>
        <v>900</v>
      </c>
      <c r="DI8" s="41">
        <f t="shared" si="43"/>
        <v>900</v>
      </c>
      <c r="DJ8" s="41">
        <f t="shared" si="43"/>
        <v>930</v>
      </c>
      <c r="DK8" s="41">
        <f t="shared" si="43"/>
        <v>930</v>
      </c>
      <c r="DL8" s="41">
        <f t="shared" ref="DL8:DP8" si="44">DL7</f>
        <v>930</v>
      </c>
      <c r="DM8" s="41">
        <f t="shared" si="44"/>
        <v>930</v>
      </c>
      <c r="DN8" s="41">
        <f t="shared" si="44"/>
        <v>930</v>
      </c>
      <c r="DO8" s="41">
        <f t="shared" si="44"/>
        <v>930</v>
      </c>
      <c r="DP8" s="41">
        <f t="shared" si="44"/>
        <v>930</v>
      </c>
      <c r="DQ8" s="41">
        <f t="shared" ref="DQ8:DT8" si="45">DQ7</f>
        <v>930</v>
      </c>
      <c r="DR8" s="41">
        <f t="shared" si="45"/>
        <v>930</v>
      </c>
      <c r="DS8" s="41">
        <f t="shared" si="45"/>
        <v>930</v>
      </c>
      <c r="DT8" s="41">
        <f t="shared" si="45"/>
        <v>930</v>
      </c>
      <c r="DU8" s="41">
        <f t="shared" ref="DU8:DX8" si="46">DU7</f>
        <v>930</v>
      </c>
      <c r="DV8" s="41">
        <f t="shared" si="46"/>
        <v>930</v>
      </c>
      <c r="DW8" s="41">
        <f t="shared" si="46"/>
        <v>930</v>
      </c>
      <c r="DX8" s="41">
        <f t="shared" si="46"/>
        <v>870</v>
      </c>
      <c r="DY8" s="41">
        <f t="shared" ref="DY8:EC8" si="47">DY7</f>
        <v>870</v>
      </c>
      <c r="DZ8" s="41">
        <f t="shared" si="47"/>
        <v>870</v>
      </c>
      <c r="EA8" s="41">
        <f t="shared" si="47"/>
        <v>870</v>
      </c>
      <c r="EB8" s="41">
        <f t="shared" si="47"/>
        <v>870</v>
      </c>
      <c r="EC8" s="41">
        <f t="shared" si="47"/>
        <v>870</v>
      </c>
      <c r="ED8" s="41">
        <f t="shared" ref="ED8:EG8" si="48">ED7</f>
        <v>870</v>
      </c>
      <c r="EE8" s="41">
        <f t="shared" si="48"/>
        <v>830</v>
      </c>
      <c r="EF8" s="41">
        <f t="shared" si="48"/>
        <v>830</v>
      </c>
      <c r="EG8" s="41">
        <f t="shared" si="48"/>
        <v>830</v>
      </c>
      <c r="EH8" s="41">
        <f t="shared" ref="EH8:EK8" si="49">EH7</f>
        <v>830</v>
      </c>
      <c r="EI8" s="41">
        <f t="shared" si="49"/>
        <v>830</v>
      </c>
      <c r="EJ8" s="41">
        <f t="shared" si="49"/>
        <v>830</v>
      </c>
      <c r="EK8" s="41">
        <f t="shared" si="49"/>
        <v>830</v>
      </c>
      <c r="EL8" s="41">
        <f t="shared" ref="EL8:EP8" si="50">EL7</f>
        <v>830</v>
      </c>
      <c r="EM8" s="41">
        <f t="shared" si="50"/>
        <v>830</v>
      </c>
      <c r="EN8" s="41">
        <f t="shared" si="50"/>
        <v>830</v>
      </c>
      <c r="EO8" s="41">
        <f t="shared" si="50"/>
        <v>830</v>
      </c>
      <c r="EP8" s="41">
        <f t="shared" si="50"/>
        <v>830</v>
      </c>
      <c r="EQ8" s="41">
        <f t="shared" ref="EQ8:ET8" si="51">EQ7</f>
        <v>830</v>
      </c>
      <c r="ER8" s="41">
        <f t="shared" si="51"/>
        <v>830</v>
      </c>
      <c r="ES8" s="41">
        <f t="shared" si="51"/>
        <v>830</v>
      </c>
      <c r="ET8" s="41">
        <f t="shared" si="51"/>
        <v>830</v>
      </c>
      <c r="EU8" s="41">
        <f t="shared" ref="EU8:EV8" si="52">EU7</f>
        <v>975</v>
      </c>
      <c r="EV8" s="41">
        <f t="shared" si="52"/>
        <v>1250</v>
      </c>
      <c r="EW8" s="41">
        <f t="shared" ref="EW8:EX8" si="53">EW7</f>
        <v>1400</v>
      </c>
      <c r="EX8" s="41">
        <f t="shared" si="53"/>
        <v>1450</v>
      </c>
    </row>
    <row r="9" spans="1:154" ht="14">
      <c r="B9" s="117"/>
      <c r="D9" s="117" t="s">
        <v>83</v>
      </c>
      <c r="E9" s="41">
        <f t="shared" ref="E9:J9" si="54">+E6-E8</f>
        <v>-90</v>
      </c>
      <c r="F9" s="41">
        <f t="shared" si="54"/>
        <v>-137.5</v>
      </c>
      <c r="G9" s="41">
        <f t="shared" si="54"/>
        <v>-130</v>
      </c>
      <c r="H9" s="41">
        <f t="shared" si="54"/>
        <v>-95</v>
      </c>
      <c r="I9" s="41">
        <f t="shared" si="54"/>
        <v>-75</v>
      </c>
      <c r="J9" s="41">
        <f t="shared" si="54"/>
        <v>-86</v>
      </c>
      <c r="K9" s="41">
        <f t="shared" ref="K9:L9" si="55">+K6-K8</f>
        <v>-110</v>
      </c>
      <c r="L9" s="41">
        <f t="shared" si="55"/>
        <v>-105</v>
      </c>
      <c r="M9" s="41">
        <f t="shared" ref="M9:N9" si="56">+M6-M8</f>
        <v>-76</v>
      </c>
      <c r="N9" s="41">
        <f t="shared" si="56"/>
        <v>-82.5</v>
      </c>
      <c r="O9" s="41">
        <f t="shared" ref="O9:P9" si="57">+O6-O8</f>
        <v>-85</v>
      </c>
      <c r="P9" s="41">
        <f t="shared" si="57"/>
        <v>-115</v>
      </c>
      <c r="Q9" s="41">
        <f t="shared" ref="Q9:R9" si="58">+Q6-Q8</f>
        <v>-115</v>
      </c>
      <c r="R9" s="41">
        <f t="shared" si="58"/>
        <v>-115</v>
      </c>
      <c r="S9" s="41">
        <f t="shared" ref="S9:T9" si="59">+S6-S8</f>
        <v>-195</v>
      </c>
      <c r="T9" s="41">
        <f t="shared" si="59"/>
        <v>-190</v>
      </c>
      <c r="U9" s="41">
        <f t="shared" ref="U9:V9" si="60">+U6-U8</f>
        <v>-155</v>
      </c>
      <c r="V9" s="41">
        <f t="shared" si="60"/>
        <v>-188</v>
      </c>
      <c r="W9" s="41">
        <f t="shared" ref="W9:X9" si="61">+W6-W8</f>
        <v>-195</v>
      </c>
      <c r="X9" s="41">
        <f t="shared" si="61"/>
        <v>-210</v>
      </c>
      <c r="Y9" s="41">
        <f t="shared" ref="Y9:Z9" si="62">+Y6-Y8</f>
        <v>-230</v>
      </c>
      <c r="Z9" s="41">
        <f t="shared" si="62"/>
        <v>-215</v>
      </c>
      <c r="AA9" s="41">
        <f t="shared" ref="AA9:AB9" si="63">+AA6-AA8</f>
        <v>-170</v>
      </c>
      <c r="AB9" s="41">
        <f t="shared" si="63"/>
        <v>-150</v>
      </c>
      <c r="AC9" s="41">
        <f t="shared" ref="AC9:AD9" si="64">+AC6-AC8</f>
        <v>-165</v>
      </c>
      <c r="AD9" s="41">
        <f t="shared" si="64"/>
        <v>-165</v>
      </c>
      <c r="AE9" s="41">
        <f t="shared" ref="AE9:AF9" si="65">+AE6-AE8</f>
        <v>-165</v>
      </c>
      <c r="AF9" s="41">
        <f t="shared" si="65"/>
        <v>-603.75</v>
      </c>
      <c r="AG9" s="41">
        <f t="shared" ref="AG9" si="66">+AG6-AG8</f>
        <v>-1450</v>
      </c>
      <c r="AI9" s="117" t="s">
        <v>83</v>
      </c>
      <c r="AJ9" s="41">
        <f t="shared" ref="AJ9:AO9" si="67">+AJ6-AJ8</f>
        <v>-90</v>
      </c>
      <c r="AK9" s="41">
        <f t="shared" si="67"/>
        <v>-90</v>
      </c>
      <c r="AL9" s="41">
        <f t="shared" si="67"/>
        <v>-90</v>
      </c>
      <c r="AM9" s="41">
        <f t="shared" si="67"/>
        <v>-90</v>
      </c>
      <c r="AN9" s="41">
        <f t="shared" si="67"/>
        <v>-90</v>
      </c>
      <c r="AO9" s="41">
        <f t="shared" si="67"/>
        <v>-90</v>
      </c>
      <c r="AP9" s="41">
        <f t="shared" ref="AP9:AQ9" si="68">+AP6-AP8</f>
        <v>-120</v>
      </c>
      <c r="AQ9" s="41">
        <f t="shared" si="68"/>
        <v>-120</v>
      </c>
      <c r="AR9" s="41">
        <f t="shared" ref="AR9:AS9" si="69">+AR6-AR8</f>
        <v>-220</v>
      </c>
      <c r="AS9" s="41">
        <f t="shared" si="69"/>
        <v>-150</v>
      </c>
      <c r="AT9" s="41">
        <f t="shared" ref="AT9:AU9" si="70">+AT6-AT8</f>
        <v>-120</v>
      </c>
      <c r="AU9" s="41">
        <f t="shared" si="70"/>
        <v>-120</v>
      </c>
      <c r="AV9" s="41">
        <f t="shared" ref="AV9:AW9" si="71">+AV6-AV8</f>
        <v>-100</v>
      </c>
      <c r="AW9" s="41">
        <f t="shared" si="71"/>
        <v>-100</v>
      </c>
      <c r="AX9" s="41">
        <f t="shared" ref="AX9:AY9" si="72">+AX6-AX8</f>
        <v>-100</v>
      </c>
      <c r="AY9" s="41">
        <f t="shared" si="72"/>
        <v>-80</v>
      </c>
      <c r="AZ9" s="41">
        <f t="shared" ref="AZ9:BA9" si="73">+AZ6-AZ8</f>
        <v>-80</v>
      </c>
      <c r="BA9" s="41">
        <f t="shared" si="73"/>
        <v>-80</v>
      </c>
      <c r="BB9" s="41">
        <f t="shared" ref="BB9:BC9" si="74">+BB6-BB8</f>
        <v>-80</v>
      </c>
      <c r="BC9" s="41">
        <f t="shared" si="74"/>
        <v>-60</v>
      </c>
      <c r="BD9" s="41">
        <f t="shared" ref="BD9:BE9" si="75">+BD6-BD8</f>
        <v>-80</v>
      </c>
      <c r="BE9" s="41">
        <f t="shared" si="75"/>
        <v>-80</v>
      </c>
      <c r="BF9" s="41">
        <f t="shared" ref="BF9:BG9" si="76">+BF6-BF8</f>
        <v>-80</v>
      </c>
      <c r="BG9" s="41">
        <f t="shared" si="76"/>
        <v>-80</v>
      </c>
      <c r="BH9" s="41">
        <f t="shared" ref="BH9:BI9" si="77">+BH6-BH8</f>
        <v>-110</v>
      </c>
      <c r="BI9" s="41">
        <f t="shared" si="77"/>
        <v>-110</v>
      </c>
      <c r="BJ9" s="41">
        <f t="shared" ref="BJ9:BK9" si="78">+BJ6-BJ8</f>
        <v>-110</v>
      </c>
      <c r="BK9" s="41">
        <f t="shared" si="78"/>
        <v>-110</v>
      </c>
      <c r="BL9" s="41">
        <f t="shared" ref="BL9:BM9" si="79">+BL6-BL8</f>
        <v>-110</v>
      </c>
      <c r="BM9" s="41">
        <f t="shared" si="79"/>
        <v>-110</v>
      </c>
      <c r="BN9" s="41">
        <f t="shared" ref="BN9:BO9" si="80">+BN6-BN8</f>
        <v>-110</v>
      </c>
      <c r="BO9" s="41">
        <f t="shared" si="80"/>
        <v>-110</v>
      </c>
      <c r="BP9" s="41">
        <f t="shared" ref="BP9:BQ9" si="81">+BP6-BP8</f>
        <v>-90</v>
      </c>
      <c r="BQ9" s="41">
        <f t="shared" si="81"/>
        <v>-80</v>
      </c>
      <c r="BR9" s="41">
        <f t="shared" ref="BR9:BS9" si="82">+BR6-BR8</f>
        <v>-80</v>
      </c>
      <c r="BS9" s="41">
        <f t="shared" si="82"/>
        <v>-80</v>
      </c>
      <c r="BT9" s="41">
        <f t="shared" ref="BT9:BU9" si="83">+BT6-BT8</f>
        <v>-70</v>
      </c>
      <c r="BU9" s="41">
        <f t="shared" si="83"/>
        <v>-70</v>
      </c>
      <c r="BV9" s="41">
        <f t="shared" ref="BV9:BW9" si="84">+BV6-BV8</f>
        <v>-90</v>
      </c>
      <c r="BW9" s="41">
        <f t="shared" si="84"/>
        <v>-80</v>
      </c>
      <c r="BX9" s="41">
        <f t="shared" ref="BX9:BY9" si="85">+BX6-BX8</f>
        <v>-80</v>
      </c>
      <c r="BY9" s="41">
        <f t="shared" si="85"/>
        <v>-80</v>
      </c>
      <c r="BZ9" s="41">
        <f t="shared" ref="BZ9:CA9" si="86">+BZ6-BZ8</f>
        <v>-80</v>
      </c>
      <c r="CA9" s="41">
        <f t="shared" si="86"/>
        <v>-80</v>
      </c>
      <c r="CB9" s="41">
        <f t="shared" ref="CB9:CC9" si="87">+CB6-CB8</f>
        <v>-80</v>
      </c>
      <c r="CC9" s="41">
        <f t="shared" si="87"/>
        <v>-100</v>
      </c>
      <c r="CD9" s="41">
        <f t="shared" ref="CD9:CF9" si="88">+CD6-CD8</f>
        <v>-115</v>
      </c>
      <c r="CE9" s="41">
        <f t="shared" si="88"/>
        <v>-115</v>
      </c>
      <c r="CF9" s="41">
        <f t="shared" si="88"/>
        <v>-115</v>
      </c>
      <c r="CG9" s="41">
        <f t="shared" ref="CG9:CH9" si="89">+CG6-CG8</f>
        <v>-115</v>
      </c>
      <c r="CH9" s="41">
        <f t="shared" si="89"/>
        <v>-115</v>
      </c>
      <c r="CI9" s="41">
        <f t="shared" ref="CI9:CL9" si="90">+CI6-CI8</f>
        <v>-115</v>
      </c>
      <c r="CJ9" s="41">
        <f t="shared" si="90"/>
        <v>-115</v>
      </c>
      <c r="CK9" s="41">
        <f t="shared" si="90"/>
        <v>-115</v>
      </c>
      <c r="CL9" s="41">
        <f t="shared" si="90"/>
        <v>-115</v>
      </c>
      <c r="CM9" s="41">
        <f t="shared" ref="CM9:CO9" si="91">+CM6-CM8</f>
        <v>-115</v>
      </c>
      <c r="CN9" s="41">
        <f t="shared" si="91"/>
        <v>-115</v>
      </c>
      <c r="CO9" s="41">
        <f t="shared" si="91"/>
        <v>-115</v>
      </c>
      <c r="CP9" s="41">
        <f t="shared" ref="CP9:CQ9" si="92">+CP6-CP8</f>
        <v>-115</v>
      </c>
      <c r="CQ9" s="41">
        <f t="shared" si="92"/>
        <v>-190</v>
      </c>
      <c r="CR9" s="41">
        <f t="shared" ref="CR9:CS9" si="93">+CR6-CR8</f>
        <v>-190</v>
      </c>
      <c r="CS9" s="41">
        <f t="shared" si="93"/>
        <v>-200</v>
      </c>
      <c r="CT9" s="41">
        <f t="shared" ref="CT9:CU9" si="94">+CT6-CT8</f>
        <v>-200</v>
      </c>
      <c r="CU9" s="41">
        <f t="shared" si="94"/>
        <v>-200</v>
      </c>
      <c r="CV9" s="41">
        <f t="shared" ref="CV9:CX9" si="95">+CV6-CV8</f>
        <v>-200</v>
      </c>
      <c r="CW9" s="41">
        <f t="shared" si="95"/>
        <v>-200</v>
      </c>
      <c r="CX9" s="41">
        <f t="shared" si="95"/>
        <v>-160</v>
      </c>
      <c r="CY9" s="41">
        <f t="shared" ref="CY9:DB9" si="96">+CY6-CY8</f>
        <v>-160</v>
      </c>
      <c r="CZ9" s="41">
        <f t="shared" si="96"/>
        <v>-150</v>
      </c>
      <c r="DA9" s="41">
        <f t="shared" si="96"/>
        <v>-150</v>
      </c>
      <c r="DB9" s="41">
        <f t="shared" si="96"/>
        <v>-160</v>
      </c>
      <c r="DC9" s="41">
        <f t="shared" ref="DC9:DG9" si="97">+DC6-DC8</f>
        <v>-190</v>
      </c>
      <c r="DD9" s="41">
        <f t="shared" si="97"/>
        <v>-190</v>
      </c>
      <c r="DE9" s="41">
        <f t="shared" si="97"/>
        <v>-190</v>
      </c>
      <c r="DF9" s="41">
        <f t="shared" si="97"/>
        <v>-190</v>
      </c>
      <c r="DG9" s="41">
        <f t="shared" si="97"/>
        <v>-180</v>
      </c>
      <c r="DH9" s="41">
        <f t="shared" ref="DH9:DK9" si="98">+DH6-DH8</f>
        <v>-180</v>
      </c>
      <c r="DI9" s="41">
        <f t="shared" si="98"/>
        <v>-180</v>
      </c>
      <c r="DJ9" s="41">
        <f t="shared" si="98"/>
        <v>-210</v>
      </c>
      <c r="DK9" s="41">
        <f t="shared" si="98"/>
        <v>-210</v>
      </c>
      <c r="DL9" s="41">
        <f t="shared" ref="DL9:DP9" si="99">+DL6-DL8</f>
        <v>-210</v>
      </c>
      <c r="DM9" s="41">
        <f t="shared" si="99"/>
        <v>-210</v>
      </c>
      <c r="DN9" s="41">
        <f t="shared" si="99"/>
        <v>-210</v>
      </c>
      <c r="DO9" s="41">
        <f t="shared" si="99"/>
        <v>-210</v>
      </c>
      <c r="DP9" s="41">
        <f t="shared" si="99"/>
        <v>-210</v>
      </c>
      <c r="DQ9" s="41">
        <f t="shared" ref="DQ9:DT9" si="100">+DQ6-DQ8</f>
        <v>-230</v>
      </c>
      <c r="DR9" s="41">
        <f t="shared" si="100"/>
        <v>-230</v>
      </c>
      <c r="DS9" s="41">
        <f t="shared" si="100"/>
        <v>-230</v>
      </c>
      <c r="DT9" s="41">
        <f t="shared" si="100"/>
        <v>-230</v>
      </c>
      <c r="DU9" s="41">
        <f t="shared" ref="DU9:DX9" si="101">+DU6-DU8</f>
        <v>-230</v>
      </c>
      <c r="DV9" s="41">
        <f t="shared" si="101"/>
        <v>-230</v>
      </c>
      <c r="DW9" s="41">
        <f t="shared" si="101"/>
        <v>-230</v>
      </c>
      <c r="DX9" s="41">
        <f t="shared" si="101"/>
        <v>-170</v>
      </c>
      <c r="DY9" s="41">
        <f t="shared" ref="DY9:EC9" si="102">+DY6-DY8</f>
        <v>-170</v>
      </c>
      <c r="DZ9" s="41">
        <f t="shared" si="102"/>
        <v>-170</v>
      </c>
      <c r="EA9" s="41">
        <f t="shared" si="102"/>
        <v>-170</v>
      </c>
      <c r="EB9" s="41">
        <f t="shared" si="102"/>
        <v>-170</v>
      </c>
      <c r="EC9" s="41">
        <f t="shared" si="102"/>
        <v>-170</v>
      </c>
      <c r="ED9" s="41">
        <f t="shared" ref="ED9:EG9" si="103">+ED6-ED8</f>
        <v>-180</v>
      </c>
      <c r="EE9" s="41">
        <f t="shared" si="103"/>
        <v>-140</v>
      </c>
      <c r="EF9" s="41">
        <f t="shared" si="103"/>
        <v>-140</v>
      </c>
      <c r="EG9" s="41">
        <f t="shared" si="103"/>
        <v>-140</v>
      </c>
      <c r="EH9" s="41">
        <f t="shared" ref="EH9:EK9" si="104">+EH6-EH8</f>
        <v>-165</v>
      </c>
      <c r="EI9" s="41">
        <f t="shared" si="104"/>
        <v>-165</v>
      </c>
      <c r="EJ9" s="41">
        <f t="shared" si="104"/>
        <v>-165</v>
      </c>
      <c r="EK9" s="41">
        <f t="shared" si="104"/>
        <v>-165</v>
      </c>
      <c r="EL9" s="41">
        <f t="shared" ref="EL9:EP9" si="105">+EL6-EL8</f>
        <v>-165</v>
      </c>
      <c r="EM9" s="41">
        <f t="shared" si="105"/>
        <v>-165</v>
      </c>
      <c r="EN9" s="41">
        <f t="shared" si="105"/>
        <v>-165</v>
      </c>
      <c r="EO9" s="41">
        <f t="shared" si="105"/>
        <v>-165</v>
      </c>
      <c r="EP9" s="41">
        <f t="shared" si="105"/>
        <v>-165</v>
      </c>
      <c r="EQ9" s="41">
        <f t="shared" ref="EQ9:ET9" si="106">+EQ6-EQ8</f>
        <v>-165</v>
      </c>
      <c r="ER9" s="41">
        <f t="shared" si="106"/>
        <v>-165</v>
      </c>
      <c r="ES9" s="41">
        <f t="shared" si="106"/>
        <v>-165</v>
      </c>
      <c r="ET9" s="41">
        <f t="shared" si="106"/>
        <v>-165</v>
      </c>
      <c r="EU9" s="41">
        <f t="shared" ref="EU9:EV9" si="107">+EU6-EU8</f>
        <v>-310</v>
      </c>
      <c r="EV9" s="41">
        <f t="shared" si="107"/>
        <v>-585</v>
      </c>
      <c r="EW9" s="41">
        <f t="shared" ref="EW9:EX9" si="108">+EW6-EW8</f>
        <v>-685</v>
      </c>
      <c r="EX9" s="41">
        <f t="shared" si="108"/>
        <v>-735</v>
      </c>
    </row>
    <row r="10" spans="1:154">
      <c r="D10" s="1" t="s">
        <v>81</v>
      </c>
      <c r="E10" s="51">
        <f t="shared" ref="E10:J10" si="109">+E9/E8</f>
        <v>-0.1</v>
      </c>
      <c r="F10" s="51">
        <f t="shared" si="109"/>
        <v>-0.14511873350923482</v>
      </c>
      <c r="G10" s="51">
        <f t="shared" si="109"/>
        <v>-0.12871287128712872</v>
      </c>
      <c r="H10" s="51">
        <f t="shared" si="109"/>
        <v>-9.5477386934673364E-2</v>
      </c>
      <c r="I10" s="51">
        <f t="shared" si="109"/>
        <v>-7.6923076923076927E-2</v>
      </c>
      <c r="J10" s="51">
        <f t="shared" si="109"/>
        <v>-8.9958158995815898E-2</v>
      </c>
      <c r="K10" s="51">
        <f t="shared" ref="K10:L10" si="110">+K9/K8</f>
        <v>-0.11224489795918367</v>
      </c>
      <c r="L10" s="51">
        <f t="shared" si="110"/>
        <v>-0.1076923076923077</v>
      </c>
      <c r="M10" s="51">
        <f t="shared" ref="M10:N10" si="111">+M9/M8</f>
        <v>-8.0338266384778007E-2</v>
      </c>
      <c r="N10" s="51">
        <f t="shared" si="111"/>
        <v>-8.8471849865951746E-2</v>
      </c>
      <c r="O10" s="51">
        <f t="shared" ref="O10:P10" si="112">+O9/O8</f>
        <v>-9.1891891891891897E-2</v>
      </c>
      <c r="P10" s="51">
        <f t="shared" si="112"/>
        <v>-0.12234042553191489</v>
      </c>
      <c r="Q10" s="51">
        <f t="shared" ref="Q10:R10" si="113">+Q9/Q8</f>
        <v>-0.12234042553191489</v>
      </c>
      <c r="R10" s="51">
        <f t="shared" si="113"/>
        <v>-0.12234042553191489</v>
      </c>
      <c r="S10" s="51">
        <f t="shared" ref="S10:T10" si="114">+S9/S8</f>
        <v>-0.20634920634920634</v>
      </c>
      <c r="T10" s="51">
        <f t="shared" si="114"/>
        <v>-0.20212765957446807</v>
      </c>
      <c r="U10" s="51">
        <f t="shared" ref="U10:V10" si="115">+U9/U8</f>
        <v>-0.17127071823204421</v>
      </c>
      <c r="V10" s="51">
        <f t="shared" si="115"/>
        <v>-0.20704845814977973</v>
      </c>
      <c r="W10" s="51">
        <f t="shared" ref="W10:X10" si="116">+W9/W8</f>
        <v>-0.21311475409836064</v>
      </c>
      <c r="X10" s="51">
        <f t="shared" si="116"/>
        <v>-0.22580645161290322</v>
      </c>
      <c r="Y10" s="51">
        <f t="shared" ref="Y10:Z10" si="117">+Y9/Y8</f>
        <v>-0.24731182795698925</v>
      </c>
      <c r="Z10" s="51">
        <f t="shared" si="117"/>
        <v>-0.23497267759562843</v>
      </c>
      <c r="AA10" s="51">
        <f t="shared" ref="AA10:AB10" si="118">+AA9/AA8</f>
        <v>-0.19540229885057472</v>
      </c>
      <c r="AB10" s="51">
        <f t="shared" si="118"/>
        <v>-0.17857142857142858</v>
      </c>
      <c r="AC10" s="51">
        <f t="shared" ref="AC10:AD10" si="119">+AC9/AC8</f>
        <v>-0.19879518072289157</v>
      </c>
      <c r="AD10" s="51">
        <f t="shared" si="119"/>
        <v>-0.19879518072289157</v>
      </c>
      <c r="AE10" s="51">
        <f t="shared" ref="AE10:AF10" si="120">+AE9/AE8</f>
        <v>-0.19879518072289157</v>
      </c>
      <c r="AF10" s="51">
        <f t="shared" si="120"/>
        <v>-0.47586206896551725</v>
      </c>
      <c r="AG10" s="51">
        <f t="shared" ref="AG10" si="121">+AG9/AG8</f>
        <v>-1</v>
      </c>
      <c r="AI10" s="1" t="s">
        <v>81</v>
      </c>
      <c r="AJ10" s="51">
        <f t="shared" ref="AJ10:AM10" si="122">+AJ9/AJ8</f>
        <v>-0.1</v>
      </c>
      <c r="AK10" s="51">
        <f t="shared" si="122"/>
        <v>-0.1</v>
      </c>
      <c r="AL10" s="51">
        <f t="shared" si="122"/>
        <v>-0.1</v>
      </c>
      <c r="AM10" s="51">
        <f t="shared" si="122"/>
        <v>-0.1</v>
      </c>
      <c r="AN10" s="51">
        <f t="shared" ref="AN10:AO10" si="123">+AN9/AN8</f>
        <v>-0.1</v>
      </c>
      <c r="AO10" s="51">
        <f t="shared" si="123"/>
        <v>-0.1</v>
      </c>
      <c r="AP10" s="51">
        <f t="shared" ref="AP10:AQ10" si="124">+AP9/AP8</f>
        <v>-0.12903225806451613</v>
      </c>
      <c r="AQ10" s="51">
        <f t="shared" si="124"/>
        <v>-0.12903225806451613</v>
      </c>
      <c r="AR10" s="51">
        <f t="shared" ref="AR10:AS10" si="125">+AR9/AR8</f>
        <v>-0.21359223300970873</v>
      </c>
      <c r="AS10" s="51">
        <f t="shared" si="125"/>
        <v>-0.14563106796116504</v>
      </c>
      <c r="AT10" s="51">
        <f t="shared" ref="AT10:AU10" si="126">+AT9/AT8</f>
        <v>-0.12</v>
      </c>
      <c r="AU10" s="51">
        <f t="shared" si="126"/>
        <v>-0.12</v>
      </c>
      <c r="AV10" s="51">
        <f t="shared" ref="AV10:AW10" si="127">+AV9/AV8</f>
        <v>-0.1</v>
      </c>
      <c r="AW10" s="51">
        <f t="shared" si="127"/>
        <v>-0.1</v>
      </c>
      <c r="AX10" s="51">
        <f t="shared" ref="AX10:AY10" si="128">+AX9/AX8</f>
        <v>-0.1</v>
      </c>
      <c r="AY10" s="51">
        <f t="shared" si="128"/>
        <v>-8.1632653061224483E-2</v>
      </c>
      <c r="AZ10" s="51">
        <f t="shared" ref="AZ10:BA10" si="129">+AZ9/AZ8</f>
        <v>-8.1632653061224483E-2</v>
      </c>
      <c r="BA10" s="51">
        <f t="shared" si="129"/>
        <v>-8.1632653061224483E-2</v>
      </c>
      <c r="BB10" s="51">
        <f t="shared" ref="BB10:BC10" si="130">+BB9/BB8</f>
        <v>-8.1632653061224483E-2</v>
      </c>
      <c r="BC10" s="51">
        <f t="shared" si="130"/>
        <v>-6.25E-2</v>
      </c>
      <c r="BD10" s="51">
        <f t="shared" ref="BD10:BE10" si="131">+BD9/BD8</f>
        <v>-8.4210526315789472E-2</v>
      </c>
      <c r="BE10" s="51">
        <f t="shared" si="131"/>
        <v>-8.4210526315789472E-2</v>
      </c>
      <c r="BF10" s="51">
        <f t="shared" ref="BF10:BG10" si="132">+BF9/BF8</f>
        <v>-8.4210526315789472E-2</v>
      </c>
      <c r="BG10" s="51">
        <f t="shared" si="132"/>
        <v>-8.4210526315789472E-2</v>
      </c>
      <c r="BH10" s="51">
        <f t="shared" ref="BH10:BI10" si="133">+BH9/BH8</f>
        <v>-0.11224489795918367</v>
      </c>
      <c r="BI10" s="51">
        <f t="shared" si="133"/>
        <v>-0.11224489795918367</v>
      </c>
      <c r="BJ10" s="51">
        <f t="shared" ref="BJ10:BK10" si="134">+BJ9/BJ8</f>
        <v>-0.11224489795918367</v>
      </c>
      <c r="BK10" s="51">
        <f t="shared" si="134"/>
        <v>-0.11224489795918367</v>
      </c>
      <c r="BL10" s="51">
        <f t="shared" ref="BL10:BM10" si="135">+BL9/BL8</f>
        <v>-0.11224489795918367</v>
      </c>
      <c r="BM10" s="51">
        <f t="shared" si="135"/>
        <v>-0.11224489795918367</v>
      </c>
      <c r="BN10" s="51">
        <f t="shared" ref="BN10:BO10" si="136">+BN9/BN8</f>
        <v>-0.11224489795918367</v>
      </c>
      <c r="BO10" s="51">
        <f t="shared" si="136"/>
        <v>-0.11224489795918367</v>
      </c>
      <c r="BP10" s="51">
        <f t="shared" ref="BP10:BQ10" si="137">+BP9/BP8</f>
        <v>-9.375E-2</v>
      </c>
      <c r="BQ10" s="51">
        <f t="shared" si="137"/>
        <v>-8.4210526315789472E-2</v>
      </c>
      <c r="BR10" s="51">
        <f t="shared" ref="BR10:BS10" si="138">+BR9/BR8</f>
        <v>-8.4210526315789472E-2</v>
      </c>
      <c r="BS10" s="51">
        <f t="shared" si="138"/>
        <v>-8.4210526315789472E-2</v>
      </c>
      <c r="BT10" s="51">
        <f t="shared" ref="BT10:BU10" si="139">+BT9/BT8</f>
        <v>-7.4468085106382975E-2</v>
      </c>
      <c r="BU10" s="51">
        <f t="shared" si="139"/>
        <v>-7.4468085106382975E-2</v>
      </c>
      <c r="BV10" s="51">
        <f t="shared" ref="BV10:BW10" si="140">+BV9/BV8</f>
        <v>-9.5744680851063829E-2</v>
      </c>
      <c r="BW10" s="51">
        <f t="shared" si="140"/>
        <v>-8.6021505376344093E-2</v>
      </c>
      <c r="BX10" s="51">
        <f t="shared" ref="BX10:BY10" si="141">+BX9/BX8</f>
        <v>-8.6021505376344093E-2</v>
      </c>
      <c r="BY10" s="51">
        <f t="shared" si="141"/>
        <v>-8.6021505376344093E-2</v>
      </c>
      <c r="BZ10" s="51">
        <f t="shared" ref="BZ10:CA10" si="142">+BZ9/BZ8</f>
        <v>-8.6956521739130432E-2</v>
      </c>
      <c r="CA10" s="51">
        <f t="shared" si="142"/>
        <v>-8.6956521739130432E-2</v>
      </c>
      <c r="CB10" s="51">
        <f t="shared" ref="CB10:CC10" si="143">+CB9/CB8</f>
        <v>-8.6956521739130432E-2</v>
      </c>
      <c r="CC10" s="51">
        <f t="shared" si="143"/>
        <v>-0.10638297872340426</v>
      </c>
      <c r="CD10" s="51">
        <f t="shared" ref="CD10:CF10" si="144">+CD9/CD8</f>
        <v>-0.12234042553191489</v>
      </c>
      <c r="CE10" s="51">
        <f t="shared" si="144"/>
        <v>-0.12234042553191489</v>
      </c>
      <c r="CF10" s="51">
        <f t="shared" si="144"/>
        <v>-0.12234042553191489</v>
      </c>
      <c r="CG10" s="51">
        <f t="shared" ref="CG10:CH10" si="145">+CG9/CG8</f>
        <v>-0.12234042553191489</v>
      </c>
      <c r="CH10" s="51">
        <f t="shared" si="145"/>
        <v>-0.12234042553191489</v>
      </c>
      <c r="CI10" s="51">
        <f t="shared" ref="CI10:CL10" si="146">+CI9/CI8</f>
        <v>-0.12234042553191489</v>
      </c>
      <c r="CJ10" s="51">
        <f t="shared" si="146"/>
        <v>-0.12234042553191489</v>
      </c>
      <c r="CK10" s="51">
        <f t="shared" si="146"/>
        <v>-0.12234042553191489</v>
      </c>
      <c r="CL10" s="51">
        <f t="shared" si="146"/>
        <v>-0.12234042553191489</v>
      </c>
      <c r="CM10" s="51">
        <f t="shared" ref="CM10:CO10" si="147">+CM9/CM8</f>
        <v>-0.12234042553191489</v>
      </c>
      <c r="CN10" s="51">
        <f t="shared" si="147"/>
        <v>-0.12234042553191489</v>
      </c>
      <c r="CO10" s="51">
        <f t="shared" si="147"/>
        <v>-0.12234042553191489</v>
      </c>
      <c r="CP10" s="51">
        <f t="shared" ref="CP10:CQ10" si="148">+CP9/CP8</f>
        <v>-0.12234042553191489</v>
      </c>
      <c r="CQ10" s="51">
        <f t="shared" si="148"/>
        <v>-0.20212765957446807</v>
      </c>
      <c r="CR10" s="51">
        <f t="shared" ref="CR10:CS10" si="149">+CR9/CR8</f>
        <v>-0.20212765957446807</v>
      </c>
      <c r="CS10" s="51">
        <f t="shared" si="149"/>
        <v>-0.21052631578947367</v>
      </c>
      <c r="CT10" s="51">
        <f t="shared" ref="CT10:CU10" si="150">+CT9/CT8</f>
        <v>-0.21052631578947367</v>
      </c>
      <c r="CU10" s="51">
        <f t="shared" si="150"/>
        <v>-0.21052631578947367</v>
      </c>
      <c r="CV10" s="51">
        <f t="shared" ref="CV10:CX10" si="151">+CV9/CV8</f>
        <v>-0.21052631578947367</v>
      </c>
      <c r="CW10" s="51">
        <f t="shared" si="151"/>
        <v>-0.21052631578947367</v>
      </c>
      <c r="CX10" s="51">
        <f t="shared" si="151"/>
        <v>-0.17582417582417584</v>
      </c>
      <c r="CY10" s="51">
        <f t="shared" ref="CY10:DB10" si="152">+CY9/CY8</f>
        <v>-0.17582417582417584</v>
      </c>
      <c r="CZ10" s="51">
        <f t="shared" si="152"/>
        <v>-0.16666666666666666</v>
      </c>
      <c r="DA10" s="51">
        <f t="shared" si="152"/>
        <v>-0.16666666666666666</v>
      </c>
      <c r="DB10" s="51">
        <f t="shared" si="152"/>
        <v>-0.17582417582417584</v>
      </c>
      <c r="DC10" s="51">
        <f t="shared" ref="DC10:DG10" si="153">+DC9/DC8</f>
        <v>-0.2087912087912088</v>
      </c>
      <c r="DD10" s="51">
        <f t="shared" si="153"/>
        <v>-0.2087912087912088</v>
      </c>
      <c r="DE10" s="51">
        <f t="shared" si="153"/>
        <v>-0.2087912087912088</v>
      </c>
      <c r="DF10" s="51">
        <f t="shared" si="153"/>
        <v>-0.2087912087912088</v>
      </c>
      <c r="DG10" s="51">
        <f t="shared" si="153"/>
        <v>-0.2</v>
      </c>
      <c r="DH10" s="51">
        <f t="shared" ref="DH10:DK10" si="154">+DH9/DH8</f>
        <v>-0.2</v>
      </c>
      <c r="DI10" s="51">
        <f t="shared" si="154"/>
        <v>-0.2</v>
      </c>
      <c r="DJ10" s="51">
        <f t="shared" si="154"/>
        <v>-0.22580645161290322</v>
      </c>
      <c r="DK10" s="51">
        <f t="shared" si="154"/>
        <v>-0.22580645161290322</v>
      </c>
      <c r="DL10" s="51">
        <f t="shared" ref="DL10:DP10" si="155">+DL9/DL8</f>
        <v>-0.22580645161290322</v>
      </c>
      <c r="DM10" s="51">
        <f t="shared" si="155"/>
        <v>-0.22580645161290322</v>
      </c>
      <c r="DN10" s="51">
        <f t="shared" si="155"/>
        <v>-0.22580645161290322</v>
      </c>
      <c r="DO10" s="51">
        <f t="shared" si="155"/>
        <v>-0.22580645161290322</v>
      </c>
      <c r="DP10" s="51">
        <f t="shared" si="155"/>
        <v>-0.22580645161290322</v>
      </c>
      <c r="DQ10" s="51">
        <f t="shared" ref="DQ10:DT10" si="156">+DQ9/DQ8</f>
        <v>-0.24731182795698925</v>
      </c>
      <c r="DR10" s="51">
        <f t="shared" si="156"/>
        <v>-0.24731182795698925</v>
      </c>
      <c r="DS10" s="51">
        <f t="shared" si="156"/>
        <v>-0.24731182795698925</v>
      </c>
      <c r="DT10" s="51">
        <f t="shared" si="156"/>
        <v>-0.24731182795698925</v>
      </c>
      <c r="DU10" s="51">
        <f t="shared" ref="DU10:DX10" si="157">+DU9/DU8</f>
        <v>-0.24731182795698925</v>
      </c>
      <c r="DV10" s="51">
        <f t="shared" si="157"/>
        <v>-0.24731182795698925</v>
      </c>
      <c r="DW10" s="51">
        <f t="shared" si="157"/>
        <v>-0.24731182795698925</v>
      </c>
      <c r="DX10" s="51">
        <f t="shared" si="157"/>
        <v>-0.19540229885057472</v>
      </c>
      <c r="DY10" s="51">
        <f t="shared" ref="DY10:EC10" si="158">+DY9/DY8</f>
        <v>-0.19540229885057472</v>
      </c>
      <c r="DZ10" s="51">
        <f t="shared" si="158"/>
        <v>-0.19540229885057472</v>
      </c>
      <c r="EA10" s="51">
        <f t="shared" si="158"/>
        <v>-0.19540229885057472</v>
      </c>
      <c r="EB10" s="51">
        <f t="shared" si="158"/>
        <v>-0.19540229885057472</v>
      </c>
      <c r="EC10" s="51">
        <f t="shared" si="158"/>
        <v>-0.19540229885057472</v>
      </c>
      <c r="ED10" s="51">
        <f t="shared" ref="ED10:EG10" si="159">+ED9/ED8</f>
        <v>-0.20689655172413793</v>
      </c>
      <c r="EE10" s="51">
        <f t="shared" si="159"/>
        <v>-0.16867469879518071</v>
      </c>
      <c r="EF10" s="51">
        <f t="shared" si="159"/>
        <v>-0.16867469879518071</v>
      </c>
      <c r="EG10" s="51">
        <f t="shared" si="159"/>
        <v>-0.16867469879518071</v>
      </c>
      <c r="EH10" s="51">
        <f t="shared" ref="EH10:EK10" si="160">+EH9/EH8</f>
        <v>-0.19879518072289157</v>
      </c>
      <c r="EI10" s="51">
        <f t="shared" si="160"/>
        <v>-0.19879518072289157</v>
      </c>
      <c r="EJ10" s="51">
        <f t="shared" si="160"/>
        <v>-0.19879518072289157</v>
      </c>
      <c r="EK10" s="51">
        <f t="shared" si="160"/>
        <v>-0.19879518072289157</v>
      </c>
      <c r="EL10" s="51">
        <f t="shared" ref="EL10:EP10" si="161">+EL9/EL8</f>
        <v>-0.19879518072289157</v>
      </c>
      <c r="EM10" s="51">
        <f t="shared" si="161"/>
        <v>-0.19879518072289157</v>
      </c>
      <c r="EN10" s="51">
        <f t="shared" si="161"/>
        <v>-0.19879518072289157</v>
      </c>
      <c r="EO10" s="51">
        <f t="shared" si="161"/>
        <v>-0.19879518072289157</v>
      </c>
      <c r="EP10" s="51">
        <f t="shared" si="161"/>
        <v>-0.19879518072289157</v>
      </c>
      <c r="EQ10" s="51">
        <f t="shared" ref="EQ10:ET10" si="162">+EQ9/EQ8</f>
        <v>-0.19879518072289157</v>
      </c>
      <c r="ER10" s="51">
        <f t="shared" si="162"/>
        <v>-0.19879518072289157</v>
      </c>
      <c r="ES10" s="51">
        <f t="shared" si="162"/>
        <v>-0.19879518072289157</v>
      </c>
      <c r="ET10" s="51">
        <f t="shared" si="162"/>
        <v>-0.19879518072289157</v>
      </c>
      <c r="EU10" s="51">
        <f t="shared" ref="EU10:EV10" si="163">+EU9/EU8</f>
        <v>-0.31794871794871793</v>
      </c>
      <c r="EV10" s="51">
        <f t="shared" si="163"/>
        <v>-0.46800000000000003</v>
      </c>
      <c r="EW10" s="51">
        <f t="shared" ref="EW10:EX10" si="164">+EW9/EW8</f>
        <v>-0.48928571428571427</v>
      </c>
      <c r="EX10" s="51">
        <f t="shared" si="164"/>
        <v>-0.50689655172413794</v>
      </c>
    </row>
    <row r="11" spans="1:154" ht="15.5">
      <c r="B11" s="162"/>
      <c r="D11" s="163" t="s">
        <v>87</v>
      </c>
      <c r="E11" s="1">
        <v>607</v>
      </c>
      <c r="F11" s="1">
        <v>607</v>
      </c>
      <c r="G11" s="1">
        <v>603</v>
      </c>
      <c r="H11" s="1">
        <v>603</v>
      </c>
      <c r="I11" s="1">
        <v>595</v>
      </c>
      <c r="J11" s="1">
        <v>595</v>
      </c>
      <c r="K11" s="1">
        <v>595</v>
      </c>
      <c r="L11" s="1">
        <v>656</v>
      </c>
      <c r="M11" s="1">
        <v>661</v>
      </c>
      <c r="N11" s="1">
        <v>664</v>
      </c>
      <c r="O11" s="173">
        <v>665.95976317843451</v>
      </c>
      <c r="P11" s="173">
        <v>662.45159124912914</v>
      </c>
      <c r="Q11" s="173">
        <v>666.2008844592176</v>
      </c>
      <c r="R11" s="173">
        <v>673.72306796354871</v>
      </c>
      <c r="S11" s="173">
        <v>686.58247571857055</v>
      </c>
      <c r="T11" s="173">
        <v>717.72825827070665</v>
      </c>
      <c r="U11" s="173">
        <v>706.65663489602741</v>
      </c>
      <c r="V11" s="173">
        <v>684.45465379202574</v>
      </c>
      <c r="W11" s="173">
        <v>669.97726780885682</v>
      </c>
      <c r="X11" s="173">
        <v>676.40258353637296</v>
      </c>
      <c r="Y11" s="173">
        <v>675.58305269623997</v>
      </c>
      <c r="Z11" s="173">
        <v>690.17868644421151</v>
      </c>
      <c r="AA11" s="173">
        <v>524.58051926145572</v>
      </c>
      <c r="AB11" s="173">
        <v>523.8036567901039</v>
      </c>
      <c r="AC11" s="173">
        <v>541.07580104033718</v>
      </c>
      <c r="AD11" s="173">
        <v>570.49450264840164</v>
      </c>
      <c r="AE11" s="173">
        <v>600.85846313754803</v>
      </c>
      <c r="AF11" s="173">
        <v>615.4949916983893</v>
      </c>
      <c r="AG11" s="173"/>
      <c r="AI11" s="163" t="s">
        <v>87</v>
      </c>
      <c r="AJ11" s="1">
        <v>607</v>
      </c>
      <c r="AK11" s="1">
        <v>607</v>
      </c>
      <c r="AL11" s="1">
        <v>607</v>
      </c>
      <c r="AM11" s="1">
        <v>607</v>
      </c>
      <c r="AN11" s="1">
        <v>607</v>
      </c>
      <c r="AO11" s="1">
        <v>607</v>
      </c>
      <c r="AP11" s="1">
        <v>607</v>
      </c>
      <c r="AQ11" s="1">
        <v>607</v>
      </c>
      <c r="AR11" s="1">
        <v>607</v>
      </c>
      <c r="AS11" s="1">
        <v>603</v>
      </c>
      <c r="AT11" s="1">
        <v>603</v>
      </c>
      <c r="AU11" s="1">
        <v>603</v>
      </c>
      <c r="AV11" s="1">
        <v>603</v>
      </c>
      <c r="AW11" s="1">
        <v>603</v>
      </c>
      <c r="AX11" s="1">
        <v>603</v>
      </c>
      <c r="AY11" s="1">
        <v>603</v>
      </c>
      <c r="AZ11" s="3">
        <v>594.54980445043839</v>
      </c>
      <c r="BA11" s="3">
        <v>594.54980445043839</v>
      </c>
      <c r="BB11" s="3">
        <v>594.54980445043839</v>
      </c>
      <c r="BC11" s="3">
        <v>594.54980445043839</v>
      </c>
      <c r="BD11" s="3">
        <v>595</v>
      </c>
      <c r="BE11" s="3">
        <v>595</v>
      </c>
      <c r="BF11" s="3">
        <v>595</v>
      </c>
      <c r="BG11" s="3">
        <v>595</v>
      </c>
      <c r="BH11" s="3">
        <v>595</v>
      </c>
      <c r="BI11" s="3">
        <v>595</v>
      </c>
      <c r="BJ11" s="3">
        <v>595</v>
      </c>
      <c r="BK11" s="3">
        <v>595</v>
      </c>
      <c r="BL11" s="3">
        <v>595</v>
      </c>
      <c r="BM11" s="3">
        <v>656</v>
      </c>
      <c r="BN11" s="3">
        <v>656</v>
      </c>
      <c r="BO11" s="3">
        <v>656</v>
      </c>
      <c r="BP11" s="3">
        <v>656</v>
      </c>
      <c r="BQ11" s="3">
        <v>661</v>
      </c>
      <c r="BR11" s="3">
        <v>661</v>
      </c>
      <c r="BS11" s="3">
        <v>661</v>
      </c>
      <c r="BT11" s="3">
        <v>661</v>
      </c>
      <c r="BU11" s="3">
        <v>661</v>
      </c>
      <c r="BV11" s="3">
        <v>664</v>
      </c>
      <c r="BW11" s="3">
        <v>664</v>
      </c>
      <c r="BX11" s="3">
        <v>664</v>
      </c>
      <c r="BY11" s="3">
        <v>664</v>
      </c>
      <c r="BZ11" s="3">
        <v>665.95976317843451</v>
      </c>
      <c r="CA11" s="3">
        <v>665.95976317843451</v>
      </c>
      <c r="CB11" s="3">
        <v>665.95976317843451</v>
      </c>
      <c r="CC11" s="3">
        <v>665.95976317843451</v>
      </c>
      <c r="CD11" s="173">
        <v>662.45159124912914</v>
      </c>
      <c r="CE11" s="173">
        <v>662.45159124912914</v>
      </c>
      <c r="CF11" s="173">
        <v>662.45159124912914</v>
      </c>
      <c r="CG11" s="173">
        <v>662.45159124912914</v>
      </c>
      <c r="CH11" s="173">
        <v>662.45159124912914</v>
      </c>
      <c r="CI11" s="173">
        <v>666.2008844592176</v>
      </c>
      <c r="CJ11" s="173">
        <v>666.2008844592176</v>
      </c>
      <c r="CK11" s="173">
        <v>666.2008844592176</v>
      </c>
      <c r="CL11" s="173">
        <v>666.2008844592176</v>
      </c>
      <c r="CM11" s="173">
        <v>673.72306796354871</v>
      </c>
      <c r="CN11" s="173">
        <v>673.72306796354871</v>
      </c>
      <c r="CO11" s="173">
        <v>673.72306796354871</v>
      </c>
      <c r="CP11" s="173">
        <v>673.72306796354871</v>
      </c>
      <c r="CQ11" s="173">
        <v>686.58247571857055</v>
      </c>
      <c r="CR11" s="173">
        <v>686.58247571857055</v>
      </c>
      <c r="CS11" s="173">
        <v>686.58247571857055</v>
      </c>
      <c r="CT11" s="173">
        <v>686.58247571857055</v>
      </c>
      <c r="CU11" s="173">
        <v>717.72825827070665</v>
      </c>
      <c r="CV11" s="173">
        <v>717.72825827070665</v>
      </c>
      <c r="CW11" s="173">
        <v>717.72825827070665</v>
      </c>
      <c r="CX11" s="173">
        <v>717.72825827070665</v>
      </c>
      <c r="CY11" s="173">
        <v>706.65663489602741</v>
      </c>
      <c r="CZ11" s="173">
        <v>706.65663489602741</v>
      </c>
      <c r="DA11" s="173">
        <v>706.65663489602741</v>
      </c>
      <c r="DB11" s="173">
        <v>706.65663489602741</v>
      </c>
      <c r="DC11" s="173">
        <v>684.45465379202574</v>
      </c>
      <c r="DD11" s="173">
        <v>684.45465379202574</v>
      </c>
      <c r="DE11" s="173">
        <v>684.45465379202574</v>
      </c>
      <c r="DF11" s="173">
        <v>684.45465379202574</v>
      </c>
      <c r="DG11" s="173">
        <v>684.45465379202574</v>
      </c>
      <c r="DH11" s="173">
        <v>669.97726780885682</v>
      </c>
      <c r="DI11" s="173">
        <v>669.97726780885682</v>
      </c>
      <c r="DJ11" s="173">
        <v>669.97726780885682</v>
      </c>
      <c r="DK11" s="173">
        <v>669.97726780885682</v>
      </c>
      <c r="DL11" s="173">
        <v>676.40258353637296</v>
      </c>
      <c r="DM11" s="173">
        <v>676.40258353637296</v>
      </c>
      <c r="DN11" s="173">
        <v>676.40258353637296</v>
      </c>
      <c r="DO11" s="173">
        <v>676.40258353637296</v>
      </c>
      <c r="DP11" s="173">
        <v>676.40258353637296</v>
      </c>
      <c r="DQ11" s="173">
        <v>675.58305269623997</v>
      </c>
      <c r="DR11" s="173">
        <v>675.58305269623997</v>
      </c>
      <c r="DS11" s="173">
        <v>675.58305269623997</v>
      </c>
      <c r="DT11" s="173">
        <v>675.58305269623997</v>
      </c>
      <c r="DU11" s="173">
        <v>690.17868644421151</v>
      </c>
      <c r="DV11" s="173">
        <v>690.17868644421151</v>
      </c>
      <c r="DW11" s="173">
        <v>690.17868644421151</v>
      </c>
      <c r="DX11" s="173">
        <v>690.17868644421151</v>
      </c>
      <c r="DY11" s="173">
        <v>524.58051926145572</v>
      </c>
      <c r="DZ11" s="173">
        <v>524.58051926145572</v>
      </c>
      <c r="EA11" s="173">
        <v>524.58051926145572</v>
      </c>
      <c r="EB11" s="173">
        <v>524.58051926145572</v>
      </c>
      <c r="EC11" s="173">
        <v>524.58051926145572</v>
      </c>
      <c r="ED11" s="173">
        <v>523.8036567901039</v>
      </c>
      <c r="EE11" s="173">
        <v>523.8036567901039</v>
      </c>
      <c r="EF11" s="173">
        <v>523.8036567901039</v>
      </c>
      <c r="EG11" s="173">
        <v>523.8036567901039</v>
      </c>
      <c r="EH11" s="173">
        <v>541.07580104033718</v>
      </c>
      <c r="EI11" s="173">
        <v>541.07580104033718</v>
      </c>
      <c r="EJ11" s="173">
        <v>541.07580104033718</v>
      </c>
      <c r="EK11" s="173">
        <v>541.07580104033718</v>
      </c>
      <c r="EL11" s="173">
        <v>570.49450264840164</v>
      </c>
      <c r="EM11" s="173">
        <v>570.49450264840164</v>
      </c>
      <c r="EN11" s="173">
        <v>570.49450264840164</v>
      </c>
      <c r="EO11" s="173">
        <v>570.49450264840164</v>
      </c>
      <c r="EP11" s="173">
        <v>570.49450264840164</v>
      </c>
      <c r="EQ11" s="173">
        <v>600.85846313754803</v>
      </c>
      <c r="ER11" s="173">
        <v>600.85846313754803</v>
      </c>
      <c r="ES11" s="173">
        <v>600.85846313754803</v>
      </c>
      <c r="ET11" s="173">
        <v>600.85846313754803</v>
      </c>
      <c r="EU11" s="173">
        <v>615.4949916983893</v>
      </c>
      <c r="EV11" s="173">
        <v>615.4949916983893</v>
      </c>
      <c r="EW11" s="173">
        <v>615.4949916983893</v>
      </c>
      <c r="EX11" s="173">
        <v>615.4949916983893</v>
      </c>
    </row>
    <row r="23" spans="2:4">
      <c r="B23" s="32"/>
      <c r="C23" s="32"/>
      <c r="D23" s="32"/>
    </row>
    <row r="24" spans="2:4">
      <c r="B24" s="32"/>
      <c r="C24" s="32"/>
      <c r="D24" s="32"/>
    </row>
    <row r="25" spans="2:4">
      <c r="B25" s="32"/>
      <c r="C25" s="32"/>
      <c r="D25" s="32"/>
    </row>
    <row r="26" spans="2:4">
      <c r="B26" s="32"/>
      <c r="C26" s="32"/>
      <c r="D26" s="32"/>
    </row>
    <row r="27" spans="2:4">
      <c r="B27" s="31"/>
      <c r="C27" s="32"/>
      <c r="D27" s="31"/>
    </row>
  </sheetData>
  <phoneticPr fontId="20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D43D-FB73-4E3E-B4BD-852FDB28AD1B}">
  <sheetPr>
    <tabColor rgb="FF7030A0"/>
  </sheetPr>
  <dimension ref="V71:V72"/>
  <sheetViews>
    <sheetView topLeftCell="A25" zoomScale="80" zoomScaleNormal="80" workbookViewId="0">
      <selection activeCell="N36" sqref="N36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8648-1D5A-4923-830F-4A3A9E3DCE5C}">
  <sheetPr>
    <tabColor rgb="FF7030A0"/>
  </sheetPr>
  <dimension ref="V71:V72"/>
  <sheetViews>
    <sheetView topLeftCell="A28" zoomScale="80" zoomScaleNormal="80" workbookViewId="0">
      <selection activeCell="H35" sqref="H35"/>
    </sheetView>
  </sheetViews>
  <sheetFormatPr defaultColWidth="8.81640625" defaultRowHeight="14.5"/>
  <cols>
    <col min="1" max="16384" width="8.81640625" style="122"/>
  </cols>
  <sheetData>
    <row r="71" spans="22:22">
      <c r="V71" s="124"/>
    </row>
    <row r="72" spans="22:22">
      <c r="V72" s="12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AC1225-46F0-49FF-9BA6-7DCE45CEBD9D}">
  <ds:schemaRefs>
    <ds:schemaRef ds:uri="http://purl.org/dc/dcmitype/"/>
    <ds:schemaRef ds:uri="http://www.w3.org/XML/1998/namespace"/>
    <ds:schemaRef ds:uri="863d5f0e-535b-4062-8420-5718c99a0d13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3b3170c-b016-4803-b803-d23387b7182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Ma trận PET</vt:lpstr>
      <vt:lpstr>PET-tháng</vt:lpstr>
      <vt:lpstr>PET_tuan</vt:lpstr>
      <vt:lpstr>Ma trận PET- Fiber</vt:lpstr>
      <vt:lpstr>PET Fiber_tháng</vt:lpstr>
      <vt:lpstr>PET Fiber_tuan </vt:lpstr>
      <vt:lpstr>Ma trận HDPE thổi</vt:lpstr>
      <vt:lpstr>HD thổi-tháng</vt:lpstr>
      <vt:lpstr>HD thổi_tuần</vt:lpstr>
      <vt:lpstr>Ma trận HDPE Ép</vt:lpstr>
      <vt:lpstr>HD Ép-tháng</vt:lpstr>
      <vt:lpstr>HD Ép_tuần</vt:lpstr>
      <vt:lpstr>Ma trận giá bán rPP</vt:lpstr>
      <vt:lpstr>PP-tháng</vt:lpstr>
      <vt:lpstr>PP_tuần</vt:lpstr>
      <vt:lpstr>Ma trận giá bán vảy PP</vt:lpstr>
      <vt:lpstr>Vảy PP_tháng</vt:lpstr>
      <vt:lpstr>Vảy PP_tuần</vt:lpstr>
      <vt:lpstr>Ma trận giá bán vảy HDPE ÉP</vt:lpstr>
      <vt:lpstr>Vảy HD ÉP_tháng</vt:lpstr>
      <vt:lpstr>Vảy HD ÉP_tuần</vt:lpstr>
      <vt:lpstr>'HD thổi_tuần'!Print_Area</vt:lpstr>
      <vt:lpstr>'HD thổi-tháng'!Print_Area</vt:lpstr>
      <vt:lpstr>'PET Fiber_tháng'!Print_Area</vt:lpstr>
      <vt:lpstr>'PET Fiber_tuan '!Print_Area</vt:lpstr>
      <vt:lpstr>PET_tuan!Print_Area</vt:lpstr>
      <vt:lpstr>'PET-tháng'!Print_Area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Cư, Lê Hoành</cp:lastModifiedBy>
  <cp:revision/>
  <cp:lastPrinted>2023-12-13T02:35:39Z</cp:lastPrinted>
  <dcterms:created xsi:type="dcterms:W3CDTF">2015-06-05T18:17:20Z</dcterms:created>
  <dcterms:modified xsi:type="dcterms:W3CDTF">2026-03-29T04:27:41Z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