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drawings/drawing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drawings/drawing16.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threadedComments/threadedComment1.xml" ContentType="application/vnd.ms-excel.threadedcomments+xml"/>
  <Override PartName="/xl/comments7.xml" ContentType="application/vnd.openxmlformats-officedocument.spreadsheetml.comments+xml"/>
  <Override PartName="/xl/threadedComments/threadedComment2.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Data\GĐ Tài chính\Cost Controlling\Costing Flow Chart\Kiểm tra giá thành\"/>
    </mc:Choice>
  </mc:AlternateContent>
  <xr:revisionPtr revIDLastSave="0" documentId="13_ncr:1_{8AC69F58-EC56-44AF-B3BE-0B00542FB569}" xr6:coauthVersionLast="47" xr6:coauthVersionMax="47" xr10:uidLastSave="{00000000-0000-0000-0000-000000000000}"/>
  <bookViews>
    <workbookView xWindow="-110" yWindow="-110" windowWidth="19420" windowHeight="10300" tabRatio="838" firstSheet="11" activeTab="12" xr2:uid="{00000000-000D-0000-FFFF-FFFF00000000}"/>
  </bookViews>
  <sheets>
    <sheet name="&gt;PowerPoint" sheetId="31" state="hidden" r:id="rId1"/>
    <sheet name="Định nghĩa" sheetId="33" state="hidden" r:id="rId2"/>
    <sheet name="Nội dung" sheetId="34" state="hidden" r:id="rId3"/>
    <sheet name="Trình bày" sheetId="25" state="hidden" r:id="rId4"/>
    <sheet name="Tóm tắt" sheetId="22" state="hidden" r:id="rId5"/>
    <sheet name="Thống kê theo phân loại" sheetId="35" state="hidden" r:id="rId6"/>
    <sheet name="GTTK chung" sheetId="5" state="hidden" r:id="rId7"/>
    <sheet name="tiết kiệm CP-tấn" sheetId="36" state="hidden" r:id="rId8"/>
    <sheet name="PET-HDPE" sheetId="37" state="hidden" r:id="rId9"/>
    <sheet name="||" sheetId="32" state="hidden" r:id="rId10"/>
    <sheet name="Chụp hình" sheetId="115" r:id="rId11"/>
    <sheet name="Trình Bày-Tháng-DIỄM" sheetId="87" r:id="rId12"/>
    <sheet name="Data-Vẽ-Tháng" sheetId="86" r:id="rId13"/>
    <sheet name="Trình Bày-LK" sheetId="89" state="hidden" r:id="rId14"/>
    <sheet name="Data-Vẽ-LK" sheetId="88" state="hidden" r:id="rId15"/>
    <sheet name="Trình Bày-MoM" sheetId="91" state="hidden" r:id="rId16"/>
    <sheet name="Data-Vẽ -MoM" sheetId="90" state="hidden" r:id="rId17"/>
    <sheet name="Trình Bày-CYvsPY-DIỄM" sheetId="138" r:id="rId18"/>
    <sheet name="Data-Vẽ -CYvsPY" sheetId="139" r:id="rId19"/>
    <sheet name="Tác động-GM" sheetId="92" r:id="rId20"/>
    <sheet name="Tác động-GM-Nháp" sheetId="155" state="hidden" r:id="rId21"/>
    <sheet name="Tác động-GM-Data" sheetId="93" r:id="rId22"/>
    <sheet name="Data_Rửa" sheetId="185" r:id="rId23"/>
    <sheet name="Nháp" sheetId="114" r:id="rId24"/>
    <sheet name="Nháp_2" sheetId="127" r:id="rId25"/>
    <sheet name="&gt;KMP" sheetId="47" r:id="rId26"/>
    <sheet name="18 KMP- Tháng (Tâm)" sheetId="189" r:id="rId27"/>
    <sheet name="18 KMP- Tháng" sheetId="190" r:id="rId28"/>
    <sheet name="48 KMP -Tháng" sheetId="191" r:id="rId29"/>
    <sheet name="&gt;Cải tiến" sheetId="48" r:id="rId30"/>
    <sheet name="&gt;Phòng ban" sheetId="27" r:id="rId31"/>
    <sheet name="KH Hành động" sheetId="102" r:id="rId32"/>
    <sheet name="SX PET" sheetId="7" r:id="rId33"/>
    <sheet name=" SX HDPE.PP" sheetId="8" r:id="rId34"/>
    <sheet name="Kỹ Thuật" sheetId="9" r:id="rId35"/>
    <sheet name="Phòng mua-XNK" sheetId="15" r:id="rId36"/>
    <sheet name="QLCL" sheetId="11" r:id="rId37"/>
    <sheet name="Phòng cung ứng" sheetId="12" r:id="rId38"/>
    <sheet name="KTQT" sheetId="16" r:id="rId39"/>
    <sheet name="CFO" sheetId="103" r:id="rId40"/>
    <sheet name="Kho" sheetId="13" r:id="rId41"/>
    <sheet name="Phòng R&amp;D" sheetId="14" r:id="rId42"/>
    <sheet name="Nhân sự" sheetId="104" r:id="rId43"/>
    <sheet name="Kinh doanh" sheetId="105" r:id="rId44"/>
    <sheet name="VPGĐ" sheetId="106" r:id="rId45"/>
    <sheet name="Kế hoạch" sheetId="107" r:id="rId46"/>
    <sheet name="KTTC" sheetId="19" r:id="rId47"/>
    <sheet name="Phân bổ của TĐH" sheetId="6" r:id="rId48"/>
    <sheet name="&gt;Khác" sheetId="28" r:id="rId49"/>
    <sheet name="MD" sheetId="18" r:id="rId50"/>
    <sheet name="VD Cấu trúc lương theo bậc" sheetId="4" state="hidden" r:id="rId51"/>
    <sheet name="Tiết kiệm quy đổi từ cải tiến" sheetId="3" state="hidden" r:id="rId52"/>
  </sheets>
  <definedNames>
    <definedName name="_xlnm._FilterDatabase" localSheetId="27" hidden="1">'18 KMP- Tháng'!$B$17:$BT$17</definedName>
    <definedName name="_xlnm._FilterDatabase" localSheetId="26" hidden="1">'18 KMP- Tháng (Tâm)'!$A$8:$CN$34</definedName>
    <definedName name="_xlnm._FilterDatabase" localSheetId="28" hidden="1">'48 KMP -Tháng'!$A$2:$FR$53</definedName>
    <definedName name="_xlnm._FilterDatabase" localSheetId="22" hidden="1">Data_Rửa!$M$2:$O$72</definedName>
    <definedName name="_xlnm._FilterDatabase" localSheetId="18" hidden="1">'Data-Vẽ -CYvsPY'!$A$2:$P$26</definedName>
    <definedName name="_xlnm._FilterDatabase" localSheetId="14" hidden="1">'Data-Vẽ-LK'!$A$2:$S$14</definedName>
    <definedName name="_xlnm._FilterDatabase" localSheetId="12" hidden="1">'Data-Vẽ-Tháng'!$A$2:$T$14</definedName>
    <definedName name="_xlnm._FilterDatabase" localSheetId="6" hidden="1">'GTTK chung'!$A$3:$BK$143</definedName>
    <definedName name="_xlnm._FilterDatabase" localSheetId="31" hidden="1">'KH Hành động'!$B$5:$G$61</definedName>
    <definedName name="_xlnm._FilterDatabase" localSheetId="24" hidden="1">Nháp_2!$B$2:$E$15</definedName>
    <definedName name="Department">MD!$A$19:$A$36</definedName>
    <definedName name="LIST_CT">MD!$B$4:$B$11</definedName>
    <definedName name="Mth_PP">'&gt;PowerPoint'!$B$2</definedName>
    <definedName name="PreviousCell">!A1048576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5" i="86" l="1"/>
  <c r="F63" i="86"/>
  <c r="F62" i="86"/>
  <c r="F61" i="86"/>
  <c r="G60" i="86"/>
  <c r="F60" i="86"/>
  <c r="F59" i="86"/>
  <c r="F58" i="86"/>
  <c r="F57" i="86"/>
  <c r="F56" i="86"/>
  <c r="F55" i="86"/>
  <c r="F54" i="86"/>
  <c r="F53" i="86"/>
  <c r="F52" i="86"/>
  <c r="F51" i="86"/>
  <c r="F50" i="86"/>
  <c r="F49" i="86"/>
  <c r="G48" i="86"/>
  <c r="G64" i="86"/>
  <c r="F64" i="86"/>
  <c r="AX5" i="93"/>
  <c r="E38" i="86"/>
  <c r="BL29" i="93"/>
  <c r="BL28" i="93"/>
  <c r="H65" i="86" l="1"/>
  <c r="G63" i="86"/>
  <c r="G62" i="86"/>
  <c r="G61" i="86"/>
  <c r="G58" i="86"/>
  <c r="G57" i="86"/>
  <c r="G53" i="86"/>
  <c r="G52" i="86"/>
  <c r="G51" i="86"/>
  <c r="G59" i="86"/>
  <c r="G49" i="86"/>
  <c r="G56" i="86"/>
  <c r="G55" i="86"/>
  <c r="G54" i="86"/>
  <c r="G50" i="86"/>
  <c r="BC110" i="191"/>
  <c r="AQ110" i="191"/>
  <c r="AL110" i="191"/>
  <c r="AA110" i="191"/>
  <c r="BG109" i="191"/>
  <c r="BF109" i="191"/>
  <c r="BE109" i="191"/>
  <c r="BD109" i="191"/>
  <c r="BC109" i="191"/>
  <c r="BB109" i="191"/>
  <c r="BA109" i="191"/>
  <c r="BG108" i="191"/>
  <c r="BF108" i="191"/>
  <c r="BE108" i="191"/>
  <c r="BD108" i="191"/>
  <c r="BC108" i="191"/>
  <c r="BB108" i="191"/>
  <c r="BA108" i="191"/>
  <c r="AO108" i="191"/>
  <c r="AN108" i="191"/>
  <c r="T108" i="191"/>
  <c r="L108" i="191"/>
  <c r="BG107" i="191"/>
  <c r="BF107" i="191"/>
  <c r="BE107" i="191"/>
  <c r="BD107" i="191"/>
  <c r="BC107" i="191"/>
  <c r="BB107" i="191"/>
  <c r="BA107" i="191"/>
  <c r="X107" i="191"/>
  <c r="I107" i="191"/>
  <c r="F107" i="191"/>
  <c r="BG106" i="191"/>
  <c r="BF106" i="191"/>
  <c r="BE106" i="191"/>
  <c r="BD106" i="191"/>
  <c r="BC106" i="191"/>
  <c r="BB106" i="191"/>
  <c r="BA106" i="191"/>
  <c r="AI106" i="191"/>
  <c r="AB106" i="191"/>
  <c r="BG105" i="191"/>
  <c r="BF105" i="191"/>
  <c r="BE105" i="191"/>
  <c r="BD105" i="191"/>
  <c r="BC105" i="191"/>
  <c r="BB105" i="191"/>
  <c r="BA105" i="191"/>
  <c r="AB105" i="191"/>
  <c r="N105" i="191"/>
  <c r="BG104" i="191"/>
  <c r="BF104" i="191"/>
  <c r="BE104" i="191"/>
  <c r="BD104" i="191"/>
  <c r="BC104" i="191"/>
  <c r="BB104" i="191"/>
  <c r="BA104" i="191"/>
  <c r="AP104" i="191"/>
  <c r="AI104" i="191"/>
  <c r="AH104" i="191"/>
  <c r="X104" i="191"/>
  <c r="BG103" i="191"/>
  <c r="BF103" i="191"/>
  <c r="BE103" i="191"/>
  <c r="BD103" i="191"/>
  <c r="BC103" i="191"/>
  <c r="BB103" i="191"/>
  <c r="BA103" i="191"/>
  <c r="AO103" i="191"/>
  <c r="V103" i="191"/>
  <c r="G103" i="191"/>
  <c r="A103" i="191"/>
  <c r="A104" i="191" s="1"/>
  <c r="A105" i="191" s="1"/>
  <c r="A106" i="191" s="1"/>
  <c r="A107" i="191" s="1"/>
  <c r="A108" i="191" s="1"/>
  <c r="A109" i="191" s="1"/>
  <c r="BG102" i="191"/>
  <c r="BF102" i="191"/>
  <c r="BE102" i="191"/>
  <c r="BD102" i="191"/>
  <c r="BC102" i="191"/>
  <c r="BB102" i="191"/>
  <c r="BA102" i="191"/>
  <c r="AR102" i="191"/>
  <c r="AB102" i="191"/>
  <c r="V102" i="191"/>
  <c r="I102" i="191"/>
  <c r="F102" i="191"/>
  <c r="BG101" i="191"/>
  <c r="BF101" i="191"/>
  <c r="BE101" i="191"/>
  <c r="BD101" i="191"/>
  <c r="BC101" i="191"/>
  <c r="BB101" i="191"/>
  <c r="BA101" i="191"/>
  <c r="AK101" i="191"/>
  <c r="AA101" i="191"/>
  <c r="X101" i="191"/>
  <c r="BG100" i="191"/>
  <c r="BF100" i="191"/>
  <c r="BE100" i="191"/>
  <c r="BD100" i="191"/>
  <c r="BC100" i="191"/>
  <c r="BB100" i="191"/>
  <c r="BA100" i="191"/>
  <c r="AK100" i="191"/>
  <c r="AA100" i="191"/>
  <c r="BG99" i="191"/>
  <c r="BF99" i="191"/>
  <c r="BE99" i="191"/>
  <c r="BD99" i="191"/>
  <c r="BC99" i="191"/>
  <c r="BB99" i="191"/>
  <c r="BA99" i="191"/>
  <c r="V99" i="191"/>
  <c r="BG98" i="191"/>
  <c r="BF98" i="191"/>
  <c r="BE98" i="191"/>
  <c r="BD98" i="191"/>
  <c r="BC98" i="191"/>
  <c r="BB98" i="191"/>
  <c r="BA98" i="191"/>
  <c r="AQ98" i="191"/>
  <c r="X98" i="191"/>
  <c r="T98" i="191"/>
  <c r="BG97" i="191"/>
  <c r="BF97" i="191"/>
  <c r="BE97" i="191"/>
  <c r="BD97" i="191"/>
  <c r="BC97" i="191"/>
  <c r="BB97" i="191"/>
  <c r="BA97" i="191"/>
  <c r="AR97" i="191"/>
  <c r="AL97" i="191"/>
  <c r="AA97" i="191"/>
  <c r="BG96" i="191"/>
  <c r="BF96" i="191"/>
  <c r="BE96" i="191"/>
  <c r="BD96" i="191"/>
  <c r="BC96" i="191"/>
  <c r="BB96" i="191"/>
  <c r="BA96" i="191"/>
  <c r="AB96" i="191"/>
  <c r="X96" i="191"/>
  <c r="I96" i="191"/>
  <c r="G96" i="191"/>
  <c r="BG95" i="191"/>
  <c r="BF95" i="191"/>
  <c r="BE95" i="191"/>
  <c r="BD95" i="191"/>
  <c r="BC95" i="191"/>
  <c r="BB95" i="191"/>
  <c r="BA95" i="191"/>
  <c r="AR95" i="191"/>
  <c r="AK95" i="191"/>
  <c r="L95" i="191"/>
  <c r="BG94" i="191"/>
  <c r="BF94" i="191"/>
  <c r="BE94" i="191"/>
  <c r="BD94" i="191"/>
  <c r="BC94" i="191"/>
  <c r="BB94" i="191"/>
  <c r="BA94" i="191"/>
  <c r="AL94" i="191"/>
  <c r="N94" i="191"/>
  <c r="BG93" i="191"/>
  <c r="BF93" i="191"/>
  <c r="BE93" i="191"/>
  <c r="BD93" i="191"/>
  <c r="BC93" i="191"/>
  <c r="BB93" i="191"/>
  <c r="BA93" i="191"/>
  <c r="X93" i="191"/>
  <c r="V93" i="191"/>
  <c r="BG92" i="191"/>
  <c r="BF92" i="191"/>
  <c r="BE92" i="191"/>
  <c r="BD92" i="191"/>
  <c r="BC92" i="191"/>
  <c r="BB92" i="191"/>
  <c r="BA92" i="191"/>
  <c r="W92" i="191"/>
  <c r="BG91" i="191"/>
  <c r="BF91" i="191"/>
  <c r="BE91" i="191"/>
  <c r="BD91" i="191"/>
  <c r="BC91" i="191"/>
  <c r="BB91" i="191"/>
  <c r="BA91" i="191"/>
  <c r="AN91" i="191"/>
  <c r="AA91" i="191"/>
  <c r="L91" i="191"/>
  <c r="I91" i="191"/>
  <c r="BG90" i="191"/>
  <c r="BF90" i="191"/>
  <c r="BE90" i="191"/>
  <c r="BD90" i="191"/>
  <c r="BC90" i="191"/>
  <c r="BB90" i="191"/>
  <c r="BA90" i="191"/>
  <c r="AQ90" i="191"/>
  <c r="T90" i="191"/>
  <c r="I90" i="191"/>
  <c r="BG89" i="191"/>
  <c r="BF89" i="191"/>
  <c r="BE89" i="191"/>
  <c r="BD89" i="191"/>
  <c r="BC89" i="191"/>
  <c r="BB89" i="191"/>
  <c r="BA89" i="191"/>
  <c r="AK89" i="191"/>
  <c r="N89" i="191"/>
  <c r="M89" i="191"/>
  <c r="L89" i="191"/>
  <c r="BG88" i="191"/>
  <c r="BF88" i="191"/>
  <c r="BE88" i="191"/>
  <c r="BD88" i="191"/>
  <c r="BC88" i="191"/>
  <c r="BB88" i="191"/>
  <c r="BA88" i="191"/>
  <c r="AQ88" i="191"/>
  <c r="AN88" i="191"/>
  <c r="AA88" i="191"/>
  <c r="BG87" i="191"/>
  <c r="BF87" i="191"/>
  <c r="BE87" i="191"/>
  <c r="BD87" i="191"/>
  <c r="BC87" i="191"/>
  <c r="BB87" i="191"/>
  <c r="BA87" i="191"/>
  <c r="AN87" i="191"/>
  <c r="AA87" i="191"/>
  <c r="X87" i="191"/>
  <c r="T87" i="191"/>
  <c r="N87" i="191"/>
  <c r="K87" i="191"/>
  <c r="BG86" i="191"/>
  <c r="BF86" i="191"/>
  <c r="BE86" i="191"/>
  <c r="BD86" i="191"/>
  <c r="BC86" i="191"/>
  <c r="BB86" i="191"/>
  <c r="BA86" i="191"/>
  <c r="AR86" i="191"/>
  <c r="AQ86" i="191"/>
  <c r="AB86" i="191"/>
  <c r="AA86" i="191"/>
  <c r="L86" i="191"/>
  <c r="K86" i="191"/>
  <c r="BG85" i="191"/>
  <c r="BF85" i="191"/>
  <c r="BE85" i="191"/>
  <c r="BD85" i="191"/>
  <c r="BC85" i="191"/>
  <c r="BB85" i="191"/>
  <c r="BA85" i="191"/>
  <c r="AR85" i="191"/>
  <c r="AO85" i="191"/>
  <c r="AL85" i="191"/>
  <c r="AK85" i="191"/>
  <c r="AB85" i="191"/>
  <c r="N85" i="191"/>
  <c r="A85" i="191"/>
  <c r="A86" i="191" s="1"/>
  <c r="A87" i="191" s="1"/>
  <c r="A88" i="191" s="1"/>
  <c r="A89" i="191" s="1"/>
  <c r="A90" i="191" s="1"/>
  <c r="A91" i="191" s="1"/>
  <c r="A92" i="191" s="1"/>
  <c r="A93" i="191" s="1"/>
  <c r="A94" i="191" s="1"/>
  <c r="A95" i="191" s="1"/>
  <c r="A96" i="191" s="1"/>
  <c r="A97" i="191" s="1"/>
  <c r="A98" i="191" s="1"/>
  <c r="A99" i="191" s="1"/>
  <c r="A100" i="191" s="1"/>
  <c r="A101" i="191" s="1"/>
  <c r="A102" i="191" s="1"/>
  <c r="BG84" i="191"/>
  <c r="BF84" i="191"/>
  <c r="BE84" i="191"/>
  <c r="BD84" i="191"/>
  <c r="BC84" i="191"/>
  <c r="BB84" i="191"/>
  <c r="BA84" i="191"/>
  <c r="AL84" i="191"/>
  <c r="X84" i="191"/>
  <c r="V84" i="191"/>
  <c r="T84" i="191"/>
  <c r="N84" i="191"/>
  <c r="A84" i="191"/>
  <c r="BG83" i="191"/>
  <c r="BF83" i="191"/>
  <c r="BE83" i="191"/>
  <c r="BD83" i="191"/>
  <c r="BC83" i="191"/>
  <c r="BB83" i="191"/>
  <c r="BA83" i="191"/>
  <c r="AL83" i="191"/>
  <c r="AC83" i="191"/>
  <c r="V83" i="191"/>
  <c r="F83" i="191"/>
  <c r="BG81" i="191"/>
  <c r="BF81" i="191"/>
  <c r="BE81" i="191"/>
  <c r="BD81" i="191"/>
  <c r="BC81" i="191"/>
  <c r="BB81" i="191"/>
  <c r="BA81" i="191"/>
  <c r="AR81" i="191"/>
  <c r="AQ81" i="191"/>
  <c r="AB81" i="191"/>
  <c r="V81" i="191"/>
  <c r="L81" i="191"/>
  <c r="BG80" i="191"/>
  <c r="BF80" i="191"/>
  <c r="BE80" i="191"/>
  <c r="BD80" i="191"/>
  <c r="BC80" i="191"/>
  <c r="BB80" i="191"/>
  <c r="BA80" i="191"/>
  <c r="BG79" i="191"/>
  <c r="BF79" i="191"/>
  <c r="BE79" i="191"/>
  <c r="BD79" i="191"/>
  <c r="BC79" i="191"/>
  <c r="BB79" i="191"/>
  <c r="BA79" i="191"/>
  <c r="BG78" i="191"/>
  <c r="BF78" i="191"/>
  <c r="BE78" i="191"/>
  <c r="BD78" i="191"/>
  <c r="BC78" i="191"/>
  <c r="BB78" i="191"/>
  <c r="BA78" i="191"/>
  <c r="BG77" i="191"/>
  <c r="BF77" i="191"/>
  <c r="BE77" i="191"/>
  <c r="BD77" i="191"/>
  <c r="BC77" i="191"/>
  <c r="BB77" i="191"/>
  <c r="BA77" i="191"/>
  <c r="AY77" i="191"/>
  <c r="AX77" i="191"/>
  <c r="BG76" i="191"/>
  <c r="BF76" i="191"/>
  <c r="BE76" i="191"/>
  <c r="BD76" i="191"/>
  <c r="BC76" i="191"/>
  <c r="BB76" i="191"/>
  <c r="BA76" i="191"/>
  <c r="BG75" i="191"/>
  <c r="BF75" i="191"/>
  <c r="BE75" i="191"/>
  <c r="BD75" i="191"/>
  <c r="BC75" i="191"/>
  <c r="BB75" i="191"/>
  <c r="BA75" i="191"/>
  <c r="BG74" i="191"/>
  <c r="BF74" i="191"/>
  <c r="BE74" i="191"/>
  <c r="BD74" i="191"/>
  <c r="BC74" i="191"/>
  <c r="BB74" i="191"/>
  <c r="BA74" i="191"/>
  <c r="BG73" i="191"/>
  <c r="BF73" i="191"/>
  <c r="BE73" i="191"/>
  <c r="BD73" i="191"/>
  <c r="BC73" i="191"/>
  <c r="BB73" i="191"/>
  <c r="BA73" i="191"/>
  <c r="BG72" i="191"/>
  <c r="BF72" i="191"/>
  <c r="BE72" i="191"/>
  <c r="BD72" i="191"/>
  <c r="BC72" i="191"/>
  <c r="BB72" i="191"/>
  <c r="BA72" i="191"/>
  <c r="BG71" i="191"/>
  <c r="BF71" i="191"/>
  <c r="BE71" i="191"/>
  <c r="BD71" i="191"/>
  <c r="BC71" i="191"/>
  <c r="BB71" i="191"/>
  <c r="BA71" i="191"/>
  <c r="BG70" i="191"/>
  <c r="BF70" i="191"/>
  <c r="BE70" i="191"/>
  <c r="BD70" i="191"/>
  <c r="BC70" i="191"/>
  <c r="BB70" i="191"/>
  <c r="BA70" i="191"/>
  <c r="AY70" i="191"/>
  <c r="BG69" i="191"/>
  <c r="BF69" i="191"/>
  <c r="BE69" i="191"/>
  <c r="BD69" i="191"/>
  <c r="BC69" i="191"/>
  <c r="BB69" i="191"/>
  <c r="BA69" i="191"/>
  <c r="AY69" i="191"/>
  <c r="AX69" i="191"/>
  <c r="AW69" i="191"/>
  <c r="BG68" i="191"/>
  <c r="BF68" i="191"/>
  <c r="BE68" i="191"/>
  <c r="BD68" i="191"/>
  <c r="BC68" i="191"/>
  <c r="BB68" i="191"/>
  <c r="BA68" i="191"/>
  <c r="BG67" i="191"/>
  <c r="BF67" i="191"/>
  <c r="BE67" i="191"/>
  <c r="BD67" i="191"/>
  <c r="BC67" i="191"/>
  <c r="BB67" i="191"/>
  <c r="BA67" i="191"/>
  <c r="A67" i="191"/>
  <c r="A68" i="191" s="1"/>
  <c r="A69" i="191" s="1"/>
  <c r="A70" i="191" s="1"/>
  <c r="A71" i="191" s="1"/>
  <c r="A72" i="191" s="1"/>
  <c r="A73" i="191" s="1"/>
  <c r="A74" i="191" s="1"/>
  <c r="A75" i="191" s="1"/>
  <c r="A76" i="191" s="1"/>
  <c r="A77" i="191" s="1"/>
  <c r="A78" i="191" s="1"/>
  <c r="A79" i="191" s="1"/>
  <c r="A80" i="191" s="1"/>
  <c r="A81" i="191" s="1"/>
  <c r="BG66" i="191"/>
  <c r="BF66" i="191"/>
  <c r="BE66" i="191"/>
  <c r="BD66" i="191"/>
  <c r="BC66" i="191"/>
  <c r="BB66" i="191"/>
  <c r="BA66" i="191"/>
  <c r="AY66" i="191"/>
  <c r="A66" i="191"/>
  <c r="BG65" i="191"/>
  <c r="BF65" i="191"/>
  <c r="BE65" i="191"/>
  <c r="BD65" i="191"/>
  <c r="BC65" i="191"/>
  <c r="BB65" i="191"/>
  <c r="BA65" i="191"/>
  <c r="A65" i="191"/>
  <c r="BG64" i="191"/>
  <c r="BG110" i="191" s="1"/>
  <c r="BF64" i="191"/>
  <c r="BF110" i="191" s="1"/>
  <c r="BE64" i="191"/>
  <c r="BE110" i="191" s="1"/>
  <c r="BD64" i="191"/>
  <c r="BD110" i="191" s="1"/>
  <c r="BC64" i="191"/>
  <c r="BB64" i="191"/>
  <c r="BB110" i="191" s="1"/>
  <c r="BA64" i="191"/>
  <c r="BA110" i="191" s="1"/>
  <c r="BW62" i="191"/>
  <c r="BV62" i="191"/>
  <c r="BU62" i="191"/>
  <c r="BT62" i="191"/>
  <c r="BS62" i="191"/>
  <c r="BR62" i="191"/>
  <c r="BQ62" i="191"/>
  <c r="BP62" i="191"/>
  <c r="BO62" i="191"/>
  <c r="BN62" i="191"/>
  <c r="BM62" i="191"/>
  <c r="BL62" i="191"/>
  <c r="BG62" i="191"/>
  <c r="BF62" i="191"/>
  <c r="BE62" i="191"/>
  <c r="BD62" i="191"/>
  <c r="BC62" i="191"/>
  <c r="BB62" i="191"/>
  <c r="BA62" i="191"/>
  <c r="AZ62" i="191"/>
  <c r="AY62" i="191"/>
  <c r="AX62" i="191"/>
  <c r="AW62" i="191"/>
  <c r="AV62" i="191"/>
  <c r="AF62" i="191"/>
  <c r="BX59" i="191"/>
  <c r="BH59" i="191"/>
  <c r="D59" i="191"/>
  <c r="BX58" i="191"/>
  <c r="BH58" i="191"/>
  <c r="D58" i="191"/>
  <c r="BX57" i="191"/>
  <c r="BH57" i="191"/>
  <c r="D57" i="191"/>
  <c r="AZ56" i="191"/>
  <c r="AY56" i="191"/>
  <c r="AX56" i="191"/>
  <c r="AW56" i="191"/>
  <c r="AV56" i="191"/>
  <c r="AF53" i="191"/>
  <c r="M53" i="191"/>
  <c r="FR52" i="191"/>
  <c r="FD52" i="191"/>
  <c r="EP52" i="191"/>
  <c r="EB52" i="191"/>
  <c r="DN52" i="191"/>
  <c r="CZ52" i="191"/>
  <c r="CL52" i="191"/>
  <c r="BX52" i="191"/>
  <c r="AF52" i="191"/>
  <c r="AF51" i="191"/>
  <c r="FQ50" i="191"/>
  <c r="FP50" i="191"/>
  <c r="FO50" i="191"/>
  <c r="FN50" i="191"/>
  <c r="FM50" i="191"/>
  <c r="FL50" i="191"/>
  <c r="FK50" i="191"/>
  <c r="FJ50" i="191"/>
  <c r="FI50" i="191"/>
  <c r="FH50" i="191"/>
  <c r="FG50" i="191"/>
  <c r="FF50" i="191"/>
  <c r="FC50" i="191"/>
  <c r="FB50" i="191"/>
  <c r="FA50" i="191"/>
  <c r="EZ50" i="191"/>
  <c r="EY50" i="191"/>
  <c r="EX50" i="191"/>
  <c r="EW50" i="191"/>
  <c r="EV50" i="191"/>
  <c r="EU50" i="191"/>
  <c r="ET50" i="191"/>
  <c r="ES50" i="191"/>
  <c r="ER50" i="191"/>
  <c r="EO50" i="191"/>
  <c r="EN50" i="191"/>
  <c r="EM50" i="191"/>
  <c r="EL50" i="191"/>
  <c r="EK50" i="191"/>
  <c r="EJ50" i="191"/>
  <c r="EI50" i="191"/>
  <c r="EH50" i="191"/>
  <c r="EG50" i="191"/>
  <c r="EF50" i="191"/>
  <c r="EE50" i="191"/>
  <c r="ED50" i="191"/>
  <c r="EA50" i="191"/>
  <c r="DZ50" i="191"/>
  <c r="DY50" i="191"/>
  <c r="DX50" i="191"/>
  <c r="DW50" i="191"/>
  <c r="DV50" i="191"/>
  <c r="DU50" i="191"/>
  <c r="DT50" i="191"/>
  <c r="DS50" i="191"/>
  <c r="DR50" i="191"/>
  <c r="DQ50" i="191"/>
  <c r="DP50" i="191"/>
  <c r="DM50" i="191"/>
  <c r="DM54" i="191" s="1"/>
  <c r="DL50" i="191"/>
  <c r="DK50" i="191"/>
  <c r="DK54" i="191" s="1"/>
  <c r="DJ50" i="191"/>
  <c r="DI50" i="191"/>
  <c r="DH50" i="191"/>
  <c r="DH54" i="191" s="1"/>
  <c r="DG50" i="191"/>
  <c r="DF50" i="191"/>
  <c r="DF54" i="191" s="1"/>
  <c r="DE50" i="191"/>
  <c r="DE54" i="191" s="1"/>
  <c r="DD50" i="191"/>
  <c r="DC50" i="191"/>
  <c r="DC54" i="191" s="1"/>
  <c r="DB50" i="191"/>
  <c r="CY50" i="191"/>
  <c r="CY54" i="191" s="1"/>
  <c r="CX50" i="191"/>
  <c r="CW50" i="191"/>
  <c r="CW54" i="191" s="1"/>
  <c r="CV50" i="191"/>
  <c r="CV54" i="191" s="1"/>
  <c r="CU50" i="191"/>
  <c r="CU54" i="191" s="1"/>
  <c r="CT50" i="191"/>
  <c r="CT54" i="191" s="1"/>
  <c r="CS50" i="191"/>
  <c r="CR50" i="191"/>
  <c r="CQ50" i="191"/>
  <c r="CQ54" i="191" s="1"/>
  <c r="CP50" i="191"/>
  <c r="CO50" i="191"/>
  <c r="CO54" i="191" s="1"/>
  <c r="CN50" i="191"/>
  <c r="CN54" i="191" s="1"/>
  <c r="BQ50" i="191"/>
  <c r="BN50" i="191"/>
  <c r="BM50" i="191"/>
  <c r="BG50" i="191"/>
  <c r="BF50" i="191"/>
  <c r="BE50" i="191"/>
  <c r="BD50" i="191"/>
  <c r="BC50" i="191"/>
  <c r="BB50" i="191"/>
  <c r="BA50" i="191"/>
  <c r="AZ50" i="191"/>
  <c r="AY50" i="191"/>
  <c r="AX50" i="191"/>
  <c r="AW50" i="191"/>
  <c r="AS50" i="191"/>
  <c r="AS93" i="191" s="1"/>
  <c r="AR50" i="191"/>
  <c r="AQ50" i="191"/>
  <c r="AP50" i="191"/>
  <c r="AP69" i="191" s="1"/>
  <c r="AO50" i="191"/>
  <c r="AO89" i="191" s="1"/>
  <c r="AN50" i="191"/>
  <c r="AM50" i="191"/>
  <c r="AM74" i="191" s="1"/>
  <c r="AL50" i="191"/>
  <c r="AL90" i="191" s="1"/>
  <c r="AK50" i="191"/>
  <c r="AI50" i="191"/>
  <c r="AI100" i="191" s="1"/>
  <c r="AH50" i="191"/>
  <c r="AE50" i="191"/>
  <c r="AE110" i="191" s="1"/>
  <c r="AD50" i="191"/>
  <c r="AD110" i="191" s="1"/>
  <c r="AC50" i="191"/>
  <c r="AB50" i="191"/>
  <c r="AB91" i="191" s="1"/>
  <c r="AA50" i="191"/>
  <c r="AA107" i="191" s="1"/>
  <c r="X50" i="191"/>
  <c r="W50" i="191"/>
  <c r="V50" i="191"/>
  <c r="V80" i="191" s="1"/>
  <c r="T50" i="191"/>
  <c r="N50" i="191"/>
  <c r="N66" i="191" s="1"/>
  <c r="M50" i="191"/>
  <c r="L50" i="191"/>
  <c r="J50" i="191"/>
  <c r="I50" i="191"/>
  <c r="I88" i="191" s="1"/>
  <c r="F50" i="191"/>
  <c r="F69" i="191" s="1"/>
  <c r="FR49" i="191"/>
  <c r="FD49" i="191"/>
  <c r="EP49" i="191"/>
  <c r="EB49" i="191"/>
  <c r="DN49" i="191"/>
  <c r="CZ49" i="191"/>
  <c r="CL49" i="191"/>
  <c r="BX49" i="191"/>
  <c r="BI49" i="191" a="1"/>
  <c r="BH49" i="191"/>
  <c r="AU49" i="191"/>
  <c r="AG49" i="191"/>
  <c r="AF49" i="191"/>
  <c r="FR48" i="191"/>
  <c r="FD48" i="191"/>
  <c r="EP48" i="191"/>
  <c r="EB48" i="191"/>
  <c r="DN48" i="191"/>
  <c r="CZ48" i="191"/>
  <c r="CL48" i="191"/>
  <c r="BX48" i="191"/>
  <c r="BI48" i="191" a="1"/>
  <c r="BH48" i="191"/>
  <c r="AU48" i="191"/>
  <c r="U48" i="191"/>
  <c r="R48" i="191"/>
  <c r="FR47" i="191"/>
  <c r="FD47" i="191"/>
  <c r="EP47" i="191"/>
  <c r="EB47" i="191"/>
  <c r="DN47" i="191"/>
  <c r="CZ47" i="191"/>
  <c r="CL47" i="191"/>
  <c r="BX47" i="191"/>
  <c r="BI47" i="191" a="1"/>
  <c r="BH47" i="191"/>
  <c r="AU47" i="191"/>
  <c r="AG47" i="191"/>
  <c r="AF47" i="191"/>
  <c r="R47" i="191"/>
  <c r="FR46" i="191"/>
  <c r="FD46" i="191"/>
  <c r="EP46" i="191"/>
  <c r="EB46" i="191"/>
  <c r="DN46" i="191"/>
  <c r="CZ46" i="191"/>
  <c r="CL46" i="191"/>
  <c r="BX46" i="191"/>
  <c r="BI46" i="191" a="1"/>
  <c r="BH46" i="191"/>
  <c r="AU46" i="191"/>
  <c r="AG46" i="191"/>
  <c r="AF46" i="191"/>
  <c r="R46" i="191"/>
  <c r="FR45" i="191"/>
  <c r="FD45" i="191"/>
  <c r="EP45" i="191"/>
  <c r="EB45" i="191"/>
  <c r="DN45" i="191"/>
  <c r="CZ45" i="191"/>
  <c r="CL45" i="191"/>
  <c r="BX45" i="191"/>
  <c r="BI45" i="191" a="1"/>
  <c r="BH45" i="191"/>
  <c r="AU45" i="191"/>
  <c r="AG45" i="191"/>
  <c r="AF45" i="191"/>
  <c r="R45" i="191"/>
  <c r="FR44" i="191"/>
  <c r="FD44" i="191"/>
  <c r="EP44" i="191"/>
  <c r="EB44" i="191"/>
  <c r="DN44" i="191"/>
  <c r="CZ44" i="191"/>
  <c r="CL44" i="191"/>
  <c r="BX44" i="191"/>
  <c r="BI44" i="191" a="1"/>
  <c r="BH44" i="191"/>
  <c r="AS44" i="191"/>
  <c r="AG44" i="191"/>
  <c r="AF44" i="191"/>
  <c r="R44" i="191"/>
  <c r="FR43" i="191"/>
  <c r="FD43" i="191"/>
  <c r="EP43" i="191"/>
  <c r="EB43" i="191"/>
  <c r="DN43" i="191"/>
  <c r="CZ43" i="191"/>
  <c r="CL43" i="191"/>
  <c r="BX43" i="191"/>
  <c r="BI43" i="191" a="1"/>
  <c r="BH43" i="191"/>
  <c r="AU43" i="191"/>
  <c r="AG43" i="191"/>
  <c r="AF43" i="191"/>
  <c r="R43" i="191"/>
  <c r="FR42" i="191"/>
  <c r="FD42" i="191"/>
  <c r="EP42" i="191"/>
  <c r="EB42" i="191"/>
  <c r="DN42" i="191"/>
  <c r="CZ42" i="191"/>
  <c r="CL42" i="191"/>
  <c r="BX42" i="191"/>
  <c r="BI42" i="191" a="1"/>
  <c r="BH42" i="191"/>
  <c r="AU42" i="191"/>
  <c r="AG42" i="191"/>
  <c r="AF42" i="191"/>
  <c r="T42" i="191"/>
  <c r="R42" i="191"/>
  <c r="FR41" i="191"/>
  <c r="FD41" i="191"/>
  <c r="EP41" i="191"/>
  <c r="EB41" i="191"/>
  <c r="DN41" i="191"/>
  <c r="CZ41" i="191"/>
  <c r="CL41" i="191"/>
  <c r="BX41" i="191"/>
  <c r="BI41" i="191" a="1"/>
  <c r="BH41" i="191"/>
  <c r="AU41" i="191"/>
  <c r="AG41" i="191"/>
  <c r="U41" i="191"/>
  <c r="T41" i="191"/>
  <c r="S41" i="191"/>
  <c r="R41" i="191"/>
  <c r="FR40" i="191"/>
  <c r="FD40" i="191"/>
  <c r="EP40" i="191"/>
  <c r="EB40" i="191"/>
  <c r="DN40" i="191"/>
  <c r="CZ40" i="191"/>
  <c r="CL40" i="191"/>
  <c r="BX40" i="191"/>
  <c r="BI40" i="191" a="1"/>
  <c r="BH40" i="191"/>
  <c r="AU40" i="191"/>
  <c r="AG40" i="191"/>
  <c r="AF40" i="191"/>
  <c r="R40" i="191"/>
  <c r="FR39" i="191"/>
  <c r="FD39" i="191"/>
  <c r="EP39" i="191"/>
  <c r="EB39" i="191"/>
  <c r="DN39" i="191"/>
  <c r="CZ39" i="191"/>
  <c r="CL39" i="191"/>
  <c r="BX39" i="191"/>
  <c r="BY39" i="191" s="1"/>
  <c r="BI39" i="191" a="1"/>
  <c r="BH39" i="191"/>
  <c r="AU39" i="191"/>
  <c r="AG39" i="191"/>
  <c r="AF39" i="191"/>
  <c r="R39" i="191"/>
  <c r="FR38" i="191"/>
  <c r="FD38" i="191"/>
  <c r="EP38" i="191"/>
  <c r="EB38" i="191"/>
  <c r="DN38" i="191"/>
  <c r="CZ38" i="191"/>
  <c r="CL38" i="191"/>
  <c r="BX38" i="191"/>
  <c r="BI38" i="191" a="1"/>
  <c r="BH38" i="191"/>
  <c r="AU38" i="191"/>
  <c r="AG38" i="191"/>
  <c r="AF38" i="191"/>
  <c r="R38" i="191"/>
  <c r="FR37" i="191"/>
  <c r="FD37" i="191"/>
  <c r="EP37" i="191"/>
  <c r="EB37" i="191"/>
  <c r="DN37" i="191"/>
  <c r="CZ37" i="191"/>
  <c r="CL37" i="191"/>
  <c r="BX37" i="191"/>
  <c r="BI37" i="191" a="1"/>
  <c r="BH37" i="191"/>
  <c r="AU37" i="191"/>
  <c r="AG37" i="191"/>
  <c r="AF37" i="191"/>
  <c r="R37" i="191"/>
  <c r="FR36" i="191"/>
  <c r="FD36" i="191"/>
  <c r="EP36" i="191"/>
  <c r="EB36" i="191"/>
  <c r="DN36" i="191"/>
  <c r="CZ36" i="191"/>
  <c r="CL36" i="191"/>
  <c r="BW36" i="191"/>
  <c r="BU36" i="191"/>
  <c r="BR36" i="191"/>
  <c r="BO36" i="191"/>
  <c r="BL36" i="191"/>
  <c r="BI36" i="191" a="1"/>
  <c r="BH36" i="191"/>
  <c r="AU36" i="191"/>
  <c r="AG36" i="191"/>
  <c r="AF36" i="191"/>
  <c r="R36" i="191"/>
  <c r="FR35" i="191"/>
  <c r="FD35" i="191"/>
  <c r="EP35" i="191"/>
  <c r="EB35" i="191"/>
  <c r="DN35" i="191"/>
  <c r="CZ35" i="191"/>
  <c r="CL35" i="191"/>
  <c r="BX35" i="191"/>
  <c r="BI35" i="191" a="1"/>
  <c r="BH35" i="191"/>
  <c r="AU35" i="191"/>
  <c r="AG35" i="191"/>
  <c r="S35" i="191"/>
  <c r="R35" i="191"/>
  <c r="FR34" i="191"/>
  <c r="FD34" i="191"/>
  <c r="EP34" i="191"/>
  <c r="EB34" i="191"/>
  <c r="DN34" i="191"/>
  <c r="CZ34" i="191"/>
  <c r="CL34" i="191"/>
  <c r="BX34" i="191"/>
  <c r="BI34" i="191" a="1"/>
  <c r="BH34" i="191"/>
  <c r="AU34" i="191"/>
  <c r="AG34" i="191"/>
  <c r="AF34" i="191"/>
  <c r="R34" i="191"/>
  <c r="FR33" i="191"/>
  <c r="FD33" i="191"/>
  <c r="EP33" i="191"/>
  <c r="EB33" i="191"/>
  <c r="DN33" i="191"/>
  <c r="CZ33" i="191"/>
  <c r="CL33" i="191"/>
  <c r="BX33" i="191"/>
  <c r="BI33" i="191" a="1"/>
  <c r="BH33" i="191"/>
  <c r="AU33" i="191"/>
  <c r="AG33" i="191"/>
  <c r="AF33" i="191"/>
  <c r="R33" i="191"/>
  <c r="FR32" i="191"/>
  <c r="FD32" i="191"/>
  <c r="EP32" i="191"/>
  <c r="EB32" i="191"/>
  <c r="DN32" i="191"/>
  <c r="CZ32" i="191"/>
  <c r="CL32" i="191"/>
  <c r="BX32" i="191"/>
  <c r="BI32" i="191" a="1"/>
  <c r="BH32" i="191"/>
  <c r="AU32" i="191"/>
  <c r="AG32" i="191"/>
  <c r="AF32" i="191"/>
  <c r="R32" i="191"/>
  <c r="FR31" i="191"/>
  <c r="FD31" i="191"/>
  <c r="EP31" i="191"/>
  <c r="EB31" i="191"/>
  <c r="DN31" i="191"/>
  <c r="CZ31" i="191"/>
  <c r="CL31" i="191"/>
  <c r="BX31" i="191"/>
  <c r="BY31" i="191" s="1"/>
  <c r="BI31" i="191" a="1"/>
  <c r="BH31" i="191"/>
  <c r="AU31" i="191"/>
  <c r="AG31" i="191"/>
  <c r="AF31" i="191"/>
  <c r="R31" i="191"/>
  <c r="FR30" i="191"/>
  <c r="FD30" i="191"/>
  <c r="EP30" i="191"/>
  <c r="EB30" i="191"/>
  <c r="DN30" i="191"/>
  <c r="CZ30" i="191"/>
  <c r="CL30" i="191"/>
  <c r="BX30" i="191"/>
  <c r="BI30" i="191" a="1"/>
  <c r="BH30" i="191"/>
  <c r="AU30" i="191"/>
  <c r="AG30" i="191"/>
  <c r="AF30" i="191"/>
  <c r="S30" i="191"/>
  <c r="R30" i="191"/>
  <c r="FR29" i="191"/>
  <c r="FD29" i="191"/>
  <c r="EP29" i="191"/>
  <c r="EB29" i="191"/>
  <c r="DN29" i="191"/>
  <c r="CZ29" i="191"/>
  <c r="CL29" i="191"/>
  <c r="BX29" i="191"/>
  <c r="BI29" i="191" a="1"/>
  <c r="BH29" i="191"/>
  <c r="AU29" i="191"/>
  <c r="AG29" i="191"/>
  <c r="AF29" i="191"/>
  <c r="R29" i="191"/>
  <c r="FR28" i="191"/>
  <c r="FD28" i="191"/>
  <c r="EP28" i="191"/>
  <c r="EB28" i="191"/>
  <c r="DN28" i="191"/>
  <c r="CZ28" i="191"/>
  <c r="CL28" i="191"/>
  <c r="BX28" i="191"/>
  <c r="BI28" i="191" a="1"/>
  <c r="BH28" i="191"/>
  <c r="AU28" i="191"/>
  <c r="AG28" i="191"/>
  <c r="AF28" i="191"/>
  <c r="R28" i="191"/>
  <c r="FR27" i="191"/>
  <c r="BY27" i="191" s="1"/>
  <c r="FD27" i="191"/>
  <c r="EP27" i="191"/>
  <c r="EB27" i="191"/>
  <c r="DN27" i="191"/>
  <c r="CZ27" i="191"/>
  <c r="CL27" i="191"/>
  <c r="BX27" i="191"/>
  <c r="BI27" i="191" a="1"/>
  <c r="BH27" i="191"/>
  <c r="AU27" i="191"/>
  <c r="AG27" i="191"/>
  <c r="AF27" i="191"/>
  <c r="S27" i="191"/>
  <c r="R27" i="191"/>
  <c r="FR26" i="191"/>
  <c r="FD26" i="191"/>
  <c r="EP26" i="191"/>
  <c r="EB26" i="191"/>
  <c r="DN26" i="191"/>
  <c r="CZ26" i="191"/>
  <c r="CL26" i="191"/>
  <c r="BX26" i="191"/>
  <c r="BI26" i="191" a="1"/>
  <c r="BH26" i="191"/>
  <c r="AU26" i="191"/>
  <c r="AG26" i="191"/>
  <c r="AF26" i="191"/>
  <c r="Q26" i="191"/>
  <c r="P26" i="191"/>
  <c r="O26" i="191"/>
  <c r="FR25" i="191"/>
  <c r="FD25" i="191"/>
  <c r="EP25" i="191"/>
  <c r="EB25" i="191"/>
  <c r="DN25" i="191"/>
  <c r="CZ25" i="191"/>
  <c r="CL25" i="191"/>
  <c r="BX25" i="191"/>
  <c r="BI25" i="191" a="1"/>
  <c r="BH25" i="191"/>
  <c r="AU25" i="191"/>
  <c r="AG25" i="191"/>
  <c r="AF25" i="191"/>
  <c r="R25" i="191"/>
  <c r="FR24" i="191"/>
  <c r="FD24" i="191"/>
  <c r="EP24" i="191"/>
  <c r="EB24" i="191"/>
  <c r="DN24" i="191"/>
  <c r="CZ24" i="191"/>
  <c r="CL24" i="191"/>
  <c r="BX24" i="191"/>
  <c r="BI24" i="191" a="1"/>
  <c r="BH24" i="191"/>
  <c r="AT24" i="191"/>
  <c r="AT50" i="191" s="1"/>
  <c r="S24" i="191"/>
  <c r="R24" i="191"/>
  <c r="A24" i="191"/>
  <c r="A25" i="191" s="1"/>
  <c r="A26" i="191" s="1"/>
  <c r="A27" i="191" s="1"/>
  <c r="A28" i="191" s="1"/>
  <c r="A29" i="191" s="1"/>
  <c r="A30" i="191" s="1"/>
  <c r="A31" i="191" s="1"/>
  <c r="FR23" i="191"/>
  <c r="FD23" i="191"/>
  <c r="EP23" i="191"/>
  <c r="EB23" i="191"/>
  <c r="DN23" i="191"/>
  <c r="CZ23" i="191"/>
  <c r="CL23" i="191"/>
  <c r="BX23" i="191"/>
  <c r="BI23" i="191" a="1"/>
  <c r="BH23" i="191"/>
  <c r="AU23" i="191"/>
  <c r="AG23" i="191"/>
  <c r="AF23" i="191"/>
  <c r="H23" i="191"/>
  <c r="G23" i="191"/>
  <c r="G50" i="191" s="1"/>
  <c r="F23" i="191"/>
  <c r="FR21" i="191"/>
  <c r="FD21" i="191"/>
  <c r="EP21" i="191"/>
  <c r="EB21" i="191"/>
  <c r="DN21" i="191"/>
  <c r="CZ21" i="191"/>
  <c r="CK21" i="191"/>
  <c r="CJ21" i="191"/>
  <c r="CI21" i="191"/>
  <c r="CH21" i="191"/>
  <c r="CG21" i="191"/>
  <c r="CF21" i="191"/>
  <c r="CE21" i="191"/>
  <c r="CD21" i="191"/>
  <c r="CC21" i="191"/>
  <c r="CB21" i="191"/>
  <c r="CA21" i="191"/>
  <c r="BZ21" i="191"/>
  <c r="BX21" i="191"/>
  <c r="BI21" i="191" a="1"/>
  <c r="BH21" i="191"/>
  <c r="AU21" i="191"/>
  <c r="AG21" i="191"/>
  <c r="AF21" i="191"/>
  <c r="R21" i="191"/>
  <c r="FR20" i="191"/>
  <c r="FD20" i="191"/>
  <c r="EP20" i="191"/>
  <c r="EB20" i="191"/>
  <c r="DN20" i="191"/>
  <c r="CZ20" i="191"/>
  <c r="CL20" i="191"/>
  <c r="BX20" i="191"/>
  <c r="BI20" i="191" a="1"/>
  <c r="BH20" i="191"/>
  <c r="AU20" i="191"/>
  <c r="AG20" i="191"/>
  <c r="AF20" i="191"/>
  <c r="P20" i="191"/>
  <c r="O20" i="191"/>
  <c r="FR19" i="191"/>
  <c r="FD19" i="191"/>
  <c r="EP19" i="191"/>
  <c r="EB19" i="191"/>
  <c r="DN19" i="191"/>
  <c r="CZ19" i="191"/>
  <c r="CL19" i="191"/>
  <c r="BW19" i="191"/>
  <c r="BV19" i="191"/>
  <c r="BV50" i="191" s="1"/>
  <c r="BU19" i="191"/>
  <c r="BT19" i="191"/>
  <c r="BS19" i="191"/>
  <c r="BR19" i="191"/>
  <c r="BQ19" i="191"/>
  <c r="BP19" i="191"/>
  <c r="BI19" i="191" s="1" a="1"/>
  <c r="BO19" i="191"/>
  <c r="BN19" i="191"/>
  <c r="BM19" i="191"/>
  <c r="BL19" i="191"/>
  <c r="AY19" i="191"/>
  <c r="AX19" i="191"/>
  <c r="AW19" i="191"/>
  <c r="BH19" i="191" s="1"/>
  <c r="AU19" i="191"/>
  <c r="AG19" i="191"/>
  <c r="AF19" i="191"/>
  <c r="R19" i="191"/>
  <c r="FR18" i="191"/>
  <c r="FD18" i="191"/>
  <c r="EP18" i="191"/>
  <c r="EB18" i="191"/>
  <c r="DN18" i="191"/>
  <c r="CZ18" i="191"/>
  <c r="CL18" i="191"/>
  <c r="BX18" i="191"/>
  <c r="BI18" i="191" a="1"/>
  <c r="BH18" i="191"/>
  <c r="AU18" i="191"/>
  <c r="AG18" i="191"/>
  <c r="AF18" i="191"/>
  <c r="R18" i="191"/>
  <c r="FR17" i="191"/>
  <c r="FD17" i="191"/>
  <c r="EP17" i="191"/>
  <c r="EB17" i="191"/>
  <c r="DN17" i="191"/>
  <c r="CZ17" i="191"/>
  <c r="CL17" i="191"/>
  <c r="BX17" i="191"/>
  <c r="BI17" i="191" a="1"/>
  <c r="BH17" i="191"/>
  <c r="AU17" i="191"/>
  <c r="AG17" i="191"/>
  <c r="AF17" i="191"/>
  <c r="R17" i="191"/>
  <c r="FR16" i="191"/>
  <c r="FD16" i="191"/>
  <c r="EP16" i="191"/>
  <c r="EB16" i="191"/>
  <c r="DN16" i="191"/>
  <c r="CZ16" i="191"/>
  <c r="CL16" i="191"/>
  <c r="BX16" i="191"/>
  <c r="BI16" i="191" a="1"/>
  <c r="BH16" i="191"/>
  <c r="AU16" i="191"/>
  <c r="AG16" i="191"/>
  <c r="AF16" i="191"/>
  <c r="R16" i="191"/>
  <c r="FR15" i="191"/>
  <c r="FD15" i="191"/>
  <c r="EP15" i="191"/>
  <c r="EB15" i="191"/>
  <c r="DN15" i="191"/>
  <c r="CZ15" i="191"/>
  <c r="CL15" i="191"/>
  <c r="BX15" i="191"/>
  <c r="BI15" i="191" a="1"/>
  <c r="BH15" i="191"/>
  <c r="AU15" i="191"/>
  <c r="AG15" i="191"/>
  <c r="AF15" i="191"/>
  <c r="R15" i="191"/>
  <c r="FR14" i="191"/>
  <c r="FD14" i="191"/>
  <c r="EP14" i="191"/>
  <c r="EB14" i="191"/>
  <c r="DN14" i="191"/>
  <c r="CZ14" i="191"/>
  <c r="CL14" i="191"/>
  <c r="BX14" i="191"/>
  <c r="BI14" i="191" a="1"/>
  <c r="BH14" i="191"/>
  <c r="AJ14" i="191"/>
  <c r="AG14" i="191"/>
  <c r="AF14" i="191"/>
  <c r="Q14" i="191"/>
  <c r="FR13" i="191"/>
  <c r="FD13" i="191"/>
  <c r="EP13" i="191"/>
  <c r="EB13" i="191"/>
  <c r="DN13" i="191"/>
  <c r="CZ13" i="191"/>
  <c r="CK13" i="191"/>
  <c r="CJ13" i="191"/>
  <c r="CI13" i="191"/>
  <c r="CH13" i="191"/>
  <c r="CG13" i="191"/>
  <c r="CF13" i="191"/>
  <c r="CE13" i="191"/>
  <c r="CD13" i="191"/>
  <c r="CC13" i="191"/>
  <c r="CB13" i="191"/>
  <c r="CA13" i="191"/>
  <c r="BZ13" i="191"/>
  <c r="BX13" i="191"/>
  <c r="BI13" i="191" a="1"/>
  <c r="BH13" i="191"/>
  <c r="AU13" i="191"/>
  <c r="AG13" i="191"/>
  <c r="AF13" i="191"/>
  <c r="R13" i="191"/>
  <c r="FR12" i="191"/>
  <c r="FD12" i="191"/>
  <c r="EP12" i="191"/>
  <c r="EB12" i="191"/>
  <c r="DN12" i="191"/>
  <c r="CZ12" i="191"/>
  <c r="CL12" i="191"/>
  <c r="BX12" i="191"/>
  <c r="BI12" i="191" a="1"/>
  <c r="BH12" i="191"/>
  <c r="AU12" i="191"/>
  <c r="AG12" i="191"/>
  <c r="AF12" i="191"/>
  <c r="S12" i="191"/>
  <c r="S50" i="191" s="1"/>
  <c r="R12" i="191"/>
  <c r="FR11" i="191"/>
  <c r="FD11" i="191"/>
  <c r="EP11" i="191"/>
  <c r="EB11" i="191"/>
  <c r="DN11" i="191"/>
  <c r="CZ11" i="191"/>
  <c r="CL11" i="191"/>
  <c r="BX11" i="191"/>
  <c r="BI11" i="191" a="1"/>
  <c r="BH11" i="191"/>
  <c r="AU11" i="191"/>
  <c r="AG11" i="191"/>
  <c r="AF11" i="191"/>
  <c r="R11" i="191"/>
  <c r="FR10" i="191"/>
  <c r="FD10" i="191"/>
  <c r="EP10" i="191"/>
  <c r="EB10" i="191"/>
  <c r="DN10" i="191"/>
  <c r="CZ10" i="191"/>
  <c r="CL10" i="191"/>
  <c r="BW10" i="191"/>
  <c r="BU10" i="191"/>
  <c r="BR10" i="191"/>
  <c r="BO10" i="191"/>
  <c r="BL10" i="191"/>
  <c r="BI10" i="191" a="1"/>
  <c r="BH10" i="191"/>
  <c r="AU10" i="191"/>
  <c r="FR9" i="191"/>
  <c r="FD9" i="191"/>
  <c r="EP9" i="191"/>
  <c r="EB9" i="191"/>
  <c r="DN9" i="191"/>
  <c r="CZ9" i="191"/>
  <c r="CL9" i="191"/>
  <c r="BX9" i="191"/>
  <c r="BI9" i="191" a="1"/>
  <c r="BH9" i="191"/>
  <c r="AV9" i="191"/>
  <c r="AU9" i="191"/>
  <c r="AG9" i="191"/>
  <c r="AF9" i="191"/>
  <c r="R9" i="191"/>
  <c r="FR8" i="191"/>
  <c r="FD8" i="191"/>
  <c r="EP8" i="191"/>
  <c r="EB8" i="191"/>
  <c r="DN8" i="191"/>
  <c r="CZ8" i="191"/>
  <c r="CK8" i="191"/>
  <c r="CJ8" i="191"/>
  <c r="CI8" i="191"/>
  <c r="CH8" i="191"/>
  <c r="CG8" i="191"/>
  <c r="CF8" i="191"/>
  <c r="CE8" i="191"/>
  <c r="CD8" i="191"/>
  <c r="CC8" i="191"/>
  <c r="CB8" i="191"/>
  <c r="CA8" i="191"/>
  <c r="BZ8" i="191"/>
  <c r="BX8" i="191"/>
  <c r="BI8" i="191" a="1"/>
  <c r="BH8" i="191"/>
  <c r="AU8" i="191"/>
  <c r="AG8" i="191"/>
  <c r="AF8" i="191"/>
  <c r="R8" i="191"/>
  <c r="FR7" i="191"/>
  <c r="FD7" i="191"/>
  <c r="EP7" i="191"/>
  <c r="EB7" i="191"/>
  <c r="DN7" i="191"/>
  <c r="CZ7" i="191"/>
  <c r="CK7" i="191"/>
  <c r="CJ7" i="191"/>
  <c r="CI7" i="191"/>
  <c r="CH7" i="191"/>
  <c r="CG7" i="191"/>
  <c r="CF7" i="191"/>
  <c r="CE7" i="191"/>
  <c r="CD7" i="191"/>
  <c r="CC7" i="191"/>
  <c r="CB7" i="191"/>
  <c r="CA7" i="191"/>
  <c r="BZ7" i="191"/>
  <c r="BX7" i="191"/>
  <c r="BI7" i="191" a="1"/>
  <c r="BH7" i="191"/>
  <c r="AU7" i="191"/>
  <c r="Z7" i="191"/>
  <c r="Y7" i="191"/>
  <c r="R7" i="191"/>
  <c r="FR6" i="191"/>
  <c r="FD6" i="191"/>
  <c r="EP6" i="191"/>
  <c r="EB6" i="191"/>
  <c r="DN6" i="191"/>
  <c r="CZ6" i="191"/>
  <c r="CL6" i="191"/>
  <c r="BX6" i="191"/>
  <c r="BI6" i="191" a="1"/>
  <c r="BH6" i="191"/>
  <c r="AU6" i="191"/>
  <c r="AG6" i="191"/>
  <c r="AF6" i="191"/>
  <c r="R6" i="191"/>
  <c r="FR5" i="191"/>
  <c r="FD5" i="191"/>
  <c r="EP5" i="191"/>
  <c r="EB5" i="191"/>
  <c r="DN5" i="191"/>
  <c r="CZ5" i="191"/>
  <c r="CL5" i="191"/>
  <c r="BX5" i="191"/>
  <c r="BI5" i="191" a="1"/>
  <c r="BH5" i="191"/>
  <c r="AU5" i="191"/>
  <c r="AG5" i="191"/>
  <c r="AF5" i="191"/>
  <c r="R5" i="191"/>
  <c r="A5" i="191"/>
  <c r="A6" i="191" s="1"/>
  <c r="FR4" i="191"/>
  <c r="FD4" i="191"/>
  <c r="EP4" i="191"/>
  <c r="EB4" i="191"/>
  <c r="DN4" i="191"/>
  <c r="CZ4" i="191"/>
  <c r="CK4" i="191"/>
  <c r="CJ4" i="191"/>
  <c r="CI4" i="191"/>
  <c r="CH4" i="191"/>
  <c r="CG4" i="191"/>
  <c r="CG50" i="191" s="1"/>
  <c r="CG54" i="191" s="1"/>
  <c r="CF4" i="191"/>
  <c r="CF50" i="191" s="1"/>
  <c r="CF54" i="191" s="1"/>
  <c r="CE4" i="191"/>
  <c r="CD4" i="191"/>
  <c r="CC4" i="191"/>
  <c r="CB4" i="191"/>
  <c r="CA4" i="191"/>
  <c r="BZ4" i="191"/>
  <c r="BX4" i="191"/>
  <c r="BI4" i="191" a="1"/>
  <c r="BH4" i="191"/>
  <c r="AU4" i="191"/>
  <c r="AG4" i="191"/>
  <c r="AF4" i="191"/>
  <c r="R4" i="191"/>
  <c r="K4" i="191"/>
  <c r="K50" i="191" s="1"/>
  <c r="K76" i="191" s="1"/>
  <c r="AE3" i="191"/>
  <c r="AD3" i="191"/>
  <c r="AC3" i="191"/>
  <c r="AB3" i="191"/>
  <c r="AA3" i="191"/>
  <c r="X3" i="191"/>
  <c r="W3" i="191"/>
  <c r="V3" i="191"/>
  <c r="U3" i="191"/>
  <c r="T3" i="191"/>
  <c r="S3" i="191"/>
  <c r="BI2" i="191"/>
  <c r="BI62" i="191" s="1"/>
  <c r="AE1" i="191"/>
  <c r="AD1" i="191"/>
  <c r="AC1" i="191"/>
  <c r="AB1" i="191"/>
  <c r="AA1" i="191"/>
  <c r="Z1" i="191"/>
  <c r="X1" i="191"/>
  <c r="W1" i="191"/>
  <c r="V1" i="191"/>
  <c r="T1" i="191"/>
  <c r="AD80" i="190"/>
  <c r="AC78" i="190"/>
  <c r="AB78" i="190"/>
  <c r="AA78" i="190"/>
  <c r="Z78" i="190"/>
  <c r="Y78" i="190"/>
  <c r="X78" i="190"/>
  <c r="W78" i="190"/>
  <c r="V78" i="190"/>
  <c r="B62" i="190"/>
  <c r="B63" i="190" s="1"/>
  <c r="B64" i="190" s="1"/>
  <c r="B65" i="190" s="1"/>
  <c r="B66" i="190" s="1"/>
  <c r="B67" i="190" s="1"/>
  <c r="B68" i="190" s="1"/>
  <c r="B69" i="190" s="1"/>
  <c r="B70" i="190" s="1"/>
  <c r="B71" i="190" s="1"/>
  <c r="B72" i="190" s="1"/>
  <c r="B73" i="190" s="1"/>
  <c r="B74" i="190" s="1"/>
  <c r="B75" i="190" s="1"/>
  <c r="B76" i="190" s="1"/>
  <c r="B77" i="190" s="1"/>
  <c r="B50" i="190"/>
  <c r="B51" i="190" s="1"/>
  <c r="B52" i="190" s="1"/>
  <c r="B53" i="190" s="1"/>
  <c r="B54" i="190" s="1"/>
  <c r="B55" i="190" s="1"/>
  <c r="B44" i="190"/>
  <c r="B45" i="190" s="1"/>
  <c r="B46" i="190" s="1"/>
  <c r="B47" i="190" s="1"/>
  <c r="B38" i="190"/>
  <c r="B39" i="190" s="1"/>
  <c r="B40" i="190" s="1"/>
  <c r="B41" i="190" s="1"/>
  <c r="B42" i="190" s="1"/>
  <c r="B43" i="190" s="1"/>
  <c r="BE35" i="190"/>
  <c r="BD35" i="190"/>
  <c r="BC35" i="190"/>
  <c r="BB35" i="190"/>
  <c r="BA35" i="190"/>
  <c r="AZ35" i="190"/>
  <c r="AY35" i="190"/>
  <c r="AX35" i="190"/>
  <c r="AW35" i="190"/>
  <c r="AV35" i="190"/>
  <c r="AU35" i="190"/>
  <c r="AT35" i="190"/>
  <c r="AS35" i="190"/>
  <c r="AD32" i="190"/>
  <c r="BD31" i="190"/>
  <c r="BD32" i="190" s="1"/>
  <c r="AQ31" i="190"/>
  <c r="AQ32" i="190" s="1"/>
  <c r="BT30" i="190"/>
  <c r="AC30" i="190"/>
  <c r="AB30" i="190"/>
  <c r="AA30" i="190"/>
  <c r="Z30" i="190"/>
  <c r="Y30" i="190"/>
  <c r="X30" i="190"/>
  <c r="W30" i="190"/>
  <c r="V30" i="190"/>
  <c r="U30" i="190"/>
  <c r="T30" i="190"/>
  <c r="S30" i="190"/>
  <c r="R30" i="190"/>
  <c r="BT29" i="190"/>
  <c r="BE29" i="190"/>
  <c r="AQ29" i="190"/>
  <c r="AR29" i="190" s="1"/>
  <c r="AE29" i="190"/>
  <c r="AC29" i="190"/>
  <c r="BT26" i="190"/>
  <c r="BF26" i="190"/>
  <c r="AR26" i="190"/>
  <c r="AE26" i="190"/>
  <c r="AD26" i="190"/>
  <c r="Q26" i="190"/>
  <c r="BS24" i="190"/>
  <c r="BR24" i="190"/>
  <c r="BQ24" i="190"/>
  <c r="BP24" i="190"/>
  <c r="BO24" i="190"/>
  <c r="BN24" i="190"/>
  <c r="BM24" i="190"/>
  <c r="BL24" i="190"/>
  <c r="BK24" i="190"/>
  <c r="BJ24" i="190"/>
  <c r="BI24" i="190"/>
  <c r="BH24" i="190"/>
  <c r="BF24" i="190"/>
  <c r="BD24" i="190"/>
  <c r="BC24" i="190"/>
  <c r="BB24" i="190"/>
  <c r="BA24" i="190"/>
  <c r="AZ24" i="190"/>
  <c r="AY24" i="190"/>
  <c r="AX24" i="190"/>
  <c r="AW24" i="190"/>
  <c r="AV24" i="190"/>
  <c r="AU24" i="190"/>
  <c r="AT24" i="190"/>
  <c r="AS24" i="190"/>
  <c r="AQ24" i="190"/>
  <c r="AP24" i="190"/>
  <c r="AO24" i="190"/>
  <c r="AN24" i="190"/>
  <c r="AM24" i="190"/>
  <c r="AL24" i="190"/>
  <c r="AK24" i="190"/>
  <c r="AJ24" i="190"/>
  <c r="AI24" i="190"/>
  <c r="AH24" i="190"/>
  <c r="AG24" i="190"/>
  <c r="AF24" i="190"/>
  <c r="AC24" i="190"/>
  <c r="AB24" i="190"/>
  <c r="AA24" i="190"/>
  <c r="Z24" i="190"/>
  <c r="Y24" i="190"/>
  <c r="X24" i="190"/>
  <c r="W24" i="190"/>
  <c r="V24" i="190"/>
  <c r="U24" i="190"/>
  <c r="T24" i="190"/>
  <c r="S24" i="190"/>
  <c r="R24" i="190"/>
  <c r="P24" i="190"/>
  <c r="O24" i="190"/>
  <c r="N24" i="190"/>
  <c r="M24" i="190"/>
  <c r="L24" i="190"/>
  <c r="K24" i="190"/>
  <c r="J24" i="190"/>
  <c r="I24" i="190"/>
  <c r="H24" i="190"/>
  <c r="G24" i="190"/>
  <c r="F24" i="190"/>
  <c r="E24" i="190"/>
  <c r="BS23" i="190"/>
  <c r="BR23" i="190"/>
  <c r="BQ23" i="190"/>
  <c r="BP23" i="190"/>
  <c r="BO23" i="190"/>
  <c r="BN23" i="190"/>
  <c r="BM23" i="190"/>
  <c r="BL23" i="190"/>
  <c r="BK23" i="190"/>
  <c r="BJ23" i="190"/>
  <c r="BI23" i="190"/>
  <c r="BH23" i="190"/>
  <c r="BT23" i="190" s="1"/>
  <c r="BF23" i="190"/>
  <c r="BD23" i="190"/>
  <c r="BC23" i="190"/>
  <c r="BB23" i="190"/>
  <c r="BA23" i="190"/>
  <c r="AZ23" i="190"/>
  <c r="AY23" i="190"/>
  <c r="AX23" i="190"/>
  <c r="AW23" i="190"/>
  <c r="AV23" i="190"/>
  <c r="AU23" i="190"/>
  <c r="AT23" i="190"/>
  <c r="AS23" i="190"/>
  <c r="AQ23" i="190"/>
  <c r="AP23" i="190"/>
  <c r="AO23" i="190"/>
  <c r="AN23" i="190"/>
  <c r="AM23" i="190"/>
  <c r="AL23" i="190"/>
  <c r="AK23" i="190"/>
  <c r="AJ23" i="190"/>
  <c r="AI23" i="190"/>
  <c r="AH23" i="190"/>
  <c r="AG23" i="190"/>
  <c r="AF23" i="190"/>
  <c r="AC23" i="190"/>
  <c r="AB23" i="190"/>
  <c r="AA23" i="190"/>
  <c r="Z23" i="190"/>
  <c r="Y23" i="190"/>
  <c r="X23" i="190"/>
  <c r="W23" i="190"/>
  <c r="V23" i="190"/>
  <c r="U23" i="190"/>
  <c r="T23" i="190"/>
  <c r="T69" i="190" s="1"/>
  <c r="S23" i="190"/>
  <c r="S69" i="190" s="1"/>
  <c r="R23" i="190"/>
  <c r="P23" i="190"/>
  <c r="P69" i="190" s="1"/>
  <c r="O23" i="190"/>
  <c r="N23" i="190"/>
  <c r="N69" i="190" s="1"/>
  <c r="M23" i="190"/>
  <c r="M69" i="190" s="1"/>
  <c r="L23" i="190"/>
  <c r="K23" i="190"/>
  <c r="K69" i="190" s="1"/>
  <c r="J23" i="190"/>
  <c r="I23" i="190"/>
  <c r="H23" i="190"/>
  <c r="G23" i="190"/>
  <c r="F23" i="190"/>
  <c r="F69" i="190" s="1"/>
  <c r="E23" i="190"/>
  <c r="BS22" i="190"/>
  <c r="BR22" i="190"/>
  <c r="BQ22" i="190"/>
  <c r="BP22" i="190"/>
  <c r="BO22" i="190"/>
  <c r="BN22" i="190"/>
  <c r="BM22" i="190"/>
  <c r="BL22" i="190"/>
  <c r="BK22" i="190"/>
  <c r="BJ22" i="190"/>
  <c r="BI22" i="190"/>
  <c r="BH22" i="190"/>
  <c r="BF22" i="190"/>
  <c r="BD22" i="190"/>
  <c r="BC22" i="190"/>
  <c r="BB22" i="190"/>
  <c r="BA22" i="190"/>
  <c r="AZ22" i="190"/>
  <c r="AY22" i="190"/>
  <c r="AX22" i="190"/>
  <c r="AW22" i="190"/>
  <c r="AV22" i="190"/>
  <c r="AU22" i="190"/>
  <c r="AT22" i="190"/>
  <c r="AS22" i="190"/>
  <c r="AQ22" i="190"/>
  <c r="AP22" i="190"/>
  <c r="AO22" i="190"/>
  <c r="AN22" i="190"/>
  <c r="AM22" i="190"/>
  <c r="AL22" i="190"/>
  <c r="AK22" i="190"/>
  <c r="AJ22" i="190"/>
  <c r="AI22" i="190"/>
  <c r="AH22" i="190"/>
  <c r="AG22" i="190"/>
  <c r="AF22" i="190"/>
  <c r="AC22" i="190"/>
  <c r="AB22" i="190"/>
  <c r="AA22" i="190"/>
  <c r="Z22" i="190"/>
  <c r="Y22" i="190"/>
  <c r="X22" i="190"/>
  <c r="W22" i="190"/>
  <c r="V22" i="190"/>
  <c r="U22" i="190"/>
  <c r="U68" i="190" s="1"/>
  <c r="T22" i="190"/>
  <c r="T68" i="190" s="1"/>
  <c r="S22" i="190"/>
  <c r="R22" i="190"/>
  <c r="R68" i="190" s="1"/>
  <c r="P22" i="190"/>
  <c r="O22" i="190"/>
  <c r="N22" i="190"/>
  <c r="M22" i="190"/>
  <c r="L22" i="190"/>
  <c r="K22" i="190"/>
  <c r="J22" i="190"/>
  <c r="J68" i="190" s="1"/>
  <c r="I22" i="190"/>
  <c r="H22" i="190"/>
  <c r="H68" i="190" s="1"/>
  <c r="G22" i="190"/>
  <c r="F22" i="190"/>
  <c r="E22" i="190"/>
  <c r="E68" i="190" s="1"/>
  <c r="BS21" i="190"/>
  <c r="BR21" i="190"/>
  <c r="BQ21" i="190"/>
  <c r="BP21" i="190"/>
  <c r="BO21" i="190"/>
  <c r="BN21" i="190"/>
  <c r="BM21" i="190"/>
  <c r="BL21" i="190"/>
  <c r="BK21" i="190"/>
  <c r="BJ21" i="190"/>
  <c r="BI21" i="190"/>
  <c r="BH21" i="190"/>
  <c r="BD21" i="190"/>
  <c r="BC21" i="190"/>
  <c r="BB21" i="190"/>
  <c r="BA21" i="190"/>
  <c r="AZ21" i="190"/>
  <c r="AY21" i="190"/>
  <c r="AX21" i="190"/>
  <c r="AW21" i="190"/>
  <c r="AV21" i="190"/>
  <c r="AU21" i="190"/>
  <c r="AT21" i="190"/>
  <c r="AS21" i="190"/>
  <c r="BE21" i="190" s="1"/>
  <c r="AQ21" i="190"/>
  <c r="AP21" i="190"/>
  <c r="AO21" i="190"/>
  <c r="AN21" i="190"/>
  <c r="AM21" i="190"/>
  <c r="AL21" i="190"/>
  <c r="AK21" i="190"/>
  <c r="AJ21" i="190"/>
  <c r="AI21" i="190"/>
  <c r="AH21" i="190"/>
  <c r="AG21" i="190"/>
  <c r="AF21" i="190"/>
  <c r="AC21" i="190"/>
  <c r="AB21" i="190"/>
  <c r="AA21" i="190"/>
  <c r="Z21" i="190"/>
  <c r="Y21" i="190"/>
  <c r="X21" i="190"/>
  <c r="W21" i="190"/>
  <c r="V21" i="190"/>
  <c r="U21" i="190"/>
  <c r="T21" i="190"/>
  <c r="S21" i="190"/>
  <c r="R21" i="190"/>
  <c r="R66" i="190" s="1"/>
  <c r="P21" i="190"/>
  <c r="O21" i="190"/>
  <c r="N21" i="190"/>
  <c r="N66" i="190" s="1"/>
  <c r="M21" i="190"/>
  <c r="M66" i="190" s="1"/>
  <c r="L21" i="190"/>
  <c r="K21" i="190"/>
  <c r="K66" i="190" s="1"/>
  <c r="J21" i="190"/>
  <c r="J66" i="190" s="1"/>
  <c r="I21" i="190"/>
  <c r="I66" i="190" s="1"/>
  <c r="H21" i="190"/>
  <c r="H66" i="190" s="1"/>
  <c r="G21" i="190"/>
  <c r="F21" i="190"/>
  <c r="F66" i="190" s="1"/>
  <c r="E21" i="190"/>
  <c r="B21" i="190"/>
  <c r="B22" i="190" s="1"/>
  <c r="B23" i="190" s="1"/>
  <c r="B24" i="190" s="1"/>
  <c r="BS20" i="190"/>
  <c r="BR20" i="190"/>
  <c r="BQ20" i="190"/>
  <c r="BP20" i="190"/>
  <c r="BO20" i="190"/>
  <c r="BN20" i="190"/>
  <c r="BM20" i="190"/>
  <c r="BL20" i="190"/>
  <c r="BK20" i="190"/>
  <c r="BJ20" i="190"/>
  <c r="BI20" i="190"/>
  <c r="BH20" i="190"/>
  <c r="BF20" i="190"/>
  <c r="BD20" i="190"/>
  <c r="BC20" i="190"/>
  <c r="BB20" i="190"/>
  <c r="BA20" i="190"/>
  <c r="AZ20" i="190"/>
  <c r="AY20" i="190"/>
  <c r="AX20" i="190"/>
  <c r="AW20" i="190"/>
  <c r="AV20" i="190"/>
  <c r="AU20" i="190"/>
  <c r="AT20" i="190"/>
  <c r="AS20" i="190"/>
  <c r="AQ20" i="190"/>
  <c r="AP20" i="190"/>
  <c r="AO20" i="190"/>
  <c r="AN20" i="190"/>
  <c r="AM20" i="190"/>
  <c r="AL20" i="190"/>
  <c r="AK20" i="190"/>
  <c r="AJ20" i="190"/>
  <c r="AI20" i="190"/>
  <c r="AH20" i="190"/>
  <c r="AG20" i="190"/>
  <c r="AF20" i="190"/>
  <c r="AC20" i="190"/>
  <c r="AB20" i="190"/>
  <c r="AA20" i="190"/>
  <c r="Z20" i="190"/>
  <c r="Y20" i="190"/>
  <c r="X20" i="190"/>
  <c r="W20" i="190"/>
  <c r="V20" i="190"/>
  <c r="U20" i="190"/>
  <c r="T20" i="190"/>
  <c r="T64" i="190" s="1"/>
  <c r="S20" i="190"/>
  <c r="R20" i="190"/>
  <c r="P20" i="190"/>
  <c r="P64" i="190" s="1"/>
  <c r="O20" i="190"/>
  <c r="O64" i="190" s="1"/>
  <c r="N20" i="190"/>
  <c r="N64" i="190" s="1"/>
  <c r="M20" i="190"/>
  <c r="L20" i="190"/>
  <c r="L64" i="190" s="1"/>
  <c r="K20" i="190"/>
  <c r="J20" i="190"/>
  <c r="I20" i="190"/>
  <c r="H20" i="190"/>
  <c r="G20" i="190"/>
  <c r="F20" i="190"/>
  <c r="E20" i="190"/>
  <c r="E64" i="190" s="1"/>
  <c r="B20" i="190"/>
  <c r="BS19" i="190"/>
  <c r="BR19" i="190"/>
  <c r="BQ19" i="190"/>
  <c r="BP19" i="190"/>
  <c r="BO19" i="190"/>
  <c r="BN19" i="190"/>
  <c r="BM19" i="190"/>
  <c r="BL19" i="190"/>
  <c r="BK19" i="190"/>
  <c r="BJ19" i="190"/>
  <c r="BI19" i="190"/>
  <c r="BH19" i="190"/>
  <c r="BF19" i="190"/>
  <c r="BD19" i="190"/>
  <c r="BC19" i="190"/>
  <c r="BB19" i="190"/>
  <c r="BA19" i="190"/>
  <c r="AZ19" i="190"/>
  <c r="AY19" i="190"/>
  <c r="AX19" i="190"/>
  <c r="AW19" i="190"/>
  <c r="AV19" i="190"/>
  <c r="AU19" i="190"/>
  <c r="AT19" i="190"/>
  <c r="AS19" i="190"/>
  <c r="AQ19" i="190"/>
  <c r="AP19" i="190"/>
  <c r="AO19" i="190"/>
  <c r="AN19" i="190"/>
  <c r="AM19" i="190"/>
  <c r="AL19" i="190"/>
  <c r="AK19" i="190"/>
  <c r="AJ19" i="190"/>
  <c r="AI19" i="190"/>
  <c r="AH19" i="190"/>
  <c r="AG19" i="190"/>
  <c r="AF19" i="190"/>
  <c r="AC19" i="190"/>
  <c r="AB19" i="190"/>
  <c r="AA19" i="190"/>
  <c r="Z19" i="190"/>
  <c r="Y19" i="190"/>
  <c r="X19" i="190"/>
  <c r="W19" i="190"/>
  <c r="V19" i="190"/>
  <c r="U19" i="190"/>
  <c r="U62" i="190" s="1"/>
  <c r="T19" i="190"/>
  <c r="T62" i="190" s="1"/>
  <c r="S19" i="190"/>
  <c r="R19" i="190"/>
  <c r="R62" i="190" s="1"/>
  <c r="P19" i="190"/>
  <c r="O19" i="190"/>
  <c r="N19" i="190"/>
  <c r="M19" i="190"/>
  <c r="L19" i="190"/>
  <c r="K19" i="190"/>
  <c r="J19" i="190"/>
  <c r="J62" i="190" s="1"/>
  <c r="I19" i="190"/>
  <c r="I62" i="190" s="1"/>
  <c r="H19" i="190"/>
  <c r="G19" i="190"/>
  <c r="G62" i="190" s="1"/>
  <c r="F19" i="190"/>
  <c r="F62" i="190" s="1"/>
  <c r="E19" i="190"/>
  <c r="E62" i="190" s="1"/>
  <c r="B19" i="190"/>
  <c r="BS18" i="190"/>
  <c r="BR18" i="190"/>
  <c r="BQ18" i="190"/>
  <c r="BP18" i="190"/>
  <c r="BO18" i="190"/>
  <c r="BN18" i="190"/>
  <c r="BM18" i="190"/>
  <c r="BL18" i="190"/>
  <c r="BK18" i="190"/>
  <c r="BJ18" i="190"/>
  <c r="BI18" i="190"/>
  <c r="BT18" i="190" s="1"/>
  <c r="BH18" i="190"/>
  <c r="BF18" i="190"/>
  <c r="BD18" i="190"/>
  <c r="BC18" i="190"/>
  <c r="BB18" i="190"/>
  <c r="BA18" i="190"/>
  <c r="AZ18" i="190"/>
  <c r="AY18" i="190"/>
  <c r="AX18" i="190"/>
  <c r="AW18" i="190"/>
  <c r="AV18" i="190"/>
  <c r="AU18" i="190"/>
  <c r="AT18" i="190"/>
  <c r="AS18" i="190"/>
  <c r="AQ18" i="190"/>
  <c r="AP18" i="190"/>
  <c r="AO18" i="190"/>
  <c r="AN18" i="190"/>
  <c r="AM18" i="190"/>
  <c r="AL18" i="190"/>
  <c r="AK18" i="190"/>
  <c r="AJ18" i="190"/>
  <c r="AI18" i="190"/>
  <c r="AH18" i="190"/>
  <c r="AG18" i="190"/>
  <c r="AF18" i="190"/>
  <c r="AB18" i="190"/>
  <c r="AA18" i="190"/>
  <c r="Z18" i="190"/>
  <c r="Y18" i="190"/>
  <c r="X18" i="190"/>
  <c r="W18" i="190"/>
  <c r="V18" i="190"/>
  <c r="U18" i="190"/>
  <c r="T18" i="190"/>
  <c r="S18" i="190"/>
  <c r="R18" i="190"/>
  <c r="P18" i="190"/>
  <c r="O18" i="190"/>
  <c r="N18" i="190"/>
  <c r="M18" i="190"/>
  <c r="L18" i="190"/>
  <c r="K18" i="190"/>
  <c r="J18" i="190"/>
  <c r="I18" i="190"/>
  <c r="H18" i="190"/>
  <c r="G18" i="190"/>
  <c r="F18" i="190"/>
  <c r="E18" i="190"/>
  <c r="BS16" i="190"/>
  <c r="BR16" i="190"/>
  <c r="BQ16" i="190"/>
  <c r="BP16" i="190"/>
  <c r="BO16" i="190"/>
  <c r="BN16" i="190"/>
  <c r="BM16" i="190"/>
  <c r="BL16" i="190"/>
  <c r="BK16" i="190"/>
  <c r="BJ16" i="190"/>
  <c r="BI16" i="190"/>
  <c r="BH16" i="190"/>
  <c r="BT16" i="190" s="1"/>
  <c r="BF16" i="190"/>
  <c r="BD16" i="190"/>
  <c r="BC16" i="190"/>
  <c r="BB16" i="190"/>
  <c r="BA16" i="190"/>
  <c r="AZ16" i="190"/>
  <c r="AY16" i="190"/>
  <c r="AX16" i="190"/>
  <c r="AW16" i="190"/>
  <c r="AV16" i="190"/>
  <c r="AU16" i="190"/>
  <c r="AT16" i="190"/>
  <c r="AS16" i="190"/>
  <c r="AQ16" i="190"/>
  <c r="AP16" i="190"/>
  <c r="AO16" i="190"/>
  <c r="AN16" i="190"/>
  <c r="AM16" i="190"/>
  <c r="AL16" i="190"/>
  <c r="AK16" i="190"/>
  <c r="AJ16" i="190"/>
  <c r="AI16" i="190"/>
  <c r="AH16" i="190"/>
  <c r="AG16" i="190"/>
  <c r="AF16" i="190"/>
  <c r="AC16" i="190"/>
  <c r="AB16" i="190"/>
  <c r="AA16" i="190"/>
  <c r="Z16" i="190"/>
  <c r="Y16" i="190"/>
  <c r="X16" i="190"/>
  <c r="W16" i="190"/>
  <c r="V16" i="190"/>
  <c r="U16" i="190"/>
  <c r="U77" i="190" s="1"/>
  <c r="T16" i="190"/>
  <c r="S16" i="190"/>
  <c r="R16" i="190"/>
  <c r="P16" i="190"/>
  <c r="P77" i="190" s="1"/>
  <c r="O16" i="190"/>
  <c r="O77" i="190" s="1"/>
  <c r="N16" i="190"/>
  <c r="N77" i="190" s="1"/>
  <c r="M16" i="190"/>
  <c r="L16" i="190"/>
  <c r="K16" i="190"/>
  <c r="J16" i="190"/>
  <c r="I16" i="190"/>
  <c r="H16" i="190"/>
  <c r="G16" i="190"/>
  <c r="F16" i="190"/>
  <c r="E16" i="190"/>
  <c r="E77" i="190" s="1"/>
  <c r="B16" i="190"/>
  <c r="BS15" i="190"/>
  <c r="BR15" i="190"/>
  <c r="BQ15" i="190"/>
  <c r="BP15" i="190"/>
  <c r="BO15" i="190"/>
  <c r="BN15" i="190"/>
  <c r="BM15" i="190"/>
  <c r="BL15" i="190"/>
  <c r="BK15" i="190"/>
  <c r="BJ15" i="190"/>
  <c r="BI15" i="190"/>
  <c r="BH15" i="190"/>
  <c r="BF15" i="190"/>
  <c r="BD15" i="190"/>
  <c r="BC15" i="190"/>
  <c r="BB15" i="190"/>
  <c r="BA15" i="190"/>
  <c r="AZ15" i="190"/>
  <c r="AY15" i="190"/>
  <c r="AX15" i="190"/>
  <c r="AW15" i="190"/>
  <c r="AV15" i="190"/>
  <c r="AU15" i="190"/>
  <c r="AT15" i="190"/>
  <c r="AS15" i="190"/>
  <c r="AQ15" i="190"/>
  <c r="AP15" i="190"/>
  <c r="AO15" i="190"/>
  <c r="AN15" i="190"/>
  <c r="AM15" i="190"/>
  <c r="AL15" i="190"/>
  <c r="AK15" i="190"/>
  <c r="AJ15" i="190"/>
  <c r="AI15" i="190"/>
  <c r="AH15" i="190"/>
  <c r="AG15" i="190"/>
  <c r="AF15" i="190"/>
  <c r="AC15" i="190"/>
  <c r="AB15" i="190"/>
  <c r="AA15" i="190"/>
  <c r="Z15" i="190"/>
  <c r="Y15" i="190"/>
  <c r="X15" i="190"/>
  <c r="W15" i="190"/>
  <c r="V15" i="190"/>
  <c r="U15" i="190"/>
  <c r="U75" i="190" s="1"/>
  <c r="T15" i="190"/>
  <c r="T75" i="190" s="1"/>
  <c r="S15" i="190"/>
  <c r="S75" i="190" s="1"/>
  <c r="R15" i="190"/>
  <c r="P15" i="190"/>
  <c r="O15" i="190"/>
  <c r="N15" i="190"/>
  <c r="M15" i="190"/>
  <c r="L15" i="190"/>
  <c r="K15" i="190"/>
  <c r="J15" i="190"/>
  <c r="I15" i="190"/>
  <c r="I75" i="190" s="1"/>
  <c r="H15" i="190"/>
  <c r="G15" i="190"/>
  <c r="F15" i="190"/>
  <c r="E15" i="190"/>
  <c r="Q15" i="190" s="1"/>
  <c r="BS14" i="190"/>
  <c r="BR14" i="190"/>
  <c r="BQ14" i="190"/>
  <c r="BP14" i="190"/>
  <c r="BO14" i="190"/>
  <c r="BN14" i="190"/>
  <c r="BM14" i="190"/>
  <c r="BL14" i="190"/>
  <c r="BK14" i="190"/>
  <c r="BJ14" i="190"/>
  <c r="BI14" i="190"/>
  <c r="BH14" i="190"/>
  <c r="BT14" i="190" s="1"/>
  <c r="BF14" i="190"/>
  <c r="BD14" i="190"/>
  <c r="BC14" i="190"/>
  <c r="BB14" i="190"/>
  <c r="BA14" i="190"/>
  <c r="AZ14" i="190"/>
  <c r="AY14" i="190"/>
  <c r="AX14" i="190"/>
  <c r="AW14" i="190"/>
  <c r="AV14" i="190"/>
  <c r="AU14" i="190"/>
  <c r="AT14" i="190"/>
  <c r="AS14" i="190"/>
  <c r="AQ14" i="190"/>
  <c r="AP14" i="190"/>
  <c r="AO14" i="190"/>
  <c r="AN14" i="190"/>
  <c r="AM14" i="190"/>
  <c r="AL14" i="190"/>
  <c r="AK14" i="190"/>
  <c r="AJ14" i="190"/>
  <c r="AI14" i="190"/>
  <c r="AH14" i="190"/>
  <c r="AG14" i="190"/>
  <c r="AF14" i="190"/>
  <c r="AC14" i="190"/>
  <c r="AB14" i="190"/>
  <c r="AA14" i="190"/>
  <c r="Z14" i="190"/>
  <c r="Y14" i="190"/>
  <c r="X14" i="190"/>
  <c r="W14" i="190"/>
  <c r="V14" i="190"/>
  <c r="U14" i="190"/>
  <c r="T14" i="190"/>
  <c r="S14" i="190"/>
  <c r="R14" i="190"/>
  <c r="R76" i="190" s="1"/>
  <c r="P14" i="190"/>
  <c r="P76" i="190" s="1"/>
  <c r="O14" i="190"/>
  <c r="N14" i="190"/>
  <c r="M14" i="190"/>
  <c r="L14" i="190"/>
  <c r="K14" i="190"/>
  <c r="J14" i="190"/>
  <c r="I14" i="190"/>
  <c r="I76" i="190" s="1"/>
  <c r="H14" i="190"/>
  <c r="G14" i="190"/>
  <c r="F14" i="190"/>
  <c r="E14" i="190"/>
  <c r="BS13" i="190"/>
  <c r="BR13" i="190"/>
  <c r="BQ13" i="190"/>
  <c r="BP13" i="190"/>
  <c r="BO13" i="190"/>
  <c r="BN13" i="190"/>
  <c r="BM13" i="190"/>
  <c r="BL13" i="190"/>
  <c r="BK13" i="190"/>
  <c r="BJ13" i="190"/>
  <c r="BI13" i="190"/>
  <c r="BH13" i="190"/>
  <c r="BF13" i="190"/>
  <c r="BD13" i="190"/>
  <c r="BC13" i="190"/>
  <c r="BB13" i="190"/>
  <c r="BA13" i="190"/>
  <c r="AZ13" i="190"/>
  <c r="AY13" i="190"/>
  <c r="AX13" i="190"/>
  <c r="AW13" i="190"/>
  <c r="AV13" i="190"/>
  <c r="AU13" i="190"/>
  <c r="AT13" i="190"/>
  <c r="AS13" i="190"/>
  <c r="AQ13" i="190"/>
  <c r="AP13" i="190"/>
  <c r="AO13" i="190"/>
  <c r="AN13" i="190"/>
  <c r="AM13" i="190"/>
  <c r="AL13" i="190"/>
  <c r="AK13" i="190"/>
  <c r="AJ13" i="190"/>
  <c r="AI13" i="190"/>
  <c r="AH13" i="190"/>
  <c r="AG13" i="190"/>
  <c r="AF13" i="190"/>
  <c r="AC13" i="190"/>
  <c r="AB13" i="190"/>
  <c r="AA13" i="190"/>
  <c r="Z13" i="190"/>
  <c r="Y13" i="190"/>
  <c r="X13" i="190"/>
  <c r="W13" i="190"/>
  <c r="V13" i="190"/>
  <c r="U13" i="190"/>
  <c r="U74" i="190" s="1"/>
  <c r="T13" i="190"/>
  <c r="S13" i="190"/>
  <c r="R13" i="190"/>
  <c r="P13" i="190"/>
  <c r="O13" i="190"/>
  <c r="N13" i="190"/>
  <c r="M13" i="190"/>
  <c r="L13" i="190"/>
  <c r="K13" i="190"/>
  <c r="J13" i="190"/>
  <c r="I13" i="190"/>
  <c r="H13" i="190"/>
  <c r="H74" i="190" s="1"/>
  <c r="G13" i="190"/>
  <c r="G74" i="190" s="1"/>
  <c r="F13" i="190"/>
  <c r="F74" i="190" s="1"/>
  <c r="E13" i="190"/>
  <c r="E74" i="190" s="1"/>
  <c r="BS12" i="190"/>
  <c r="BR12" i="190"/>
  <c r="BQ12" i="190"/>
  <c r="BP12" i="190"/>
  <c r="BO12" i="190"/>
  <c r="BN12" i="190"/>
  <c r="BM12" i="190"/>
  <c r="BL12" i="190"/>
  <c r="BK12" i="190"/>
  <c r="BJ12" i="190"/>
  <c r="BI12" i="190"/>
  <c r="BH12" i="190"/>
  <c r="BF12" i="190"/>
  <c r="BD12" i="190"/>
  <c r="BC12" i="190"/>
  <c r="BB12" i="190"/>
  <c r="BA12" i="190"/>
  <c r="AZ12" i="190"/>
  <c r="AY12" i="190"/>
  <c r="AX12" i="190"/>
  <c r="AW12" i="190"/>
  <c r="AV12" i="190"/>
  <c r="AU12" i="190"/>
  <c r="AT12" i="190"/>
  <c r="AS12" i="190"/>
  <c r="AQ12" i="190"/>
  <c r="AP12" i="190"/>
  <c r="AO12" i="190"/>
  <c r="AN12" i="190"/>
  <c r="AM12" i="190"/>
  <c r="AL12" i="190"/>
  <c r="AK12" i="190"/>
  <c r="AJ12" i="190"/>
  <c r="AI12" i="190"/>
  <c r="AH12" i="190"/>
  <c r="AG12" i="190"/>
  <c r="AF12" i="190"/>
  <c r="AC12" i="190"/>
  <c r="AB12" i="190"/>
  <c r="AA12" i="190"/>
  <c r="Z12" i="190"/>
  <c r="Y12" i="190"/>
  <c r="X12" i="190"/>
  <c r="W12" i="190"/>
  <c r="V12" i="190"/>
  <c r="U12" i="190"/>
  <c r="U72" i="190" s="1"/>
  <c r="T12" i="190"/>
  <c r="S12" i="190"/>
  <c r="R12" i="190"/>
  <c r="P12" i="190"/>
  <c r="O12" i="190"/>
  <c r="N12" i="190"/>
  <c r="N72" i="190" s="1"/>
  <c r="M12" i="190"/>
  <c r="M72" i="190" s="1"/>
  <c r="L12" i="190"/>
  <c r="L72" i="190" s="1"/>
  <c r="K12" i="190"/>
  <c r="K72" i="190" s="1"/>
  <c r="J12" i="190"/>
  <c r="J72" i="190" s="1"/>
  <c r="I12" i="190"/>
  <c r="I72" i="190" s="1"/>
  <c r="H12" i="190"/>
  <c r="H72" i="190" s="1"/>
  <c r="G12" i="190"/>
  <c r="G72" i="190" s="1"/>
  <c r="F12" i="190"/>
  <c r="E12" i="190"/>
  <c r="E72" i="190" s="1"/>
  <c r="BS11" i="190"/>
  <c r="BR11" i="190"/>
  <c r="BQ11" i="190"/>
  <c r="BP11" i="190"/>
  <c r="BO11" i="190"/>
  <c r="BN11" i="190"/>
  <c r="BM11" i="190"/>
  <c r="BL11" i="190"/>
  <c r="BK11" i="190"/>
  <c r="BJ11" i="190"/>
  <c r="BI11" i="190"/>
  <c r="BH11" i="190"/>
  <c r="BF11" i="190"/>
  <c r="BD11" i="190"/>
  <c r="BC11" i="190"/>
  <c r="BB11" i="190"/>
  <c r="BA11" i="190"/>
  <c r="AZ11" i="190"/>
  <c r="AY11" i="190"/>
  <c r="AX11" i="190"/>
  <c r="AW11" i="190"/>
  <c r="AV11" i="190"/>
  <c r="AU11" i="190"/>
  <c r="AT11" i="190"/>
  <c r="AS11" i="190"/>
  <c r="AQ11" i="190"/>
  <c r="AP11" i="190"/>
  <c r="AO11" i="190"/>
  <c r="AN11" i="190"/>
  <c r="AM11" i="190"/>
  <c r="AL11" i="190"/>
  <c r="AK11" i="190"/>
  <c r="AJ11" i="190"/>
  <c r="AI11" i="190"/>
  <c r="AH11" i="190"/>
  <c r="AG11" i="190"/>
  <c r="AF11" i="190"/>
  <c r="AC11" i="190"/>
  <c r="AB11" i="190"/>
  <c r="AA11" i="190"/>
  <c r="Z11" i="190"/>
  <c r="Y11" i="190"/>
  <c r="X11" i="190"/>
  <c r="W11" i="190"/>
  <c r="V11" i="190"/>
  <c r="U11" i="190"/>
  <c r="T11" i="190"/>
  <c r="S11" i="190"/>
  <c r="R11" i="190"/>
  <c r="R70" i="190" s="1"/>
  <c r="P11" i="190"/>
  <c r="P70" i="190" s="1"/>
  <c r="O11" i="190"/>
  <c r="O70" i="190" s="1"/>
  <c r="N11" i="190"/>
  <c r="N70" i="190" s="1"/>
  <c r="M11" i="190"/>
  <c r="M70" i="190" s="1"/>
  <c r="L11" i="190"/>
  <c r="L70" i="190" s="1"/>
  <c r="K11" i="190"/>
  <c r="K70" i="190" s="1"/>
  <c r="J11" i="190"/>
  <c r="I11" i="190"/>
  <c r="H11" i="190"/>
  <c r="G11" i="190"/>
  <c r="F11" i="190"/>
  <c r="E11" i="190"/>
  <c r="BS10" i="190"/>
  <c r="BR10" i="190"/>
  <c r="BQ10" i="190"/>
  <c r="BP10" i="190"/>
  <c r="BO10" i="190"/>
  <c r="BM10" i="190"/>
  <c r="BL10" i="190"/>
  <c r="BK10" i="190"/>
  <c r="BJ10" i="190"/>
  <c r="BI10" i="190"/>
  <c r="BH10" i="190"/>
  <c r="BF10" i="190"/>
  <c r="BD10" i="190"/>
  <c r="BC10" i="190"/>
  <c r="BB10" i="190"/>
  <c r="BA10" i="190"/>
  <c r="AZ10" i="190"/>
  <c r="AY10" i="190"/>
  <c r="AX10" i="190"/>
  <c r="AW10" i="190"/>
  <c r="AV10" i="190"/>
  <c r="AU10" i="190"/>
  <c r="AT10" i="190"/>
  <c r="AS10" i="190"/>
  <c r="AQ10" i="190"/>
  <c r="AP10" i="190"/>
  <c r="AO10" i="190"/>
  <c r="AN10" i="190"/>
  <c r="AM10" i="190"/>
  <c r="AL10" i="190"/>
  <c r="AK10" i="190"/>
  <c r="AJ10" i="190"/>
  <c r="AI10" i="190"/>
  <c r="AH10" i="190"/>
  <c r="AG10" i="190"/>
  <c r="AF10" i="190"/>
  <c r="AC10" i="190"/>
  <c r="AB10" i="190"/>
  <c r="AA10" i="190"/>
  <c r="Z10" i="190"/>
  <c r="Y10" i="190"/>
  <c r="X10" i="190"/>
  <c r="W10" i="190"/>
  <c r="V10" i="190"/>
  <c r="U10" i="190"/>
  <c r="U67" i="190" s="1"/>
  <c r="T10" i="190"/>
  <c r="T67" i="190" s="1"/>
  <c r="S10" i="190"/>
  <c r="S67" i="190" s="1"/>
  <c r="R10" i="190"/>
  <c r="P10" i="190"/>
  <c r="O10" i="190"/>
  <c r="N10" i="190"/>
  <c r="M10" i="190"/>
  <c r="L10" i="190"/>
  <c r="K10" i="190"/>
  <c r="J10" i="190"/>
  <c r="J67" i="190" s="1"/>
  <c r="I10" i="190"/>
  <c r="H10" i="190"/>
  <c r="G10" i="190"/>
  <c r="F10" i="190"/>
  <c r="F67" i="190" s="1"/>
  <c r="E10" i="190"/>
  <c r="E67" i="190" s="1"/>
  <c r="BS9" i="190"/>
  <c r="BR9" i="190"/>
  <c r="BQ9" i="190"/>
  <c r="BP9" i="190"/>
  <c r="BO9" i="190"/>
  <c r="BN9" i="190"/>
  <c r="BM9" i="190"/>
  <c r="AX13" i="189" s="1"/>
  <c r="BL9" i="190"/>
  <c r="AW13" i="189" s="1"/>
  <c r="BK9" i="190"/>
  <c r="AV13" i="189" s="1"/>
  <c r="BJ9" i="190"/>
  <c r="AU13" i="189" s="1"/>
  <c r="BI9" i="190"/>
  <c r="BH9" i="190"/>
  <c r="BF9" i="190"/>
  <c r="BD9" i="190"/>
  <c r="BC9" i="190"/>
  <c r="BB9" i="190"/>
  <c r="BA9" i="190"/>
  <c r="AZ9" i="190"/>
  <c r="AY9" i="190"/>
  <c r="AX9" i="190"/>
  <c r="AW9" i="190"/>
  <c r="AV9" i="190"/>
  <c r="AU9" i="190"/>
  <c r="AT9" i="190"/>
  <c r="AS9" i="190"/>
  <c r="AQ9" i="190"/>
  <c r="AP9" i="190"/>
  <c r="AO9" i="190"/>
  <c r="AN9" i="190"/>
  <c r="AM9" i="190"/>
  <c r="AL9" i="190"/>
  <c r="AK9" i="190"/>
  <c r="AJ9" i="190"/>
  <c r="AI9" i="190"/>
  <c r="AH9" i="190"/>
  <c r="AG9" i="190"/>
  <c r="AF9" i="190"/>
  <c r="AC9" i="190"/>
  <c r="AB9" i="190"/>
  <c r="AA9" i="190"/>
  <c r="Z9" i="190"/>
  <c r="Y9" i="190"/>
  <c r="X9" i="190"/>
  <c r="W9" i="190"/>
  <c r="V9" i="190"/>
  <c r="U9" i="190"/>
  <c r="T9" i="190"/>
  <c r="S9" i="190"/>
  <c r="R9" i="190"/>
  <c r="P9" i="190"/>
  <c r="O9" i="190"/>
  <c r="N9" i="190"/>
  <c r="M9" i="190"/>
  <c r="L9" i="190"/>
  <c r="K9" i="190"/>
  <c r="J9" i="190"/>
  <c r="J65" i="190" s="1"/>
  <c r="I9" i="190"/>
  <c r="H9" i="190"/>
  <c r="G9" i="190"/>
  <c r="F9" i="190"/>
  <c r="E9" i="190"/>
  <c r="BS8" i="190"/>
  <c r="BR8" i="190"/>
  <c r="BQ8" i="190"/>
  <c r="BP8" i="190"/>
  <c r="BO8" i="190"/>
  <c r="BN8" i="190"/>
  <c r="BM8" i="190"/>
  <c r="BL8" i="190"/>
  <c r="BK8" i="190"/>
  <c r="BJ8" i="190"/>
  <c r="BI8" i="190"/>
  <c r="BH8" i="190"/>
  <c r="BF8" i="190"/>
  <c r="BD8" i="190"/>
  <c r="BC8" i="190"/>
  <c r="BB8" i="190"/>
  <c r="BA8" i="190"/>
  <c r="AZ8" i="190"/>
  <c r="AY8" i="190"/>
  <c r="AX8" i="190"/>
  <c r="AW8" i="190"/>
  <c r="AV8" i="190"/>
  <c r="AU8" i="190"/>
  <c r="AT8" i="190"/>
  <c r="AS8" i="190"/>
  <c r="AQ8" i="190"/>
  <c r="AP8" i="190"/>
  <c r="AO8" i="190"/>
  <c r="AN8" i="190"/>
  <c r="AM8" i="190"/>
  <c r="AL8" i="190"/>
  <c r="AK8" i="190"/>
  <c r="AJ8" i="190"/>
  <c r="AI8" i="190"/>
  <c r="AH8" i="190"/>
  <c r="AG8" i="190"/>
  <c r="AF8" i="190"/>
  <c r="AC8" i="190"/>
  <c r="AB8" i="190"/>
  <c r="AA8" i="190"/>
  <c r="Z8" i="190"/>
  <c r="Y8" i="190"/>
  <c r="X8" i="190"/>
  <c r="W8" i="190"/>
  <c r="V8" i="190"/>
  <c r="U8" i="190"/>
  <c r="T8" i="190"/>
  <c r="S8" i="190"/>
  <c r="R8" i="190"/>
  <c r="P8" i="190"/>
  <c r="O8" i="190"/>
  <c r="O71" i="190" s="1"/>
  <c r="N8" i="190"/>
  <c r="M8" i="190"/>
  <c r="L8" i="190"/>
  <c r="K8" i="190"/>
  <c r="J8" i="190"/>
  <c r="I8" i="190"/>
  <c r="H8" i="190"/>
  <c r="G8" i="190"/>
  <c r="F8" i="190"/>
  <c r="F71" i="190" s="1"/>
  <c r="E8" i="190"/>
  <c r="BS7" i="190"/>
  <c r="BR7" i="190"/>
  <c r="BQ7" i="190"/>
  <c r="BP7" i="190"/>
  <c r="BO7" i="190"/>
  <c r="BN7" i="190"/>
  <c r="BM7" i="190"/>
  <c r="BL7" i="190"/>
  <c r="BK7" i="190"/>
  <c r="BJ7" i="190"/>
  <c r="BI7" i="190"/>
  <c r="BH7" i="190"/>
  <c r="BF7" i="190"/>
  <c r="BD7" i="190"/>
  <c r="BC7" i="190"/>
  <c r="BB7" i="190"/>
  <c r="BA7" i="190"/>
  <c r="AZ7" i="190"/>
  <c r="AY7" i="190"/>
  <c r="AX7" i="190"/>
  <c r="AW7" i="190"/>
  <c r="AV7" i="190"/>
  <c r="AU7" i="190"/>
  <c r="AT7" i="190"/>
  <c r="AS7" i="190"/>
  <c r="BF11" i="189" s="1"/>
  <c r="AQ7" i="190"/>
  <c r="AP7" i="190"/>
  <c r="AO7" i="190"/>
  <c r="AN7" i="190"/>
  <c r="AM7" i="190"/>
  <c r="AL7" i="190"/>
  <c r="AK7" i="190"/>
  <c r="AJ7" i="190"/>
  <c r="AI7" i="190"/>
  <c r="AH7" i="190"/>
  <c r="AG7" i="190"/>
  <c r="AF7" i="190"/>
  <c r="AC7" i="190"/>
  <c r="AB7" i="190"/>
  <c r="AA7" i="190"/>
  <c r="Z7" i="190"/>
  <c r="Y7" i="190"/>
  <c r="X7" i="190"/>
  <c r="W7" i="190"/>
  <c r="V7" i="190"/>
  <c r="U7" i="190"/>
  <c r="T7" i="190"/>
  <c r="S7" i="190"/>
  <c r="S63" i="190" s="1"/>
  <c r="R7" i="190"/>
  <c r="P7" i="190"/>
  <c r="O7" i="190"/>
  <c r="N7" i="190"/>
  <c r="M7" i="190"/>
  <c r="L7" i="190"/>
  <c r="L63" i="190" s="1"/>
  <c r="K7" i="190"/>
  <c r="J7" i="190"/>
  <c r="I7" i="190"/>
  <c r="H7" i="190"/>
  <c r="G7" i="190"/>
  <c r="F7" i="190"/>
  <c r="E7" i="190"/>
  <c r="B7" i="190"/>
  <c r="B8" i="190" s="1"/>
  <c r="B9" i="190" s="1"/>
  <c r="B10" i="190" s="1"/>
  <c r="B11" i="190" s="1"/>
  <c r="B12" i="190" s="1"/>
  <c r="B13" i="190" s="1"/>
  <c r="B14" i="190" s="1"/>
  <c r="B15" i="190" s="1"/>
  <c r="BS6" i="190"/>
  <c r="BR6" i="190"/>
  <c r="BQ6" i="190"/>
  <c r="BP6" i="190"/>
  <c r="BO6" i="190"/>
  <c r="BN6" i="190"/>
  <c r="BM6" i="190"/>
  <c r="BL6" i="190"/>
  <c r="BK6" i="190"/>
  <c r="BJ6" i="190"/>
  <c r="BI6" i="190"/>
  <c r="BH6" i="190"/>
  <c r="BF6" i="190"/>
  <c r="BD6" i="190"/>
  <c r="BC6" i="190"/>
  <c r="BB6" i="190"/>
  <c r="BA6" i="190"/>
  <c r="AZ6" i="190"/>
  <c r="AY6" i="190"/>
  <c r="AX6" i="190"/>
  <c r="AW6" i="190"/>
  <c r="AV6" i="190"/>
  <c r="AU6" i="190"/>
  <c r="AT6" i="190"/>
  <c r="AS6" i="190"/>
  <c r="AQ6" i="190"/>
  <c r="AP6" i="190"/>
  <c r="AO6" i="190"/>
  <c r="AN6" i="190"/>
  <c r="AM6" i="190"/>
  <c r="AM25" i="190" s="1"/>
  <c r="AL6" i="190"/>
  <c r="AK6" i="190"/>
  <c r="AJ6" i="190"/>
  <c r="AI6" i="190"/>
  <c r="AH6" i="190"/>
  <c r="AG6" i="190"/>
  <c r="AF6" i="190"/>
  <c r="AC6" i="190"/>
  <c r="AB6" i="190"/>
  <c r="AA6" i="190"/>
  <c r="Z6" i="190"/>
  <c r="Y6" i="190"/>
  <c r="X6" i="190"/>
  <c r="W6" i="190"/>
  <c r="W25" i="190" s="1"/>
  <c r="V6" i="190"/>
  <c r="U6" i="190"/>
  <c r="T6" i="190"/>
  <c r="S6" i="190"/>
  <c r="R6" i="190"/>
  <c r="P6" i="190"/>
  <c r="P61" i="190" s="1"/>
  <c r="O6" i="190"/>
  <c r="N6" i="190"/>
  <c r="M6" i="190"/>
  <c r="L6" i="190"/>
  <c r="K6" i="190"/>
  <c r="J6" i="190"/>
  <c r="I6" i="190"/>
  <c r="H6" i="190"/>
  <c r="G6" i="190"/>
  <c r="F6" i="190"/>
  <c r="E6" i="190"/>
  <c r="BF4" i="190"/>
  <c r="BF35" i="190" s="1"/>
  <c r="AD4" i="190"/>
  <c r="AD35" i="190" s="1"/>
  <c r="B86" i="189"/>
  <c r="B87" i="189" s="1"/>
  <c r="B88" i="189" s="1"/>
  <c r="B89" i="189" s="1"/>
  <c r="B85" i="189"/>
  <c r="B84" i="189"/>
  <c r="B72" i="189"/>
  <c r="B73" i="189" s="1"/>
  <c r="B74" i="189" s="1"/>
  <c r="B75" i="189" s="1"/>
  <c r="B76" i="189" s="1"/>
  <c r="B77" i="189" s="1"/>
  <c r="B78" i="189" s="1"/>
  <c r="B79" i="189" s="1"/>
  <c r="B80" i="189" s="1"/>
  <c r="B81" i="189" s="1"/>
  <c r="BR69" i="189"/>
  <c r="BQ69" i="189"/>
  <c r="BP69" i="189"/>
  <c r="BO69" i="189"/>
  <c r="BN69" i="189"/>
  <c r="BM69" i="189"/>
  <c r="BL69" i="189"/>
  <c r="BK69" i="189"/>
  <c r="BJ69" i="189"/>
  <c r="BI69" i="189"/>
  <c r="BH69" i="189"/>
  <c r="BG69" i="189"/>
  <c r="BF69" i="189"/>
  <c r="B58" i="189"/>
  <c r="B59" i="189" s="1"/>
  <c r="B54" i="189"/>
  <c r="B55" i="189" s="1"/>
  <c r="B56" i="189" s="1"/>
  <c r="B57" i="189" s="1"/>
  <c r="B42" i="189"/>
  <c r="B43" i="189" s="1"/>
  <c r="B44" i="189" s="1"/>
  <c r="B45" i="189" s="1"/>
  <c r="B46" i="189" s="1"/>
  <c r="B47" i="189" s="1"/>
  <c r="B48" i="189" s="1"/>
  <c r="B49" i="189" s="1"/>
  <c r="B50" i="189" s="1"/>
  <c r="B51" i="189" s="1"/>
  <c r="BV39" i="189"/>
  <c r="BU39" i="189"/>
  <c r="BR39" i="189"/>
  <c r="BQ39" i="189"/>
  <c r="BP39" i="189"/>
  <c r="BO39" i="189"/>
  <c r="BN39" i="189"/>
  <c r="BM39" i="189"/>
  <c r="BL39" i="189"/>
  <c r="BK39" i="189"/>
  <c r="BJ39" i="189"/>
  <c r="BI39" i="189"/>
  <c r="BH39" i="189"/>
  <c r="BG39" i="189"/>
  <c r="BF39" i="189"/>
  <c r="BE39" i="189"/>
  <c r="BD39" i="189"/>
  <c r="BC39" i="189"/>
  <c r="BB39" i="189"/>
  <c r="BA39" i="189"/>
  <c r="AZ39" i="189"/>
  <c r="AY39" i="189"/>
  <c r="AX39" i="189"/>
  <c r="AW39" i="189"/>
  <c r="AV39" i="189"/>
  <c r="AU39" i="189"/>
  <c r="AT39" i="189"/>
  <c r="AS39" i="189"/>
  <c r="BS37" i="189"/>
  <c r="BR37" i="189"/>
  <c r="BD37" i="189"/>
  <c r="BW56" i="191" s="1"/>
  <c r="BC37" i="189"/>
  <c r="BV56" i="191" s="1"/>
  <c r="BB37" i="189"/>
  <c r="BU56" i="191" s="1"/>
  <c r="BA37" i="189"/>
  <c r="BT56" i="191" s="1"/>
  <c r="AZ37" i="189"/>
  <c r="BS56" i="191" s="1"/>
  <c r="AY37" i="189"/>
  <c r="BR56" i="191" s="1"/>
  <c r="AX37" i="189"/>
  <c r="BQ56" i="191" s="1"/>
  <c r="AW37" i="189"/>
  <c r="BP56" i="191" s="1"/>
  <c r="AV37" i="189"/>
  <c r="BO56" i="191" s="1"/>
  <c r="AU37" i="189"/>
  <c r="BN56" i="191" s="1"/>
  <c r="AT37" i="189"/>
  <c r="BM56" i="191" s="1"/>
  <c r="AS37" i="189"/>
  <c r="AR37" i="189"/>
  <c r="AQ37" i="189"/>
  <c r="AU56" i="191" s="1"/>
  <c r="AD37" i="189"/>
  <c r="AG56" i="191" s="1"/>
  <c r="Q37" i="189"/>
  <c r="R56" i="191" s="1"/>
  <c r="BQ34" i="189"/>
  <c r="BP34" i="189"/>
  <c r="BO34" i="189"/>
  <c r="BN34" i="189"/>
  <c r="BM34" i="189"/>
  <c r="BL34" i="189"/>
  <c r="BK34" i="189"/>
  <c r="BJ34" i="189"/>
  <c r="BI34" i="189"/>
  <c r="BH34" i="189"/>
  <c r="BG34" i="189"/>
  <c r="BF34" i="189"/>
  <c r="BD34" i="189"/>
  <c r="BC34" i="189"/>
  <c r="BB34" i="189"/>
  <c r="BA34" i="189"/>
  <c r="AZ34" i="189"/>
  <c r="AY34" i="189"/>
  <c r="AX34" i="189"/>
  <c r="AW34" i="189"/>
  <c r="AV34" i="189"/>
  <c r="AU34" i="189"/>
  <c r="AT34" i="189"/>
  <c r="AS34" i="189"/>
  <c r="BE34" i="189" s="1"/>
  <c r="AP34" i="189"/>
  <c r="AO34" i="189"/>
  <c r="AN34" i="189"/>
  <c r="AM34" i="189"/>
  <c r="AL34" i="189"/>
  <c r="AK34" i="189"/>
  <c r="AJ34" i="189"/>
  <c r="AI34" i="189"/>
  <c r="AH34" i="189"/>
  <c r="AG34" i="189"/>
  <c r="AF34" i="189"/>
  <c r="AE34" i="189"/>
  <c r="AR34" i="189" s="1"/>
  <c r="AC34" i="189"/>
  <c r="AB34" i="189"/>
  <c r="AA34" i="189"/>
  <c r="Z34" i="189"/>
  <c r="Y34" i="189"/>
  <c r="X34" i="189"/>
  <c r="W34" i="189"/>
  <c r="V34" i="189"/>
  <c r="U34" i="189"/>
  <c r="T34" i="189"/>
  <c r="S34" i="189"/>
  <c r="R34" i="189"/>
  <c r="P34" i="189"/>
  <c r="O34" i="189"/>
  <c r="N34" i="189"/>
  <c r="M34" i="189"/>
  <c r="L34" i="189"/>
  <c r="K34" i="189"/>
  <c r="J34" i="189"/>
  <c r="I34" i="189"/>
  <c r="H34" i="189"/>
  <c r="G34" i="189"/>
  <c r="F34" i="189"/>
  <c r="E34" i="189"/>
  <c r="BQ31" i="189"/>
  <c r="BQ62" i="189" s="1"/>
  <c r="BP31" i="189"/>
  <c r="BO31" i="189"/>
  <c r="BN31" i="189"/>
  <c r="BM31" i="189"/>
  <c r="BL31" i="189"/>
  <c r="BK31" i="189"/>
  <c r="BJ31" i="189"/>
  <c r="AZ55" i="191" s="1"/>
  <c r="BI31" i="189"/>
  <c r="BH31" i="189"/>
  <c r="AX55" i="191" s="1"/>
  <c r="BG31" i="189"/>
  <c r="BF31" i="189"/>
  <c r="BD31" i="189"/>
  <c r="BW55" i="191" s="1"/>
  <c r="BC31" i="189"/>
  <c r="BB31" i="189"/>
  <c r="BU55" i="191" s="1"/>
  <c r="BA31" i="189"/>
  <c r="AZ31" i="189"/>
  <c r="AY31" i="189"/>
  <c r="AX31" i="189"/>
  <c r="AW31" i="189"/>
  <c r="AV31" i="189"/>
  <c r="AU31" i="189"/>
  <c r="AT31" i="189"/>
  <c r="AS31" i="189"/>
  <c r="AP31" i="189"/>
  <c r="AP62" i="189" s="1"/>
  <c r="AO31" i="189"/>
  <c r="AO62" i="189" s="1"/>
  <c r="AN31" i="189"/>
  <c r="AN62" i="189" s="1"/>
  <c r="AM31" i="189"/>
  <c r="AM62" i="189" s="1"/>
  <c r="AL31" i="189"/>
  <c r="AL62" i="189" s="1"/>
  <c r="AK31" i="189"/>
  <c r="AJ31" i="189"/>
  <c r="AJ62" i="189" s="1"/>
  <c r="AI31" i="189"/>
  <c r="AI62" i="189" s="1"/>
  <c r="AH31" i="189"/>
  <c r="AH62" i="189" s="1"/>
  <c r="AG31" i="189"/>
  <c r="AF31" i="189"/>
  <c r="AE31" i="189"/>
  <c r="AC31" i="189"/>
  <c r="AB31" i="189"/>
  <c r="AA31" i="189"/>
  <c r="Z31" i="189"/>
  <c r="Y31" i="189"/>
  <c r="X31" i="189"/>
  <c r="W31" i="189"/>
  <c r="W62" i="189" s="1"/>
  <c r="V31" i="189"/>
  <c r="V62" i="189" s="1"/>
  <c r="U31" i="189"/>
  <c r="U62" i="189" s="1"/>
  <c r="T31" i="189"/>
  <c r="T62" i="189" s="1"/>
  <c r="S31" i="189"/>
  <c r="R31" i="189"/>
  <c r="R62" i="189" s="1"/>
  <c r="P31" i="189"/>
  <c r="O31" i="189"/>
  <c r="N31" i="189"/>
  <c r="M31" i="189"/>
  <c r="L31" i="189"/>
  <c r="K31" i="189"/>
  <c r="K62" i="189" s="1"/>
  <c r="J31" i="189"/>
  <c r="J62" i="189" s="1"/>
  <c r="I31" i="189"/>
  <c r="H31" i="189"/>
  <c r="G31" i="189"/>
  <c r="G62" i="189" s="1"/>
  <c r="F31" i="189"/>
  <c r="E31" i="189"/>
  <c r="BQ28" i="189"/>
  <c r="BP28" i="189"/>
  <c r="BO28" i="189"/>
  <c r="BN28" i="189"/>
  <c r="BM28" i="189"/>
  <c r="BM59" i="189" s="1"/>
  <c r="BL28" i="189"/>
  <c r="BL59" i="189" s="1"/>
  <c r="BK28" i="189"/>
  <c r="BK59" i="189" s="1"/>
  <c r="BJ28" i="189"/>
  <c r="BI28" i="189"/>
  <c r="BH28" i="189"/>
  <c r="BH59" i="189" s="1"/>
  <c r="BG28" i="189"/>
  <c r="BF28" i="189"/>
  <c r="BD28" i="189"/>
  <c r="BD59" i="189" s="1"/>
  <c r="BC28" i="189"/>
  <c r="BC59" i="189" s="1"/>
  <c r="BB28" i="189"/>
  <c r="BA28" i="189"/>
  <c r="AZ28" i="189"/>
  <c r="AY28" i="189"/>
  <c r="AX28" i="189"/>
  <c r="AW28" i="189"/>
  <c r="AV28" i="189"/>
  <c r="AU28" i="189"/>
  <c r="AT28" i="189"/>
  <c r="AT59" i="189" s="1"/>
  <c r="AS28" i="189"/>
  <c r="AP28" i="189"/>
  <c r="AO28" i="189"/>
  <c r="AN28" i="189"/>
  <c r="AN59" i="189" s="1"/>
  <c r="AM28" i="189"/>
  <c r="AM59" i="189" s="1"/>
  <c r="AL28" i="189"/>
  <c r="AL59" i="189" s="1"/>
  <c r="AK28" i="189"/>
  <c r="AJ28" i="189"/>
  <c r="AI28" i="189"/>
  <c r="AH28" i="189"/>
  <c r="AH59" i="189" s="1"/>
  <c r="AG28" i="189"/>
  <c r="AG59" i="189" s="1"/>
  <c r="AF28" i="189"/>
  <c r="AE28" i="189"/>
  <c r="AC28" i="189"/>
  <c r="AC59" i="189" s="1"/>
  <c r="AB28" i="189"/>
  <c r="AB59" i="189" s="1"/>
  <c r="AA28" i="189"/>
  <c r="AA59" i="189" s="1"/>
  <c r="Z28" i="189"/>
  <c r="Y28" i="189"/>
  <c r="X28" i="189"/>
  <c r="W28" i="189"/>
  <c r="W59" i="189" s="1"/>
  <c r="V28" i="189"/>
  <c r="U28" i="189"/>
  <c r="T28" i="189"/>
  <c r="S28" i="189"/>
  <c r="R28" i="189"/>
  <c r="R59" i="189" s="1"/>
  <c r="P28" i="189"/>
  <c r="O28" i="189"/>
  <c r="N28" i="189"/>
  <c r="N59" i="189" s="1"/>
  <c r="M28" i="189"/>
  <c r="M59" i="189" s="1"/>
  <c r="L28" i="189"/>
  <c r="L59" i="189" s="1"/>
  <c r="K28" i="189"/>
  <c r="J28" i="189"/>
  <c r="I28" i="189"/>
  <c r="I59" i="189" s="1"/>
  <c r="H28" i="189"/>
  <c r="H59" i="189" s="1"/>
  <c r="G28" i="189"/>
  <c r="G59" i="189" s="1"/>
  <c r="F28" i="189"/>
  <c r="F59" i="189" s="1"/>
  <c r="E28" i="189"/>
  <c r="BQ27" i="189"/>
  <c r="BQ58" i="189" s="1"/>
  <c r="BP27" i="189"/>
  <c r="BP58" i="189" s="1"/>
  <c r="BO27" i="189"/>
  <c r="BN27" i="189"/>
  <c r="BM27" i="189"/>
  <c r="BL27" i="189"/>
  <c r="BK27" i="189"/>
  <c r="BJ27" i="189"/>
  <c r="BJ58" i="189" s="1"/>
  <c r="BI27" i="189"/>
  <c r="E34" i="86" s="1"/>
  <c r="BH27" i="189"/>
  <c r="BG27" i="189"/>
  <c r="BF27" i="189"/>
  <c r="BF58" i="189" s="1"/>
  <c r="BD27" i="189"/>
  <c r="BD58" i="189" s="1"/>
  <c r="BC27" i="189"/>
  <c r="BC58" i="189" s="1"/>
  <c r="BB27" i="189"/>
  <c r="BB58" i="189" s="1"/>
  <c r="BA27" i="189"/>
  <c r="AZ27" i="189"/>
  <c r="AZ58" i="189" s="1"/>
  <c r="AY27" i="189"/>
  <c r="AY58" i="189" s="1"/>
  <c r="AX27" i="189"/>
  <c r="AW27" i="189"/>
  <c r="AV27" i="189"/>
  <c r="F34" i="86" s="1"/>
  <c r="AU27" i="189"/>
  <c r="AT27" i="189"/>
  <c r="AS27" i="189"/>
  <c r="AS58" i="189" s="1"/>
  <c r="AP27" i="189"/>
  <c r="AO27" i="189"/>
  <c r="AN27" i="189"/>
  <c r="AM27" i="189"/>
  <c r="AL27" i="189"/>
  <c r="AK27" i="189"/>
  <c r="AJ27" i="189"/>
  <c r="AJ58" i="189" s="1"/>
  <c r="AI27" i="189"/>
  <c r="AH27" i="189"/>
  <c r="AH58" i="189" s="1"/>
  <c r="AG27" i="189"/>
  <c r="AF27" i="189"/>
  <c r="AE27" i="189"/>
  <c r="AC27" i="189"/>
  <c r="AC58" i="189" s="1"/>
  <c r="AB27" i="189"/>
  <c r="AA27" i="189"/>
  <c r="Z27" i="189"/>
  <c r="Y27" i="189"/>
  <c r="Y58" i="189" s="1"/>
  <c r="X27" i="189"/>
  <c r="X58" i="189" s="1"/>
  <c r="W27" i="189"/>
  <c r="W58" i="189" s="1"/>
  <c r="V27" i="189"/>
  <c r="V58" i="189" s="1"/>
  <c r="U27" i="189"/>
  <c r="U58" i="189" s="1"/>
  <c r="T27" i="189"/>
  <c r="S27" i="189"/>
  <c r="R27" i="189"/>
  <c r="P27" i="189"/>
  <c r="O27" i="189"/>
  <c r="N27" i="189"/>
  <c r="M27" i="189"/>
  <c r="L27" i="189"/>
  <c r="L58" i="189" s="1"/>
  <c r="K27" i="189"/>
  <c r="K58" i="189" s="1"/>
  <c r="J27" i="189"/>
  <c r="I27" i="189"/>
  <c r="I58" i="189" s="1"/>
  <c r="H27" i="189"/>
  <c r="H58" i="189" s="1"/>
  <c r="G27" i="189"/>
  <c r="G58" i="189" s="1"/>
  <c r="F27" i="189"/>
  <c r="F58" i="189" s="1"/>
  <c r="E27" i="189"/>
  <c r="E58" i="189" s="1"/>
  <c r="BQ26" i="189"/>
  <c r="BQ57" i="189" s="1"/>
  <c r="BP26" i="189"/>
  <c r="BP57" i="189" s="1"/>
  <c r="BO26" i="189"/>
  <c r="BN26" i="189"/>
  <c r="BM26" i="189"/>
  <c r="BM57" i="189" s="1"/>
  <c r="BL26" i="189"/>
  <c r="BK26" i="189"/>
  <c r="BJ26" i="189"/>
  <c r="BJ57" i="189" s="1"/>
  <c r="BI26" i="189"/>
  <c r="BH26" i="189"/>
  <c r="BG26" i="189"/>
  <c r="BG57" i="189" s="1"/>
  <c r="BF26" i="189"/>
  <c r="BD26" i="189"/>
  <c r="BC26" i="189"/>
  <c r="BC57" i="189" s="1"/>
  <c r="BB26" i="189"/>
  <c r="BA26" i="189"/>
  <c r="AZ26" i="189"/>
  <c r="AZ57" i="189" s="1"/>
  <c r="AY26" i="189"/>
  <c r="AY57" i="189" s="1"/>
  <c r="AX26" i="189"/>
  <c r="AW26" i="189"/>
  <c r="AV26" i="189"/>
  <c r="AU26" i="189"/>
  <c r="AT26" i="189"/>
  <c r="AS26" i="189"/>
  <c r="AS57" i="189" s="1"/>
  <c r="AP26" i="189"/>
  <c r="AP57" i="189" s="1"/>
  <c r="AO26" i="189"/>
  <c r="AO57" i="189" s="1"/>
  <c r="AN26" i="189"/>
  <c r="AM26" i="189"/>
  <c r="AM57" i="189" s="1"/>
  <c r="AL26" i="189"/>
  <c r="AK26" i="189"/>
  <c r="AK57" i="189" s="1"/>
  <c r="AJ26" i="189"/>
  <c r="AJ57" i="189" s="1"/>
  <c r="AI26" i="189"/>
  <c r="AH26" i="189"/>
  <c r="AG26" i="189"/>
  <c r="AF26" i="189"/>
  <c r="AE26" i="189"/>
  <c r="AC26" i="189"/>
  <c r="AB26" i="189"/>
  <c r="AB57" i="189" s="1"/>
  <c r="AA26" i="189"/>
  <c r="AA57" i="189" s="1"/>
  <c r="Z26" i="189"/>
  <c r="Z57" i="189" s="1"/>
  <c r="Y26" i="189"/>
  <c r="Y57" i="189" s="1"/>
  <c r="X26" i="189"/>
  <c r="W26" i="189"/>
  <c r="W57" i="189" s="1"/>
  <c r="V26" i="189"/>
  <c r="U26" i="189"/>
  <c r="T26" i="189"/>
  <c r="S26" i="189"/>
  <c r="R26" i="189"/>
  <c r="P26" i="189"/>
  <c r="O26" i="189"/>
  <c r="N26" i="189"/>
  <c r="M26" i="189"/>
  <c r="L26" i="189"/>
  <c r="L57" i="189" s="1"/>
  <c r="K26" i="189"/>
  <c r="J26" i="189"/>
  <c r="J57" i="189" s="1"/>
  <c r="I26" i="189"/>
  <c r="I57" i="189" s="1"/>
  <c r="H26" i="189"/>
  <c r="H57" i="189" s="1"/>
  <c r="G26" i="189"/>
  <c r="G57" i="189" s="1"/>
  <c r="F26" i="189"/>
  <c r="F57" i="189" s="1"/>
  <c r="E26" i="189"/>
  <c r="E57" i="189" s="1"/>
  <c r="BQ25" i="189"/>
  <c r="BQ56" i="189" s="1"/>
  <c r="BP25" i="189"/>
  <c r="BO25" i="189"/>
  <c r="BN25" i="189"/>
  <c r="BM25" i="189"/>
  <c r="BM56" i="189" s="1"/>
  <c r="BL25" i="189"/>
  <c r="BK25" i="189"/>
  <c r="BJ25" i="189"/>
  <c r="BI25" i="189"/>
  <c r="BH25" i="189"/>
  <c r="BH56" i="189" s="1"/>
  <c r="BG25" i="189"/>
  <c r="BG56" i="189" s="1"/>
  <c r="BF25" i="189"/>
  <c r="BD25" i="189"/>
  <c r="BD56" i="189" s="1"/>
  <c r="BC25" i="189"/>
  <c r="BC56" i="189" s="1"/>
  <c r="BB25" i="189"/>
  <c r="BA25" i="189"/>
  <c r="AZ25" i="189"/>
  <c r="AZ56" i="189" s="1"/>
  <c r="AY25" i="189"/>
  <c r="AX25" i="189"/>
  <c r="AW25" i="189"/>
  <c r="AV25" i="189"/>
  <c r="AU25" i="189"/>
  <c r="AT25" i="189"/>
  <c r="AT56" i="189" s="1"/>
  <c r="AS25" i="189"/>
  <c r="AS56" i="189" s="1"/>
  <c r="AP25" i="189"/>
  <c r="AP56" i="189" s="1"/>
  <c r="AO25" i="189"/>
  <c r="AN25" i="189"/>
  <c r="AM25" i="189"/>
  <c r="AM56" i="189" s="1"/>
  <c r="AL25" i="189"/>
  <c r="AL56" i="189" s="1"/>
  <c r="AK25" i="189"/>
  <c r="AK56" i="189" s="1"/>
  <c r="AJ25" i="189"/>
  <c r="AI25" i="189"/>
  <c r="AH25" i="189"/>
  <c r="AH56" i="189" s="1"/>
  <c r="AG25" i="189"/>
  <c r="AF25" i="189"/>
  <c r="AE25" i="189"/>
  <c r="AC25" i="189"/>
  <c r="AB25" i="189"/>
  <c r="AB56" i="189" s="1"/>
  <c r="AA25" i="189"/>
  <c r="AA56" i="189" s="1"/>
  <c r="Z25" i="189"/>
  <c r="Z56" i="189" s="1"/>
  <c r="Y25" i="189"/>
  <c r="Y56" i="189" s="1"/>
  <c r="X25" i="189"/>
  <c r="X56" i="189" s="1"/>
  <c r="W25" i="189"/>
  <c r="W56" i="189" s="1"/>
  <c r="V25" i="189"/>
  <c r="V56" i="189" s="1"/>
  <c r="U25" i="189"/>
  <c r="U56" i="189" s="1"/>
  <c r="T25" i="189"/>
  <c r="T56" i="189" s="1"/>
  <c r="S25" i="189"/>
  <c r="R25" i="189"/>
  <c r="P25" i="189"/>
  <c r="O25" i="189"/>
  <c r="N25" i="189"/>
  <c r="N56" i="189" s="1"/>
  <c r="M25" i="189"/>
  <c r="L25" i="189"/>
  <c r="L56" i="189" s="1"/>
  <c r="K25" i="189"/>
  <c r="J25" i="189"/>
  <c r="H25" i="189"/>
  <c r="G25" i="189"/>
  <c r="F25" i="189"/>
  <c r="E25" i="189"/>
  <c r="E56" i="189" s="1"/>
  <c r="BQ24" i="189"/>
  <c r="BP24" i="189"/>
  <c r="BO24" i="189"/>
  <c r="BN24" i="189"/>
  <c r="BM24" i="189"/>
  <c r="BL24" i="189"/>
  <c r="BL55" i="189" s="1"/>
  <c r="BK24" i="189"/>
  <c r="BJ24" i="189"/>
  <c r="BJ55" i="189" s="1"/>
  <c r="BI24" i="189"/>
  <c r="E31" i="86" s="1"/>
  <c r="BH24" i="189"/>
  <c r="BH55" i="189" s="1"/>
  <c r="BG24" i="189"/>
  <c r="BF24" i="189"/>
  <c r="BD24" i="189"/>
  <c r="BC24" i="189"/>
  <c r="BB24" i="189"/>
  <c r="BA24" i="189"/>
  <c r="AY24" i="189"/>
  <c r="AX24" i="189"/>
  <c r="AW24" i="189"/>
  <c r="AV24" i="189"/>
  <c r="AU24" i="189"/>
  <c r="AT24" i="189"/>
  <c r="AT55" i="189" s="1"/>
  <c r="AS24" i="189"/>
  <c r="AS55" i="189" s="1"/>
  <c r="AP24" i="189"/>
  <c r="AP55" i="189" s="1"/>
  <c r="AO24" i="189"/>
  <c r="AO55" i="189" s="1"/>
  <c r="AN24" i="189"/>
  <c r="AN55" i="189" s="1"/>
  <c r="AM24" i="189"/>
  <c r="AM55" i="189" s="1"/>
  <c r="AL24" i="189"/>
  <c r="AL55" i="189" s="1"/>
  <c r="AK24" i="189"/>
  <c r="AK55" i="189" s="1"/>
  <c r="AJ24" i="189"/>
  <c r="AI24" i="189"/>
  <c r="AH24" i="189"/>
  <c r="AG24" i="189"/>
  <c r="AF24" i="189"/>
  <c r="AE24" i="189"/>
  <c r="AC24" i="189"/>
  <c r="AB24" i="189"/>
  <c r="AB55" i="189" s="1"/>
  <c r="AA24" i="189"/>
  <c r="AA55" i="189" s="1"/>
  <c r="Z24" i="189"/>
  <c r="Z55" i="189" s="1"/>
  <c r="Y24" i="189"/>
  <c r="Y55" i="189" s="1"/>
  <c r="X24" i="189"/>
  <c r="X55" i="189" s="1"/>
  <c r="W24" i="189"/>
  <c r="W55" i="189" s="1"/>
  <c r="V24" i="189"/>
  <c r="V55" i="189" s="1"/>
  <c r="U24" i="189"/>
  <c r="T24" i="189"/>
  <c r="S24" i="189"/>
  <c r="R24" i="189"/>
  <c r="P24" i="189"/>
  <c r="O24" i="189"/>
  <c r="N24" i="189"/>
  <c r="N55" i="189" s="1"/>
  <c r="M24" i="189"/>
  <c r="L24" i="189"/>
  <c r="L55" i="189" s="1"/>
  <c r="K24" i="189"/>
  <c r="K55" i="189" s="1"/>
  <c r="J24" i="189"/>
  <c r="J55" i="189" s="1"/>
  <c r="I24" i="189"/>
  <c r="I55" i="189" s="1"/>
  <c r="H24" i="189"/>
  <c r="G24" i="189"/>
  <c r="G55" i="189" s="1"/>
  <c r="F24" i="189"/>
  <c r="F55" i="189" s="1"/>
  <c r="E24" i="189"/>
  <c r="BQ23" i="189"/>
  <c r="BQ54" i="189" s="1"/>
  <c r="BP23" i="189"/>
  <c r="BO23" i="189"/>
  <c r="BN23" i="189"/>
  <c r="BM23" i="189"/>
  <c r="BL23" i="189"/>
  <c r="BK23" i="189"/>
  <c r="BJ23" i="189"/>
  <c r="BI23" i="189"/>
  <c r="BH23" i="189"/>
  <c r="BH54" i="189" s="1"/>
  <c r="BG23" i="189"/>
  <c r="BG54" i="189" s="1"/>
  <c r="BF23" i="189"/>
  <c r="BD23" i="189"/>
  <c r="BD54" i="189" s="1"/>
  <c r="BC23" i="189"/>
  <c r="BB23" i="189"/>
  <c r="BA23" i="189"/>
  <c r="AZ23" i="189"/>
  <c r="AZ54" i="189" s="1"/>
  <c r="AY23" i="189"/>
  <c r="AX23" i="189"/>
  <c r="AW23" i="189"/>
  <c r="AV23" i="189"/>
  <c r="F30" i="86" s="1"/>
  <c r="AU23" i="189"/>
  <c r="AU54" i="189" s="1"/>
  <c r="AT23" i="189"/>
  <c r="AS23" i="189"/>
  <c r="AP23" i="189"/>
  <c r="AP54" i="189" s="1"/>
  <c r="AO23" i="189"/>
  <c r="AN23" i="189"/>
  <c r="AM23" i="189"/>
  <c r="AM54" i="189" s="1"/>
  <c r="AL23" i="189"/>
  <c r="AK23" i="189"/>
  <c r="AK54" i="189" s="1"/>
  <c r="AJ23" i="189"/>
  <c r="AI23" i="189"/>
  <c r="AH23" i="189"/>
  <c r="AG23" i="189"/>
  <c r="AF23" i="189"/>
  <c r="AE23" i="189"/>
  <c r="AE54" i="189" s="1"/>
  <c r="AC23" i="189"/>
  <c r="AC54" i="189" s="1"/>
  <c r="AB23" i="189"/>
  <c r="AB54" i="189" s="1"/>
  <c r="AA23" i="189"/>
  <c r="AA54" i="189" s="1"/>
  <c r="Z23" i="189"/>
  <c r="Z54" i="189" s="1"/>
  <c r="Y23" i="189"/>
  <c r="Y54" i="189" s="1"/>
  <c r="X23" i="189"/>
  <c r="W23" i="189"/>
  <c r="W54" i="189" s="1"/>
  <c r="V23" i="189"/>
  <c r="V54" i="189" s="1"/>
  <c r="U23" i="189"/>
  <c r="T23" i="189"/>
  <c r="S23" i="189"/>
  <c r="R23" i="189"/>
  <c r="P23" i="189"/>
  <c r="O23" i="189"/>
  <c r="N23" i="189"/>
  <c r="N54" i="189" s="1"/>
  <c r="M23" i="189"/>
  <c r="L23" i="189"/>
  <c r="L54" i="189" s="1"/>
  <c r="K23" i="189"/>
  <c r="K54" i="189" s="1"/>
  <c r="J23" i="189"/>
  <c r="J54" i="189" s="1"/>
  <c r="I23" i="189"/>
  <c r="I54" i="189" s="1"/>
  <c r="H23" i="189"/>
  <c r="G23" i="189"/>
  <c r="G54" i="189" s="1"/>
  <c r="F23" i="189"/>
  <c r="F54" i="189" s="1"/>
  <c r="E23" i="189"/>
  <c r="E54" i="189" s="1"/>
  <c r="B23" i="189"/>
  <c r="B24" i="189" s="1"/>
  <c r="B25" i="189" s="1"/>
  <c r="B26" i="189" s="1"/>
  <c r="B27" i="189" s="1"/>
  <c r="B28" i="189" s="1"/>
  <c r="BQ22" i="189"/>
  <c r="BQ53" i="189" s="1"/>
  <c r="BP22" i="189"/>
  <c r="BP53" i="189" s="1"/>
  <c r="BO22" i="189"/>
  <c r="BN22" i="189"/>
  <c r="BM22" i="189"/>
  <c r="BL22" i="189"/>
  <c r="BL53" i="189" s="1"/>
  <c r="BK22" i="189"/>
  <c r="BJ22" i="189"/>
  <c r="BJ53" i="189" s="1"/>
  <c r="BI22" i="189"/>
  <c r="BH22" i="189"/>
  <c r="BH53" i="189" s="1"/>
  <c r="BG22" i="189"/>
  <c r="BG53" i="189" s="1"/>
  <c r="BF22" i="189"/>
  <c r="BF53" i="189" s="1"/>
  <c r="BD22" i="189"/>
  <c r="BD53" i="189" s="1"/>
  <c r="BC22" i="189"/>
  <c r="BB22" i="189"/>
  <c r="BA22" i="189"/>
  <c r="AZ22" i="189"/>
  <c r="AZ53" i="189" s="1"/>
  <c r="AY22" i="189"/>
  <c r="AX22" i="189"/>
  <c r="AW22" i="189"/>
  <c r="AV22" i="189"/>
  <c r="F29" i="86" s="1"/>
  <c r="AU22" i="189"/>
  <c r="AT22" i="189"/>
  <c r="AS22" i="189"/>
  <c r="AP22" i="189"/>
  <c r="AP53" i="189" s="1"/>
  <c r="AO22" i="189"/>
  <c r="AN22" i="189"/>
  <c r="AN53" i="189" s="1"/>
  <c r="AM22" i="189"/>
  <c r="AM53" i="189" s="1"/>
  <c r="AL22" i="189"/>
  <c r="AK22" i="189"/>
  <c r="AJ22" i="189"/>
  <c r="AI22" i="189"/>
  <c r="AH22" i="189"/>
  <c r="AG22" i="189"/>
  <c r="AF22" i="189"/>
  <c r="AE22" i="189"/>
  <c r="AB22" i="189"/>
  <c r="AA22" i="189"/>
  <c r="Z22" i="189"/>
  <c r="Z53" i="189" s="1"/>
  <c r="Y22" i="189"/>
  <c r="X22" i="189"/>
  <c r="W22" i="189"/>
  <c r="W53" i="189" s="1"/>
  <c r="V22" i="189"/>
  <c r="V1" i="189" s="1"/>
  <c r="U22" i="189"/>
  <c r="T22" i="189"/>
  <c r="T1" i="189" s="1"/>
  <c r="S22" i="189"/>
  <c r="R22" i="189"/>
  <c r="P22" i="189"/>
  <c r="O22" i="189"/>
  <c r="N22" i="189"/>
  <c r="N53" i="189" s="1"/>
  <c r="M22" i="189"/>
  <c r="L22" i="189"/>
  <c r="K22" i="189"/>
  <c r="J22" i="189"/>
  <c r="I22" i="189"/>
  <c r="H22" i="189"/>
  <c r="H53" i="189" s="1"/>
  <c r="G22" i="189"/>
  <c r="G53" i="189" s="1"/>
  <c r="F22" i="189"/>
  <c r="F53" i="189" s="1"/>
  <c r="E22" i="189"/>
  <c r="BQ21" i="189"/>
  <c r="BP21" i="189"/>
  <c r="BL21" i="189"/>
  <c r="BA21" i="189"/>
  <c r="AM21" i="189"/>
  <c r="AE21" i="189"/>
  <c r="X21" i="189"/>
  <c r="W21" i="189"/>
  <c r="V21" i="189"/>
  <c r="U21" i="189"/>
  <c r="T21" i="189"/>
  <c r="F21" i="189"/>
  <c r="E21" i="189"/>
  <c r="BQ20" i="189"/>
  <c r="BP20" i="189"/>
  <c r="BP51" i="189" s="1"/>
  <c r="BO20" i="189"/>
  <c r="BN20" i="189"/>
  <c r="BM20" i="189"/>
  <c r="BL20" i="189"/>
  <c r="BK20" i="189"/>
  <c r="BJ20" i="189"/>
  <c r="BI20" i="189"/>
  <c r="BI51" i="189" s="1"/>
  <c r="BH20" i="189"/>
  <c r="BH51" i="189" s="1"/>
  <c r="BG20" i="189"/>
  <c r="BG51" i="189" s="1"/>
  <c r="BF20" i="189"/>
  <c r="BD20" i="189"/>
  <c r="BC20" i="189"/>
  <c r="BB20" i="189"/>
  <c r="BB51" i="189" s="1"/>
  <c r="BA20" i="189"/>
  <c r="BA51" i="189" s="1"/>
  <c r="AZ20" i="189"/>
  <c r="AZ51" i="189" s="1"/>
  <c r="AY20" i="189"/>
  <c r="AX20" i="189"/>
  <c r="AW20" i="189"/>
  <c r="AW51" i="189" s="1"/>
  <c r="AV20" i="189"/>
  <c r="AU20" i="189"/>
  <c r="AT20" i="189"/>
  <c r="AS20" i="189"/>
  <c r="AS51" i="189" s="1"/>
  <c r="AP20" i="189"/>
  <c r="AP51" i="189" s="1"/>
  <c r="AO20" i="189"/>
  <c r="AO51" i="189" s="1"/>
  <c r="AN20" i="189"/>
  <c r="AN51" i="189" s="1"/>
  <c r="AM20" i="189"/>
  <c r="AM51" i="189" s="1"/>
  <c r="AL20" i="189"/>
  <c r="AL51" i="189" s="1"/>
  <c r="AK20" i="189"/>
  <c r="AK51" i="189" s="1"/>
  <c r="AJ20" i="189"/>
  <c r="AJ51" i="189" s="1"/>
  <c r="AI20" i="189"/>
  <c r="AH20" i="189"/>
  <c r="AG20" i="189"/>
  <c r="AF20" i="189"/>
  <c r="AE20" i="189"/>
  <c r="AC20" i="189"/>
  <c r="AB20" i="189"/>
  <c r="AB51" i="189" s="1"/>
  <c r="AA20" i="189"/>
  <c r="AA51" i="189" s="1"/>
  <c r="Z20" i="189"/>
  <c r="Z51" i="189" s="1"/>
  <c r="Y20" i="189"/>
  <c r="Y51" i="189" s="1"/>
  <c r="X20" i="189"/>
  <c r="X51" i="189" s="1"/>
  <c r="W20" i="189"/>
  <c r="W51" i="189" s="1"/>
  <c r="V20" i="189"/>
  <c r="V51" i="189" s="1"/>
  <c r="U20" i="189"/>
  <c r="U51" i="189" s="1"/>
  <c r="T20" i="189"/>
  <c r="S20" i="189"/>
  <c r="R20" i="189"/>
  <c r="R51" i="189" s="1"/>
  <c r="P20" i="189"/>
  <c r="O20" i="189"/>
  <c r="N20" i="189"/>
  <c r="N51" i="189" s="1"/>
  <c r="M20" i="189"/>
  <c r="L20" i="189"/>
  <c r="L51" i="189" s="1"/>
  <c r="K20" i="189"/>
  <c r="K51" i="189" s="1"/>
  <c r="J20" i="189"/>
  <c r="I20" i="189"/>
  <c r="I51" i="189" s="1"/>
  <c r="H20" i="189"/>
  <c r="G20" i="189"/>
  <c r="F20" i="189"/>
  <c r="F51" i="189" s="1"/>
  <c r="E20" i="189"/>
  <c r="BQ19" i="189"/>
  <c r="BP19" i="189"/>
  <c r="BP50" i="189" s="1"/>
  <c r="BO19" i="189"/>
  <c r="BN19" i="189"/>
  <c r="BN50" i="189" s="1"/>
  <c r="BM19" i="189"/>
  <c r="BM50" i="189" s="1"/>
  <c r="BL19" i="189"/>
  <c r="BK19" i="189"/>
  <c r="BJ19" i="189"/>
  <c r="BJ50" i="189" s="1"/>
  <c r="BI19" i="189"/>
  <c r="BI50" i="189" s="1"/>
  <c r="BH19" i="189"/>
  <c r="BH50" i="189" s="1"/>
  <c r="BG19" i="189"/>
  <c r="BG50" i="189" s="1"/>
  <c r="BF19" i="189"/>
  <c r="BF50" i="189" s="1"/>
  <c r="BD19" i="189"/>
  <c r="BD50" i="189" s="1"/>
  <c r="BC19" i="189"/>
  <c r="BC50" i="189" s="1"/>
  <c r="BB19" i="189"/>
  <c r="BB50" i="189" s="1"/>
  <c r="BA19" i="189"/>
  <c r="AZ19" i="189"/>
  <c r="AY19" i="189"/>
  <c r="AX19" i="189"/>
  <c r="AW19" i="189"/>
  <c r="AV19" i="189"/>
  <c r="AU19" i="189"/>
  <c r="AT19" i="189"/>
  <c r="AS19" i="189"/>
  <c r="AS50" i="189" s="1"/>
  <c r="AP19" i="189"/>
  <c r="AO19" i="189"/>
  <c r="AO50" i="189" s="1"/>
  <c r="AN19" i="189"/>
  <c r="AN50" i="189" s="1"/>
  <c r="AM19" i="189"/>
  <c r="AM50" i="189" s="1"/>
  <c r="AL19" i="189"/>
  <c r="AL50" i="189" s="1"/>
  <c r="AK19" i="189"/>
  <c r="AK50" i="189" s="1"/>
  <c r="AJ19" i="189"/>
  <c r="AI19" i="189"/>
  <c r="AH19" i="189"/>
  <c r="AH50" i="189" s="1"/>
  <c r="AG19" i="189"/>
  <c r="AF19" i="189"/>
  <c r="AE19" i="189"/>
  <c r="AC19" i="189"/>
  <c r="AB19" i="189"/>
  <c r="AB50" i="189" s="1"/>
  <c r="AA19" i="189"/>
  <c r="AA50" i="189" s="1"/>
  <c r="Z19" i="189"/>
  <c r="Z50" i="189" s="1"/>
  <c r="Y19" i="189"/>
  <c r="X19" i="189"/>
  <c r="W19" i="189"/>
  <c r="W50" i="189" s="1"/>
  <c r="V19" i="189"/>
  <c r="V50" i="189" s="1"/>
  <c r="U19" i="189"/>
  <c r="U50" i="189" s="1"/>
  <c r="T19" i="189"/>
  <c r="T50" i="189" s="1"/>
  <c r="S19" i="189"/>
  <c r="R19" i="189"/>
  <c r="P19" i="189"/>
  <c r="O19" i="189"/>
  <c r="N19" i="189"/>
  <c r="N50" i="189" s="1"/>
  <c r="M19" i="189"/>
  <c r="L19" i="189"/>
  <c r="K19" i="189"/>
  <c r="K50" i="189" s="1"/>
  <c r="J19" i="189"/>
  <c r="J50" i="189" s="1"/>
  <c r="I19" i="189"/>
  <c r="H19" i="189"/>
  <c r="G19" i="189"/>
  <c r="G50" i="189" s="1"/>
  <c r="F19" i="189"/>
  <c r="F50" i="189" s="1"/>
  <c r="E19" i="189"/>
  <c r="BQ18" i="189"/>
  <c r="BP18" i="189"/>
  <c r="BO18" i="189"/>
  <c r="BN18" i="189"/>
  <c r="BN49" i="189" s="1"/>
  <c r="BM18" i="189"/>
  <c r="BM49" i="189" s="1"/>
  <c r="BL18" i="189"/>
  <c r="BK18" i="189"/>
  <c r="BJ18" i="189"/>
  <c r="BI18" i="189"/>
  <c r="BH18" i="189"/>
  <c r="BH49" i="189" s="1"/>
  <c r="BG18" i="189"/>
  <c r="BG49" i="189" s="1"/>
  <c r="BF18" i="189"/>
  <c r="BD18" i="189"/>
  <c r="BD49" i="189" s="1"/>
  <c r="BC18" i="189"/>
  <c r="BC49" i="189" s="1"/>
  <c r="BB18" i="189"/>
  <c r="BA18" i="189"/>
  <c r="AZ18" i="189"/>
  <c r="AZ49" i="189" s="1"/>
  <c r="AY18" i="189"/>
  <c r="AY49" i="189" s="1"/>
  <c r="AX18" i="189"/>
  <c r="AW18" i="189"/>
  <c r="AV18" i="189"/>
  <c r="AV49" i="189" s="1"/>
  <c r="AU18" i="189"/>
  <c r="AT18" i="189"/>
  <c r="AS18" i="189"/>
  <c r="AP18" i="189"/>
  <c r="AP49" i="189" s="1"/>
  <c r="AO18" i="189"/>
  <c r="AN18" i="189"/>
  <c r="AN49" i="189" s="1"/>
  <c r="AM18" i="189"/>
  <c r="AL18" i="189"/>
  <c r="AL49" i="189" s="1"/>
  <c r="AK18" i="189"/>
  <c r="AK49" i="189" s="1"/>
  <c r="AJ18" i="189"/>
  <c r="AJ49" i="189" s="1"/>
  <c r="AI18" i="189"/>
  <c r="AI49" i="189" s="1"/>
  <c r="AH18" i="189"/>
  <c r="AH49" i="189" s="1"/>
  <c r="AG18" i="189"/>
  <c r="AG49" i="189" s="1"/>
  <c r="AF18" i="189"/>
  <c r="AE18" i="189"/>
  <c r="AE49" i="189" s="1"/>
  <c r="AC18" i="189"/>
  <c r="AB18" i="189"/>
  <c r="AB49" i="189" s="1"/>
  <c r="AA18" i="189"/>
  <c r="AA49" i="189" s="1"/>
  <c r="Z18" i="189"/>
  <c r="Z49" i="189" s="1"/>
  <c r="Y18" i="189"/>
  <c r="Y49" i="189" s="1"/>
  <c r="X18" i="189"/>
  <c r="W18" i="189"/>
  <c r="W49" i="189" s="1"/>
  <c r="V18" i="189"/>
  <c r="U18" i="189"/>
  <c r="U49" i="189" s="1"/>
  <c r="T18" i="189"/>
  <c r="S18" i="189"/>
  <c r="R18" i="189"/>
  <c r="P18" i="189"/>
  <c r="P49" i="189" s="1"/>
  <c r="O18" i="189"/>
  <c r="O49" i="189" s="1"/>
  <c r="N18" i="189"/>
  <c r="N49" i="189" s="1"/>
  <c r="M18" i="189"/>
  <c r="M49" i="189" s="1"/>
  <c r="L18" i="189"/>
  <c r="L49" i="189" s="1"/>
  <c r="K18" i="189"/>
  <c r="K49" i="189" s="1"/>
  <c r="J18" i="189"/>
  <c r="J49" i="189" s="1"/>
  <c r="I18" i="189"/>
  <c r="H18" i="189"/>
  <c r="G18" i="189"/>
  <c r="F18" i="189"/>
  <c r="F49" i="189" s="1"/>
  <c r="E18" i="189"/>
  <c r="BQ17" i="189"/>
  <c r="BP17" i="189"/>
  <c r="BO17" i="189"/>
  <c r="BO48" i="189" s="1"/>
  <c r="BN17" i="189"/>
  <c r="BN48" i="189" s="1"/>
  <c r="BM17" i="189"/>
  <c r="BM48" i="189" s="1"/>
  <c r="BL17" i="189"/>
  <c r="BL48" i="189" s="1"/>
  <c r="BK17" i="189"/>
  <c r="BJ17" i="189"/>
  <c r="BI17" i="189"/>
  <c r="BH17" i="189"/>
  <c r="BG17" i="189"/>
  <c r="BF17" i="189"/>
  <c r="BF48" i="189" s="1"/>
  <c r="BD17" i="189"/>
  <c r="BD48" i="189" s="1"/>
  <c r="BC17" i="189"/>
  <c r="BC48" i="189" s="1"/>
  <c r="BB17" i="189"/>
  <c r="BB48" i="189" s="1"/>
  <c r="BA17" i="189"/>
  <c r="BA48" i="189" s="1"/>
  <c r="AZ17" i="189"/>
  <c r="AZ48" i="189" s="1"/>
  <c r="AY17" i="189"/>
  <c r="AY48" i="189" s="1"/>
  <c r="AX17" i="189"/>
  <c r="AX48" i="189" s="1"/>
  <c r="AW17" i="189"/>
  <c r="AW48" i="189" s="1"/>
  <c r="AV17" i="189"/>
  <c r="AV48" i="189" s="1"/>
  <c r="AU17" i="189"/>
  <c r="AU48" i="189" s="1"/>
  <c r="AT17" i="189"/>
  <c r="AT48" i="189" s="1"/>
  <c r="AS17" i="189"/>
  <c r="AP17" i="189"/>
  <c r="AO17" i="189"/>
  <c r="AN17" i="189"/>
  <c r="AN48" i="189" s="1"/>
  <c r="AM17" i="189"/>
  <c r="AM48" i="189" s="1"/>
  <c r="AL17" i="189"/>
  <c r="AL48" i="189" s="1"/>
  <c r="AK17" i="189"/>
  <c r="AK48" i="189" s="1"/>
  <c r="AJ17" i="189"/>
  <c r="AI17" i="189"/>
  <c r="AH17" i="189"/>
  <c r="AH48" i="189" s="1"/>
  <c r="AG17" i="189"/>
  <c r="AG48" i="189" s="1"/>
  <c r="AF17" i="189"/>
  <c r="AF48" i="189" s="1"/>
  <c r="AE17" i="189"/>
  <c r="AC17" i="189"/>
  <c r="AC48" i="189" s="1"/>
  <c r="AB17" i="189"/>
  <c r="AB48" i="189" s="1"/>
  <c r="AA17" i="189"/>
  <c r="Z17" i="189"/>
  <c r="Y17" i="189"/>
  <c r="X17" i="189"/>
  <c r="W17" i="189"/>
  <c r="V17" i="189"/>
  <c r="U17" i="189"/>
  <c r="U48" i="189" s="1"/>
  <c r="T17" i="189"/>
  <c r="S17" i="189"/>
  <c r="R17" i="189"/>
  <c r="R48" i="189" s="1"/>
  <c r="P17" i="189"/>
  <c r="P48" i="189" s="1"/>
  <c r="O17" i="189"/>
  <c r="O48" i="189" s="1"/>
  <c r="N17" i="189"/>
  <c r="N48" i="189" s="1"/>
  <c r="M17" i="189"/>
  <c r="L17" i="189"/>
  <c r="L48" i="189" s="1"/>
  <c r="K17" i="189"/>
  <c r="J17" i="189"/>
  <c r="I17" i="189"/>
  <c r="H17" i="189"/>
  <c r="H48" i="189" s="1"/>
  <c r="G17" i="189"/>
  <c r="G48" i="189" s="1"/>
  <c r="F17" i="189"/>
  <c r="F48" i="189" s="1"/>
  <c r="E17" i="189"/>
  <c r="BQ16" i="189"/>
  <c r="BQ47" i="189" s="1"/>
  <c r="BP16" i="189"/>
  <c r="BP47" i="189" s="1"/>
  <c r="BO16" i="189"/>
  <c r="BO47" i="189" s="1"/>
  <c r="BN16" i="189"/>
  <c r="BN47" i="189" s="1"/>
  <c r="BM16" i="189"/>
  <c r="BK16" i="189"/>
  <c r="BJ16" i="189"/>
  <c r="BJ47" i="189" s="1"/>
  <c r="BI16" i="189"/>
  <c r="BI47" i="189" s="1"/>
  <c r="BH16" i="189"/>
  <c r="BH47" i="189" s="1"/>
  <c r="BG16" i="189"/>
  <c r="BG47" i="189" s="1"/>
  <c r="BF16" i="189"/>
  <c r="BF47" i="189" s="1"/>
  <c r="BD16" i="189"/>
  <c r="BD47" i="189" s="1"/>
  <c r="BC16" i="189"/>
  <c r="BC47" i="189" s="1"/>
  <c r="BB16" i="189"/>
  <c r="BB47" i="189" s="1"/>
  <c r="BA16" i="189"/>
  <c r="BA47" i="189" s="1"/>
  <c r="AZ16" i="189"/>
  <c r="AZ47" i="189" s="1"/>
  <c r="AY16" i="189"/>
  <c r="AY47" i="189" s="1"/>
  <c r="AX16" i="189"/>
  <c r="AW16" i="189"/>
  <c r="AV16" i="189"/>
  <c r="AU16" i="189"/>
  <c r="AT16" i="189"/>
  <c r="AS16" i="189"/>
  <c r="AP16" i="189"/>
  <c r="AP47" i="189" s="1"/>
  <c r="AO16" i="189"/>
  <c r="AO47" i="189" s="1"/>
  <c r="AN16" i="189"/>
  <c r="AN47" i="189" s="1"/>
  <c r="AM16" i="189"/>
  <c r="AM47" i="189" s="1"/>
  <c r="AL16" i="189"/>
  <c r="AL47" i="189" s="1"/>
  <c r="AK16" i="189"/>
  <c r="AJ16" i="189"/>
  <c r="AI16" i="189"/>
  <c r="AI47" i="189" s="1"/>
  <c r="AH16" i="189"/>
  <c r="AH47" i="189" s="1"/>
  <c r="AG16" i="189"/>
  <c r="AF16" i="189"/>
  <c r="AE16" i="189"/>
  <c r="AC16" i="189"/>
  <c r="AB16" i="189"/>
  <c r="AB47" i="189" s="1"/>
  <c r="AA16" i="189"/>
  <c r="Z16" i="189"/>
  <c r="Z47" i="189" s="1"/>
  <c r="Y16" i="189"/>
  <c r="Y47" i="189" s="1"/>
  <c r="X16" i="189"/>
  <c r="X47" i="189" s="1"/>
  <c r="W16" i="189"/>
  <c r="W47" i="189" s="1"/>
  <c r="V16" i="189"/>
  <c r="V47" i="189" s="1"/>
  <c r="U16" i="189"/>
  <c r="U47" i="189" s="1"/>
  <c r="T16" i="189"/>
  <c r="T47" i="189" s="1"/>
  <c r="S16" i="189"/>
  <c r="R16" i="189"/>
  <c r="P16" i="189"/>
  <c r="O16" i="189"/>
  <c r="N16" i="189"/>
  <c r="M16" i="189"/>
  <c r="L16" i="189"/>
  <c r="L47" i="189" s="1"/>
  <c r="K16" i="189"/>
  <c r="J16" i="189"/>
  <c r="I16" i="189"/>
  <c r="I47" i="189" s="1"/>
  <c r="H16" i="189"/>
  <c r="H47" i="189" s="1"/>
  <c r="G16" i="189"/>
  <c r="G47" i="189" s="1"/>
  <c r="F16" i="189"/>
  <c r="F47" i="189" s="1"/>
  <c r="E16" i="189"/>
  <c r="E47" i="189" s="1"/>
  <c r="BQ15" i="189"/>
  <c r="BQ46" i="189" s="1"/>
  <c r="BP15" i="189"/>
  <c r="BP46" i="189" s="1"/>
  <c r="BO15" i="189"/>
  <c r="BN15" i="189"/>
  <c r="BM15" i="189"/>
  <c r="BK15" i="189"/>
  <c r="BJ15" i="189"/>
  <c r="BJ46" i="189" s="1"/>
  <c r="BI15" i="189"/>
  <c r="BI46" i="189" s="1"/>
  <c r="BH15" i="189"/>
  <c r="BH46" i="189" s="1"/>
  <c r="BG15" i="189"/>
  <c r="BF15" i="189"/>
  <c r="BD15" i="189"/>
  <c r="BD46" i="189" s="1"/>
  <c r="BC15" i="189"/>
  <c r="BB15" i="189"/>
  <c r="AZ15" i="189"/>
  <c r="AZ46" i="189" s="1"/>
  <c r="AY15" i="189"/>
  <c r="AY46" i="189" s="1"/>
  <c r="AX15" i="189"/>
  <c r="AW15" i="189"/>
  <c r="AV15" i="189"/>
  <c r="AU15" i="189"/>
  <c r="AT15" i="189"/>
  <c r="AS15" i="189"/>
  <c r="AS46" i="189" s="1"/>
  <c r="AP15" i="189"/>
  <c r="AO15" i="189"/>
  <c r="AO46" i="189" s="1"/>
  <c r="AN15" i="189"/>
  <c r="AN46" i="189" s="1"/>
  <c r="AM15" i="189"/>
  <c r="AM46" i="189" s="1"/>
  <c r="AL15" i="189"/>
  <c r="AK15" i="189"/>
  <c r="AJ15" i="189"/>
  <c r="AJ46" i="189" s="1"/>
  <c r="AI15" i="189"/>
  <c r="AI46" i="189" s="1"/>
  <c r="AH15" i="189"/>
  <c r="AG15" i="189"/>
  <c r="AF15" i="189"/>
  <c r="AE15" i="189"/>
  <c r="AB15" i="189"/>
  <c r="AB46" i="189" s="1"/>
  <c r="AA15" i="189"/>
  <c r="AA46" i="189" s="1"/>
  <c r="Z15" i="189"/>
  <c r="Z46" i="189" s="1"/>
  <c r="Y15" i="189"/>
  <c r="Y46" i="189" s="1"/>
  <c r="X15" i="189"/>
  <c r="X46" i="189" s="1"/>
  <c r="W15" i="189"/>
  <c r="W46" i="189" s="1"/>
  <c r="U15" i="189"/>
  <c r="T15" i="189"/>
  <c r="T46" i="189" s="1"/>
  <c r="S15" i="189"/>
  <c r="S46" i="189" s="1"/>
  <c r="R15" i="189"/>
  <c r="P15" i="189"/>
  <c r="O15" i="189"/>
  <c r="N15" i="189"/>
  <c r="M15" i="189"/>
  <c r="L15" i="189"/>
  <c r="L46" i="189" s="1"/>
  <c r="K15" i="189"/>
  <c r="K46" i="189" s="1"/>
  <c r="J15" i="189"/>
  <c r="J46" i="189" s="1"/>
  <c r="I15" i="189"/>
  <c r="I46" i="189" s="1"/>
  <c r="H15" i="189"/>
  <c r="H46" i="189" s="1"/>
  <c r="G15" i="189"/>
  <c r="G46" i="189" s="1"/>
  <c r="F15" i="189"/>
  <c r="E15" i="189"/>
  <c r="Q15" i="189" s="1"/>
  <c r="BQ14" i="189"/>
  <c r="BQ45" i="189" s="1"/>
  <c r="BP14" i="189"/>
  <c r="BO14" i="189"/>
  <c r="BN14" i="189"/>
  <c r="BM14" i="189"/>
  <c r="BL14" i="189"/>
  <c r="BK14" i="189"/>
  <c r="BJ14" i="189"/>
  <c r="BJ45" i="189" s="1"/>
  <c r="BI14" i="189"/>
  <c r="BH14" i="189"/>
  <c r="BF14" i="189"/>
  <c r="BD14" i="189"/>
  <c r="BC14" i="189"/>
  <c r="BC45" i="189" s="1"/>
  <c r="BB14" i="189"/>
  <c r="BB45" i="189" s="1"/>
  <c r="BA14" i="189"/>
  <c r="BA45" i="189" s="1"/>
  <c r="AZ14" i="189"/>
  <c r="AZ45" i="189" s="1"/>
  <c r="AX14" i="189"/>
  <c r="AW14" i="189"/>
  <c r="AW45" i="189" s="1"/>
  <c r="AV14" i="189"/>
  <c r="AU14" i="189"/>
  <c r="AU45" i="189" s="1"/>
  <c r="AT14" i="189"/>
  <c r="AS14" i="189"/>
  <c r="AS45" i="189" s="1"/>
  <c r="AP14" i="189"/>
  <c r="AO14" i="189"/>
  <c r="AO45" i="189" s="1"/>
  <c r="AN14" i="189"/>
  <c r="AN45" i="189" s="1"/>
  <c r="AM14" i="189"/>
  <c r="AL14" i="189"/>
  <c r="AL45" i="189" s="1"/>
  <c r="AK14" i="189"/>
  <c r="AK45" i="189" s="1"/>
  <c r="AJ14" i="189"/>
  <c r="AJ45" i="189" s="1"/>
  <c r="AI14" i="189"/>
  <c r="AI45" i="189" s="1"/>
  <c r="AH14" i="189"/>
  <c r="AH45" i="189" s="1"/>
  <c r="AG14" i="189"/>
  <c r="AF14" i="189"/>
  <c r="AE14" i="189"/>
  <c r="AC14" i="189"/>
  <c r="AA14" i="189"/>
  <c r="Z14" i="189"/>
  <c r="Y14" i="189"/>
  <c r="X14" i="189"/>
  <c r="X45" i="189" s="1"/>
  <c r="W14" i="189"/>
  <c r="V14" i="189"/>
  <c r="U14" i="189"/>
  <c r="U45" i="189" s="1"/>
  <c r="T14" i="189"/>
  <c r="T45" i="189" s="1"/>
  <c r="S14" i="189"/>
  <c r="S45" i="189" s="1"/>
  <c r="R14" i="189"/>
  <c r="P14" i="189"/>
  <c r="O14" i="189"/>
  <c r="J14" i="189"/>
  <c r="J45" i="189" s="1"/>
  <c r="I14" i="189"/>
  <c r="H14" i="189"/>
  <c r="G14" i="189"/>
  <c r="F14" i="189"/>
  <c r="E14" i="189"/>
  <c r="E45" i="189" s="1"/>
  <c r="BQ13" i="189"/>
  <c r="BQ44" i="189" s="1"/>
  <c r="BP13" i="189"/>
  <c r="BP44" i="189" s="1"/>
  <c r="BO13" i="189"/>
  <c r="BO44" i="189" s="1"/>
  <c r="BN13" i="189"/>
  <c r="BM13" i="189"/>
  <c r="BL13" i="189"/>
  <c r="BK13" i="189"/>
  <c r="BJ13" i="189"/>
  <c r="BI13" i="189"/>
  <c r="BI44" i="189" s="1"/>
  <c r="BD13" i="189"/>
  <c r="BD44" i="189" s="1"/>
  <c r="BC13" i="189"/>
  <c r="BC44" i="189" s="1"/>
  <c r="BB13" i="189"/>
  <c r="BB44" i="189" s="1"/>
  <c r="BA13" i="189"/>
  <c r="BA44" i="189" s="1"/>
  <c r="AZ13" i="189"/>
  <c r="AZ44" i="189" s="1"/>
  <c r="AY13" i="189"/>
  <c r="AT13" i="189"/>
  <c r="AS13" i="189"/>
  <c r="AS44" i="189" s="1"/>
  <c r="AP13" i="189"/>
  <c r="AP44" i="189" s="1"/>
  <c r="AO13" i="189"/>
  <c r="AO44" i="189" s="1"/>
  <c r="AN13" i="189"/>
  <c r="AN44" i="189" s="1"/>
  <c r="AM13" i="189"/>
  <c r="AM44" i="189" s="1"/>
  <c r="AL13" i="189"/>
  <c r="AL44" i="189" s="1"/>
  <c r="AK13" i="189"/>
  <c r="AK44" i="189" s="1"/>
  <c r="AJ13" i="189"/>
  <c r="AI13" i="189"/>
  <c r="AH13" i="189"/>
  <c r="AG13" i="189"/>
  <c r="AE13" i="189"/>
  <c r="AA13" i="189"/>
  <c r="Z13" i="189"/>
  <c r="Y13" i="189"/>
  <c r="Y44" i="189" s="1"/>
  <c r="X13" i="189"/>
  <c r="X44" i="189" s="1"/>
  <c r="W13" i="189"/>
  <c r="W44" i="189" s="1"/>
  <c r="V13" i="189"/>
  <c r="V44" i="189" s="1"/>
  <c r="U13" i="189"/>
  <c r="U44" i="189" s="1"/>
  <c r="T13" i="189"/>
  <c r="T44" i="189" s="1"/>
  <c r="S13" i="189"/>
  <c r="R13" i="189"/>
  <c r="P13" i="189"/>
  <c r="O13" i="189"/>
  <c r="K13" i="189"/>
  <c r="J13" i="189"/>
  <c r="I13" i="189"/>
  <c r="H13" i="189"/>
  <c r="G13" i="189"/>
  <c r="G44" i="189" s="1"/>
  <c r="F13" i="189"/>
  <c r="F44" i="189" s="1"/>
  <c r="E13" i="189"/>
  <c r="BQ12" i="189"/>
  <c r="BQ43" i="189" s="1"/>
  <c r="BP12" i="189"/>
  <c r="BP43" i="189" s="1"/>
  <c r="BO12" i="189"/>
  <c r="BO43" i="189" s="1"/>
  <c r="BN12" i="189"/>
  <c r="BN43" i="189" s="1"/>
  <c r="BM12" i="189"/>
  <c r="BM43" i="189" s="1"/>
  <c r="BL12" i="189"/>
  <c r="BL43" i="189" s="1"/>
  <c r="BJ12" i="189"/>
  <c r="BH12" i="189"/>
  <c r="BH43" i="189" s="1"/>
  <c r="BF12" i="189"/>
  <c r="BD12" i="189"/>
  <c r="BC12" i="189"/>
  <c r="BB12" i="189"/>
  <c r="BA12" i="189"/>
  <c r="BA43" i="189" s="1"/>
  <c r="AZ12" i="189"/>
  <c r="AZ43" i="189" s="1"/>
  <c r="AW12" i="189"/>
  <c r="AW43" i="189" s="1"/>
  <c r="AV12" i="189"/>
  <c r="AV43" i="189" s="1"/>
  <c r="AU12" i="189"/>
  <c r="AU43" i="189" s="1"/>
  <c r="AT12" i="189"/>
  <c r="AS12" i="189"/>
  <c r="AS43" i="189" s="1"/>
  <c r="AP12" i="189"/>
  <c r="AP43" i="189" s="1"/>
  <c r="AO12" i="189"/>
  <c r="AO43" i="189" s="1"/>
  <c r="AN12" i="189"/>
  <c r="AM12" i="189"/>
  <c r="AL12" i="189"/>
  <c r="AK12" i="189"/>
  <c r="AK43" i="189" s="1"/>
  <c r="AJ12" i="189"/>
  <c r="AJ43" i="189" s="1"/>
  <c r="AI12" i="189"/>
  <c r="AH12" i="189"/>
  <c r="AG12" i="189"/>
  <c r="AG43" i="189" s="1"/>
  <c r="AF12" i="189"/>
  <c r="AF43" i="189" s="1"/>
  <c r="AE12" i="189"/>
  <c r="AB12" i="189"/>
  <c r="AB43" i="189" s="1"/>
  <c r="AA12" i="189"/>
  <c r="AA43" i="189" s="1"/>
  <c r="Z12" i="189"/>
  <c r="Z43" i="189" s="1"/>
  <c r="Y12" i="189"/>
  <c r="Y43" i="189" s="1"/>
  <c r="X12" i="189"/>
  <c r="X43" i="189" s="1"/>
  <c r="W12" i="189"/>
  <c r="V12" i="189"/>
  <c r="U12" i="189"/>
  <c r="T12" i="189"/>
  <c r="T43" i="189" s="1"/>
  <c r="S12" i="189"/>
  <c r="R12" i="189"/>
  <c r="P12" i="189"/>
  <c r="P43" i="189" s="1"/>
  <c r="O12" i="189"/>
  <c r="O43" i="189" s="1"/>
  <c r="N12" i="189"/>
  <c r="N43" i="189" s="1"/>
  <c r="L12" i="189"/>
  <c r="L43" i="189" s="1"/>
  <c r="K12" i="189"/>
  <c r="K43" i="189" s="1"/>
  <c r="J12" i="189"/>
  <c r="J43" i="189" s="1"/>
  <c r="I12" i="189"/>
  <c r="I43" i="189" s="1"/>
  <c r="H12" i="189"/>
  <c r="H43" i="189" s="1"/>
  <c r="G12" i="189"/>
  <c r="G43" i="189" s="1"/>
  <c r="F12" i="189"/>
  <c r="F43" i="189" s="1"/>
  <c r="E12" i="189"/>
  <c r="E43" i="189" s="1"/>
  <c r="BQ11" i="189"/>
  <c r="BQ42" i="189" s="1"/>
  <c r="BP11" i="189"/>
  <c r="BP42" i="189" s="1"/>
  <c r="BO11" i="189"/>
  <c r="BN11" i="189"/>
  <c r="BN42" i="189" s="1"/>
  <c r="BM11" i="189"/>
  <c r="BL11" i="189"/>
  <c r="BK11" i="189"/>
  <c r="BK42" i="189" s="1"/>
  <c r="BI11" i="189"/>
  <c r="BI42" i="189" s="1"/>
  <c r="BH11" i="189"/>
  <c r="BH42" i="189" s="1"/>
  <c r="BG11" i="189"/>
  <c r="BG42" i="189" s="1"/>
  <c r="BD11" i="189"/>
  <c r="BC11" i="189"/>
  <c r="BC42" i="189" s="1"/>
  <c r="BB11" i="189"/>
  <c r="BB42" i="189" s="1"/>
  <c r="BA11" i="189"/>
  <c r="BA42" i="189" s="1"/>
  <c r="AZ11" i="189"/>
  <c r="AZ42" i="189" s="1"/>
  <c r="AY11" i="189"/>
  <c r="AY42" i="189" s="1"/>
  <c r="AX11" i="189"/>
  <c r="AW11" i="189"/>
  <c r="AW42" i="189" s="1"/>
  <c r="AV11" i="189"/>
  <c r="AV42" i="189" s="1"/>
  <c r="AU11" i="189"/>
  <c r="AU42" i="189" s="1"/>
  <c r="AT11" i="189"/>
  <c r="AS11" i="189"/>
  <c r="AS42" i="189" s="1"/>
  <c r="AP11" i="189"/>
  <c r="AO11" i="189"/>
  <c r="AN11" i="189"/>
  <c r="AM11" i="189"/>
  <c r="AL11" i="189"/>
  <c r="AK11" i="189"/>
  <c r="AK42" i="189" s="1"/>
  <c r="AJ11" i="189"/>
  <c r="AJ42" i="189" s="1"/>
  <c r="AI11" i="189"/>
  <c r="AI42" i="189" s="1"/>
  <c r="AH11" i="189"/>
  <c r="AG11" i="189"/>
  <c r="AG42" i="189" s="1"/>
  <c r="AF11" i="189"/>
  <c r="AC11" i="189"/>
  <c r="AB11" i="189"/>
  <c r="AB42" i="189" s="1"/>
  <c r="Y11" i="189"/>
  <c r="X11" i="189"/>
  <c r="W11" i="189"/>
  <c r="W42" i="189" s="1"/>
  <c r="V11" i="189"/>
  <c r="V42" i="189" s="1"/>
  <c r="U11" i="189"/>
  <c r="U42" i="189" s="1"/>
  <c r="T11" i="189"/>
  <c r="T42" i="189" s="1"/>
  <c r="S11" i="189"/>
  <c r="R11" i="189"/>
  <c r="P11" i="189"/>
  <c r="O11" i="189"/>
  <c r="N11" i="189"/>
  <c r="M11" i="189"/>
  <c r="L11" i="189"/>
  <c r="L42" i="189" s="1"/>
  <c r="I11" i="189"/>
  <c r="H11" i="189"/>
  <c r="G11" i="189"/>
  <c r="F11" i="189"/>
  <c r="F42" i="189" s="1"/>
  <c r="E11" i="189"/>
  <c r="B11" i="189"/>
  <c r="B12" i="189" s="1"/>
  <c r="B13" i="189" s="1"/>
  <c r="B14" i="189" s="1"/>
  <c r="B15" i="189" s="1"/>
  <c r="B16" i="189" s="1"/>
  <c r="B17" i="189" s="1"/>
  <c r="B18" i="189" s="1"/>
  <c r="B19" i="189" s="1"/>
  <c r="B20" i="189" s="1"/>
  <c r="BQ10" i="189"/>
  <c r="BQ41" i="189" s="1"/>
  <c r="BP10" i="189"/>
  <c r="BO10" i="189"/>
  <c r="BN10" i="189"/>
  <c r="BM10" i="189"/>
  <c r="BL10" i="189"/>
  <c r="BK10" i="189"/>
  <c r="BJ10" i="189"/>
  <c r="BJ41" i="189" s="1"/>
  <c r="BI10" i="189"/>
  <c r="BI41" i="189" s="1"/>
  <c r="BH10" i="189"/>
  <c r="BG10" i="189"/>
  <c r="BF10" i="189"/>
  <c r="BD10" i="189"/>
  <c r="BD41" i="189" s="1"/>
  <c r="BC10" i="189"/>
  <c r="BC41" i="189" s="1"/>
  <c r="BB10" i="189"/>
  <c r="BB41" i="189" s="1"/>
  <c r="BA10" i="189"/>
  <c r="AZ10" i="189"/>
  <c r="AY10" i="189"/>
  <c r="AX10" i="189"/>
  <c r="AT10" i="189"/>
  <c r="AS10" i="189"/>
  <c r="AP10" i="189"/>
  <c r="AP41" i="189" s="1"/>
  <c r="AO10" i="189"/>
  <c r="AO41" i="189" s="1"/>
  <c r="AN10" i="189"/>
  <c r="AM10" i="189"/>
  <c r="AM41" i="189" s="1"/>
  <c r="AL10" i="189"/>
  <c r="AK10" i="189"/>
  <c r="AK41" i="189" s="1"/>
  <c r="AJ10" i="189"/>
  <c r="AI10" i="189"/>
  <c r="AH10" i="189"/>
  <c r="AH41" i="189" s="1"/>
  <c r="AG10" i="189"/>
  <c r="AF10" i="189"/>
  <c r="AE10" i="189"/>
  <c r="AC10" i="189"/>
  <c r="AB10" i="189"/>
  <c r="Z10" i="189"/>
  <c r="Y10" i="189"/>
  <c r="X10" i="189"/>
  <c r="W10" i="189"/>
  <c r="V10" i="189"/>
  <c r="V41" i="189" s="1"/>
  <c r="U10" i="189"/>
  <c r="U41" i="189" s="1"/>
  <c r="T10" i="189"/>
  <c r="T41" i="189" s="1"/>
  <c r="S10" i="189"/>
  <c r="R10" i="189"/>
  <c r="P10" i="189"/>
  <c r="M10" i="189"/>
  <c r="L10" i="189"/>
  <c r="L41" i="189" s="1"/>
  <c r="K10" i="189"/>
  <c r="J10" i="189"/>
  <c r="I10" i="189"/>
  <c r="I41" i="189" s="1"/>
  <c r="H10" i="189"/>
  <c r="H41" i="189" s="1"/>
  <c r="G10" i="189"/>
  <c r="G41" i="189" s="1"/>
  <c r="F10" i="189"/>
  <c r="E10" i="189"/>
  <c r="AO9" i="189"/>
  <c r="AM9" i="189"/>
  <c r="AM29" i="189" s="1"/>
  <c r="AM30" i="189" s="1"/>
  <c r="AL9" i="189"/>
  <c r="AK9" i="189"/>
  <c r="H9" i="189"/>
  <c r="G9" i="189"/>
  <c r="BT8" i="189"/>
  <c r="Z1" i="189"/>
  <c r="Y1" i="189"/>
  <c r="X1" i="189"/>
  <c r="U1" i="189"/>
  <c r="S1" i="189"/>
  <c r="R1" i="189"/>
  <c r="BL109" i="93"/>
  <c r="C93" i="92"/>
  <c r="AR5" i="93"/>
  <c r="AQ5" i="93"/>
  <c r="AP5" i="93"/>
  <c r="AO5" i="93"/>
  <c r="AN5" i="93"/>
  <c r="AM5" i="93"/>
  <c r="AL5" i="93"/>
  <c r="AK5" i="93"/>
  <c r="AJ5" i="93"/>
  <c r="AI5" i="93"/>
  <c r="AH5" i="93"/>
  <c r="AG5" i="93"/>
  <c r="AF5" i="93"/>
  <c r="Q18" i="190" l="1"/>
  <c r="AL25" i="190"/>
  <c r="AD14" i="190"/>
  <c r="BT11" i="190"/>
  <c r="AR80" i="191"/>
  <c r="AN80" i="191"/>
  <c r="AM80" i="191"/>
  <c r="AB80" i="191"/>
  <c r="L80" i="191"/>
  <c r="J80" i="191"/>
  <c r="G80" i="191"/>
  <c r="F80" i="191"/>
  <c r="AR79" i="191"/>
  <c r="AN79" i="191"/>
  <c r="AB79" i="191"/>
  <c r="AA79" i="191"/>
  <c r="X79" i="191"/>
  <c r="N79" i="191"/>
  <c r="AR78" i="191"/>
  <c r="AP78" i="191"/>
  <c r="AM78" i="191"/>
  <c r="AB78" i="191"/>
  <c r="N78" i="191"/>
  <c r="L78" i="191"/>
  <c r="J78" i="191"/>
  <c r="I78" i="191"/>
  <c r="AK77" i="191"/>
  <c r="X77" i="191"/>
  <c r="N77" i="191"/>
  <c r="L77" i="191"/>
  <c r="AQ76" i="191"/>
  <c r="AO76" i="191"/>
  <c r="AN76" i="191"/>
  <c r="AM76" i="191"/>
  <c r="AL76" i="191"/>
  <c r="N76" i="191"/>
  <c r="I76" i="191"/>
  <c r="AP75" i="191"/>
  <c r="AO75" i="191"/>
  <c r="AM75" i="191"/>
  <c r="AK75" i="191"/>
  <c r="AI75" i="191"/>
  <c r="X75" i="191"/>
  <c r="N75" i="191"/>
  <c r="L75" i="191"/>
  <c r="AR74" i="191"/>
  <c r="AP74" i="191"/>
  <c r="AA74" i="191"/>
  <c r="X74" i="191"/>
  <c r="V74" i="191"/>
  <c r="N74" i="191"/>
  <c r="G74" i="191"/>
  <c r="AR73" i="191"/>
  <c r="AO73" i="191"/>
  <c r="AL73" i="191"/>
  <c r="AB73" i="191"/>
  <c r="AA73" i="191"/>
  <c r="X73" i="191"/>
  <c r="N73" i="191"/>
  <c r="AR72" i="191"/>
  <c r="AO72" i="191"/>
  <c r="AL72" i="191"/>
  <c r="AK72" i="191"/>
  <c r="N72" i="191"/>
  <c r="L72" i="191"/>
  <c r="K72" i="191"/>
  <c r="AR71" i="191"/>
  <c r="AQ71" i="191"/>
  <c r="AP71" i="191"/>
  <c r="AN71" i="191"/>
  <c r="AL71" i="191"/>
  <c r="I71" i="191"/>
  <c r="F71" i="191"/>
  <c r="AR70" i="191"/>
  <c r="AP70" i="191"/>
  <c r="AK70" i="191"/>
  <c r="AN69" i="191"/>
  <c r="AK69" i="191"/>
  <c r="AB69" i="191"/>
  <c r="AA69" i="191"/>
  <c r="X69" i="191"/>
  <c r="W69" i="191"/>
  <c r="T69" i="191"/>
  <c r="AQ68" i="191"/>
  <c r="AP68" i="191"/>
  <c r="AO68" i="191"/>
  <c r="AN68" i="191"/>
  <c r="AK68" i="191"/>
  <c r="AA68" i="191"/>
  <c r="X68" i="191"/>
  <c r="AR67" i="191"/>
  <c r="AQ67" i="191"/>
  <c r="AN67" i="191"/>
  <c r="X67" i="191"/>
  <c r="V67" i="191"/>
  <c r="L67" i="191"/>
  <c r="AR66" i="191"/>
  <c r="AQ66" i="191"/>
  <c r="AP66" i="191"/>
  <c r="AK66" i="191"/>
  <c r="AH66" i="191"/>
  <c r="AA66" i="191"/>
  <c r="X66" i="191"/>
  <c r="F66" i="191"/>
  <c r="AR65" i="191"/>
  <c r="AO65" i="191"/>
  <c r="AN65" i="191"/>
  <c r="AK65" i="191"/>
  <c r="AI65" i="191"/>
  <c r="AA65" i="191"/>
  <c r="N65" i="191"/>
  <c r="L65" i="191"/>
  <c r="I65" i="191"/>
  <c r="AR64" i="191"/>
  <c r="AQ64" i="191"/>
  <c r="AP64" i="191"/>
  <c r="AM64" i="191"/>
  <c r="AI64" i="191"/>
  <c r="AH64" i="191"/>
  <c r="AB64" i="191"/>
  <c r="AA64" i="191"/>
  <c r="X64" i="191"/>
  <c r="N64" i="191"/>
  <c r="L64" i="191"/>
  <c r="K64" i="191"/>
  <c r="J64" i="191"/>
  <c r="I64" i="191"/>
  <c r="AY55" i="191"/>
  <c r="AR55" i="191"/>
  <c r="AQ55" i="191"/>
  <c r="AP55" i="191"/>
  <c r="AN55" i="191"/>
  <c r="DL54" i="191"/>
  <c r="DJ54" i="191"/>
  <c r="DI54" i="191"/>
  <c r="CG55" i="191" s="1"/>
  <c r="DG54" i="191"/>
  <c r="DD54" i="191"/>
  <c r="DB54" i="191"/>
  <c r="CX54" i="191"/>
  <c r="CS54" i="191"/>
  <c r="CR54" i="191"/>
  <c r="CP54" i="191"/>
  <c r="CK50" i="191"/>
  <c r="CK54" i="191" s="1"/>
  <c r="CK55" i="191" s="1"/>
  <c r="BY48" i="191"/>
  <c r="BY47" i="191"/>
  <c r="BY44" i="191"/>
  <c r="BY42" i="191"/>
  <c r="BY35" i="191"/>
  <c r="BE24" i="190"/>
  <c r="AR24" i="190"/>
  <c r="AM53" i="190"/>
  <c r="AE22" i="190"/>
  <c r="BT21" i="190"/>
  <c r="AR19" i="190"/>
  <c r="BT15" i="190"/>
  <c r="BQ25" i="190"/>
  <c r="A32" i="191"/>
  <c r="A33" i="191" s="1"/>
  <c r="A34" i="191" s="1"/>
  <c r="A35" i="191" s="1"/>
  <c r="A36" i="191" s="1"/>
  <c r="A37" i="191" s="1"/>
  <c r="A38" i="191" s="1"/>
  <c r="A39" i="191" s="1"/>
  <c r="A40" i="191" s="1"/>
  <c r="A41" i="191" s="1"/>
  <c r="A42" i="191" s="1"/>
  <c r="A43" i="191" s="1"/>
  <c r="A44" i="191" s="1"/>
  <c r="A45" i="191" s="1"/>
  <c r="A46" i="191" s="1"/>
  <c r="A47" i="191" s="1"/>
  <c r="A48" i="191" s="1"/>
  <c r="A52" i="191" s="1"/>
  <c r="A53" i="191" s="1"/>
  <c r="BY29" i="191"/>
  <c r="BY25" i="191"/>
  <c r="CZ50" i="191"/>
  <c r="CZ54" i="191" s="1"/>
  <c r="BY17" i="191"/>
  <c r="BY15" i="191"/>
  <c r="CL13" i="191"/>
  <c r="BY13" i="191" s="1"/>
  <c r="BY11" i="191"/>
  <c r="CJ50" i="191"/>
  <c r="CJ54" i="191" s="1"/>
  <c r="CJ55" i="191" s="1"/>
  <c r="CI50" i="191"/>
  <c r="CI54" i="191" s="1"/>
  <c r="EB50" i="191"/>
  <c r="EP50" i="191"/>
  <c r="M77" i="190"/>
  <c r="T76" i="190"/>
  <c r="O76" i="190"/>
  <c r="U73" i="190"/>
  <c r="T73" i="190"/>
  <c r="R73" i="190"/>
  <c r="P73" i="190"/>
  <c r="O73" i="190"/>
  <c r="N73" i="190"/>
  <c r="M73" i="190"/>
  <c r="T70" i="190"/>
  <c r="R69" i="190"/>
  <c r="G68" i="190"/>
  <c r="P67" i="190"/>
  <c r="O66" i="190"/>
  <c r="S64" i="190"/>
  <c r="AN25" i="190"/>
  <c r="BT20" i="190"/>
  <c r="AD10" i="190"/>
  <c r="AR9" i="190"/>
  <c r="AD8" i="190"/>
  <c r="BO25" i="190"/>
  <c r="BF42" i="189"/>
  <c r="BD62" i="189"/>
  <c r="BB62" i="189"/>
  <c r="AB62" i="189"/>
  <c r="AA62" i="189"/>
  <c r="Z62" i="189"/>
  <c r="Y62" i="189"/>
  <c r="X62" i="189"/>
  <c r="L62" i="189"/>
  <c r="Z59" i="189"/>
  <c r="V59" i="189"/>
  <c r="T59" i="189"/>
  <c r="BI58" i="189"/>
  <c r="AP58" i="189"/>
  <c r="AM58" i="189"/>
  <c r="AK58" i="189"/>
  <c r="AA58" i="189"/>
  <c r="BF57" i="189"/>
  <c r="AL57" i="189"/>
  <c r="V57" i="189"/>
  <c r="R57" i="189"/>
  <c r="K57" i="189"/>
  <c r="AO56" i="189"/>
  <c r="K56" i="189"/>
  <c r="G56" i="189"/>
  <c r="BQ55" i="189"/>
  <c r="BM55" i="189"/>
  <c r="AH55" i="189"/>
  <c r="T55" i="189"/>
  <c r="BK54" i="189"/>
  <c r="BJ54" i="189"/>
  <c r="AL54" i="189"/>
  <c r="U54" i="189"/>
  <c r="BB53" i="189"/>
  <c r="BA53" i="189"/>
  <c r="AO53" i="189"/>
  <c r="X53" i="189"/>
  <c r="V53" i="189"/>
  <c r="BD51" i="189"/>
  <c r="AI51" i="189"/>
  <c r="J51" i="189"/>
  <c r="G51" i="189"/>
  <c r="AZ50" i="189"/>
  <c r="AV50" i="189"/>
  <c r="AG50" i="189"/>
  <c r="X50" i="189"/>
  <c r="I50" i="189"/>
  <c r="H50" i="189"/>
  <c r="BJ49" i="189"/>
  <c r="AO49" i="189"/>
  <c r="V49" i="189"/>
  <c r="H49" i="189"/>
  <c r="E49" i="189"/>
  <c r="BH48" i="189"/>
  <c r="AP48" i="189"/>
  <c r="Z48" i="189"/>
  <c r="Y48" i="189"/>
  <c r="V48" i="189"/>
  <c r="J48" i="189"/>
  <c r="E48" i="189"/>
  <c r="AS47" i="189"/>
  <c r="AJ47" i="189"/>
  <c r="K47" i="189"/>
  <c r="BG46" i="189"/>
  <c r="BB46" i="189"/>
  <c r="AP46" i="189"/>
  <c r="U46" i="189"/>
  <c r="N46" i="189"/>
  <c r="BN45" i="189"/>
  <c r="BI45" i="189"/>
  <c r="AM45" i="189"/>
  <c r="AA45" i="189"/>
  <c r="W45" i="189"/>
  <c r="V45" i="189"/>
  <c r="F45" i="189"/>
  <c r="AW44" i="189"/>
  <c r="AT44" i="189"/>
  <c r="Z44" i="189"/>
  <c r="J44" i="189"/>
  <c r="I44" i="189"/>
  <c r="BD43" i="189"/>
  <c r="AN43" i="189"/>
  <c r="AT42" i="189"/>
  <c r="AO42" i="189"/>
  <c r="AL42" i="189"/>
  <c r="Y42" i="189"/>
  <c r="H42" i="189"/>
  <c r="G42" i="189"/>
  <c r="AZ41" i="189"/>
  <c r="BL41" i="189"/>
  <c r="H54" i="189"/>
  <c r="BE25" i="189"/>
  <c r="BT24" i="189"/>
  <c r="AZ24" i="189"/>
  <c r="BE23" i="189"/>
  <c r="AD17" i="189"/>
  <c r="AR16" i="189"/>
  <c r="AC15" i="189"/>
  <c r="AU44" i="189"/>
  <c r="AD9" i="190"/>
  <c r="F62" i="189"/>
  <c r="Y59" i="189"/>
  <c r="X59" i="189"/>
  <c r="J59" i="189"/>
  <c r="BH58" i="189"/>
  <c r="BG58" i="189"/>
  <c r="AO58" i="189"/>
  <c r="AN58" i="189"/>
  <c r="AL58" i="189"/>
  <c r="AB58" i="189"/>
  <c r="BH57" i="189"/>
  <c r="BD57" i="189"/>
  <c r="X57" i="189"/>
  <c r="U57" i="189"/>
  <c r="T57" i="189"/>
  <c r="BJ56" i="189"/>
  <c r="AN56" i="189"/>
  <c r="AG56" i="189"/>
  <c r="H56" i="189"/>
  <c r="F56" i="189"/>
  <c r="BP55" i="189"/>
  <c r="BI55" i="189"/>
  <c r="AJ55" i="189"/>
  <c r="R55" i="189"/>
  <c r="BL54" i="189"/>
  <c r="BC54" i="189"/>
  <c r="AJ54" i="189"/>
  <c r="BC53" i="189"/>
  <c r="AT53" i="189"/>
  <c r="AS53" i="189"/>
  <c r="Y53" i="189"/>
  <c r="U53" i="189"/>
  <c r="E53" i="189"/>
  <c r="BC51" i="189"/>
  <c r="AG51" i="189"/>
  <c r="AE51" i="189"/>
  <c r="H51" i="189"/>
  <c r="BQ50" i="189"/>
  <c r="AP50" i="189"/>
  <c r="Y50" i="189"/>
  <c r="L50" i="189"/>
  <c r="BQ49" i="189"/>
  <c r="BI49" i="189"/>
  <c r="AM49" i="189"/>
  <c r="X49" i="189"/>
  <c r="I49" i="189"/>
  <c r="G49" i="189"/>
  <c r="BI48" i="189"/>
  <c r="BG48" i="189"/>
  <c r="AO48" i="189"/>
  <c r="AA48" i="189"/>
  <c r="X48" i="189"/>
  <c r="W48" i="189"/>
  <c r="K48" i="189"/>
  <c r="I48" i="189"/>
  <c r="BM47" i="189"/>
  <c r="AK47" i="189"/>
  <c r="AA47" i="189"/>
  <c r="J47" i="189"/>
  <c r="BF46" i="189"/>
  <c r="BC46" i="189"/>
  <c r="AL46" i="189"/>
  <c r="F46" i="189"/>
  <c r="BK45" i="189"/>
  <c r="BH45" i="189"/>
  <c r="AP45" i="189"/>
  <c r="Z45" i="189"/>
  <c r="Y45" i="189"/>
  <c r="G45" i="189"/>
  <c r="AY44" i="189"/>
  <c r="AV44" i="189"/>
  <c r="AJ44" i="189"/>
  <c r="AA44" i="189"/>
  <c r="K44" i="189"/>
  <c r="H44" i="189"/>
  <c r="BF43" i="189"/>
  <c r="BC43" i="189"/>
  <c r="AM43" i="189"/>
  <c r="AL43" i="189"/>
  <c r="AI43" i="189"/>
  <c r="AH43" i="189"/>
  <c r="W43" i="189"/>
  <c r="V43" i="189"/>
  <c r="U43" i="189"/>
  <c r="S43" i="189"/>
  <c r="R43" i="189"/>
  <c r="BD42" i="189"/>
  <c r="AN42" i="189"/>
  <c r="AM42" i="189"/>
  <c r="X42" i="189"/>
  <c r="I42" i="189"/>
  <c r="BA41" i="189"/>
  <c r="AY41" i="189"/>
  <c r="AD34" i="189"/>
  <c r="Q34" i="189"/>
  <c r="AK46" i="189"/>
  <c r="S54" i="189"/>
  <c r="I53" i="189"/>
  <c r="E59" i="189"/>
  <c r="AR28" i="189"/>
  <c r="BT26" i="189"/>
  <c r="BT25" i="189"/>
  <c r="I25" i="189"/>
  <c r="I56" i="189" s="1"/>
  <c r="BS19" i="189"/>
  <c r="Q16" i="189"/>
  <c r="BT15" i="189"/>
  <c r="V15" i="189"/>
  <c r="V46" i="189" s="1"/>
  <c r="BT14" i="189"/>
  <c r="AP9" i="189"/>
  <c r="W1" i="189"/>
  <c r="AP29" i="189"/>
  <c r="AP30" i="189" s="1"/>
  <c r="AK29" i="189"/>
  <c r="AK30" i="189" s="1"/>
  <c r="I63" i="189"/>
  <c r="AT43" i="189"/>
  <c r="AT9" i="189"/>
  <c r="BD45" i="189"/>
  <c r="BD9" i="189"/>
  <c r="BD29" i="189" s="1"/>
  <c r="BD30" i="189" s="1"/>
  <c r="BE17" i="189"/>
  <c r="BE48" i="189" s="1"/>
  <c r="AS48" i="189"/>
  <c r="BT17" i="189"/>
  <c r="BJ48" i="189"/>
  <c r="BS17" i="189"/>
  <c r="BG55" i="189"/>
  <c r="BS24" i="189"/>
  <c r="O62" i="189"/>
  <c r="O47" i="189"/>
  <c r="AF62" i="189"/>
  <c r="AF41" i="189"/>
  <c r="AF50" i="189"/>
  <c r="BQ55" i="191"/>
  <c r="AX62" i="189"/>
  <c r="AX57" i="189"/>
  <c r="AX41" i="189"/>
  <c r="BO62" i="189"/>
  <c r="BO41" i="189"/>
  <c r="BO54" i="189"/>
  <c r="F6" i="86"/>
  <c r="AC41" i="189"/>
  <c r="J41" i="189"/>
  <c r="AW49" i="189"/>
  <c r="BT18" i="189"/>
  <c r="T51" i="189"/>
  <c r="AD20" i="189"/>
  <c r="AD51" i="189" s="1"/>
  <c r="J56" i="189"/>
  <c r="Q25" i="189"/>
  <c r="Q56" i="189" s="1"/>
  <c r="P62" i="189"/>
  <c r="P41" i="189"/>
  <c r="P55" i="189"/>
  <c r="P46" i="189"/>
  <c r="AF56" i="189"/>
  <c r="AF51" i="189"/>
  <c r="F5" i="86"/>
  <c r="BO42" i="189"/>
  <c r="BB9" i="189"/>
  <c r="AX47" i="189"/>
  <c r="Q17" i="189"/>
  <c r="Q48" i="189" s="1"/>
  <c r="E50" i="189"/>
  <c r="Q19" i="189"/>
  <c r="Q50" i="189" s="1"/>
  <c r="Y21" i="189"/>
  <c r="BE22" i="189"/>
  <c r="AS21" i="189"/>
  <c r="AS54" i="189"/>
  <c r="E30" i="86"/>
  <c r="BI54" i="189"/>
  <c r="BI21" i="189"/>
  <c r="F31" i="86"/>
  <c r="AV55" i="189"/>
  <c r="BE24" i="189"/>
  <c r="BE55" i="189" s="1"/>
  <c r="BG59" i="189"/>
  <c r="BS28" i="189"/>
  <c r="BF41" i="189"/>
  <c r="BS10" i="189"/>
  <c r="Z21" i="189"/>
  <c r="BK53" i="189"/>
  <c r="BS22" i="189"/>
  <c r="M21" i="189"/>
  <c r="M54" i="189"/>
  <c r="AD23" i="189"/>
  <c r="AT21" i="189"/>
  <c r="AT54" i="189"/>
  <c r="BT23" i="189"/>
  <c r="BJ21" i="189"/>
  <c r="AE55" i="189"/>
  <c r="AR24" i="189"/>
  <c r="AX51" i="189"/>
  <c r="H29" i="189"/>
  <c r="H30" i="189" s="1"/>
  <c r="AL41" i="189"/>
  <c r="AP4" i="189"/>
  <c r="AF55" i="189"/>
  <c r="K59" i="189"/>
  <c r="Q28" i="189"/>
  <c r="E35" i="86"/>
  <c r="BI59" i="189"/>
  <c r="AP42" i="189"/>
  <c r="BB43" i="189"/>
  <c r="AV53" i="189"/>
  <c r="AF42" i="189"/>
  <c r="AU53" i="189"/>
  <c r="AU21" i="189"/>
  <c r="AH46" i="189"/>
  <c r="AR15" i="189"/>
  <c r="BE8" i="190"/>
  <c r="BG12" i="189"/>
  <c r="M65" i="190"/>
  <c r="M13" i="189"/>
  <c r="M44" i="189" s="1"/>
  <c r="AX44" i="189"/>
  <c r="AO54" i="189"/>
  <c r="AO21" i="189"/>
  <c r="AO29" i="189" s="1"/>
  <c r="AO30" i="189" s="1"/>
  <c r="E42" i="189"/>
  <c r="AE48" i="189"/>
  <c r="AR17" i="189"/>
  <c r="AD18" i="189"/>
  <c r="R49" i="189"/>
  <c r="AR23" i="189"/>
  <c r="AA53" i="189"/>
  <c r="AA21" i="189"/>
  <c r="AA1" i="189"/>
  <c r="O54" i="189"/>
  <c r="BE28" i="189"/>
  <c r="AS59" i="189"/>
  <c r="AN41" i="189"/>
  <c r="AN9" i="189"/>
  <c r="L53" i="189"/>
  <c r="L21" i="189"/>
  <c r="AW53" i="189"/>
  <c r="AW21" i="189"/>
  <c r="BO45" i="189"/>
  <c r="W41" i="189"/>
  <c r="W9" i="189"/>
  <c r="W29" i="189" s="1"/>
  <c r="W30" i="189" s="1"/>
  <c r="BK50" i="189"/>
  <c r="BU51" i="189" a="1"/>
  <c r="AF53" i="189"/>
  <c r="AF21" i="189"/>
  <c r="BR77" i="191"/>
  <c r="BR69" i="191"/>
  <c r="BR66" i="191"/>
  <c r="P9" i="189"/>
  <c r="BO51" i="189"/>
  <c r="AY53" i="189"/>
  <c r="AY21" i="189"/>
  <c r="AU58" i="189"/>
  <c r="AF59" i="189"/>
  <c r="F35" i="86"/>
  <c r="AV59" i="189"/>
  <c r="BM55" i="191"/>
  <c r="AT62" i="189"/>
  <c r="BE31" i="189"/>
  <c r="AT41" i="189"/>
  <c r="AT49" i="189"/>
  <c r="BK62" i="189"/>
  <c r="BK58" i="189"/>
  <c r="BK56" i="189"/>
  <c r="BK49" i="189"/>
  <c r="BK47" i="189"/>
  <c r="BS70" i="191"/>
  <c r="BS66" i="191"/>
  <c r="BS69" i="191"/>
  <c r="BS77" i="191"/>
  <c r="BK41" i="189"/>
  <c r="AT50" i="189"/>
  <c r="BO57" i="189"/>
  <c r="BS26" i="189"/>
  <c r="AE43" i="189"/>
  <c r="AR12" i="189"/>
  <c r="BG41" i="189"/>
  <c r="J53" i="189"/>
  <c r="J21" i="189"/>
  <c r="Q22" i="189"/>
  <c r="BP70" i="191"/>
  <c r="BI56" i="191" a="1"/>
  <c r="BP77" i="191"/>
  <c r="BP66" i="191"/>
  <c r="BP69" i="191"/>
  <c r="BT77" i="191"/>
  <c r="BT70" i="191"/>
  <c r="BT66" i="191"/>
  <c r="BT69" i="191"/>
  <c r="H45" i="189"/>
  <c r="AF49" i="189"/>
  <c r="AR18" i="189"/>
  <c r="BU43" i="189" a="1"/>
  <c r="BU48" i="189" a="1"/>
  <c r="E44" i="189"/>
  <c r="AW47" i="189"/>
  <c r="BE16" i="189"/>
  <c r="BE47" i="189" s="1"/>
  <c r="BQ9" i="189"/>
  <c r="BQ29" i="189" s="1"/>
  <c r="BQ30" i="189" s="1"/>
  <c r="AX42" i="189"/>
  <c r="AM63" i="189"/>
  <c r="BT16" i="189"/>
  <c r="K53" i="189"/>
  <c r="K21" i="189"/>
  <c r="BM53" i="189"/>
  <c r="BM21" i="189"/>
  <c r="BT28" i="189"/>
  <c r="BJ59" i="189"/>
  <c r="BG13" i="189"/>
  <c r="BG44" i="189" s="1"/>
  <c r="AH42" i="189"/>
  <c r="AH9" i="189"/>
  <c r="I9" i="189"/>
  <c r="I45" i="189"/>
  <c r="AE53" i="189"/>
  <c r="AR22" i="189"/>
  <c r="P54" i="189"/>
  <c r="AN57" i="189"/>
  <c r="AN21" i="189"/>
  <c r="AD28" i="189"/>
  <c r="E41" i="189"/>
  <c r="E9" i="189"/>
  <c r="E29" i="189" s="1"/>
  <c r="E30" i="189" s="1"/>
  <c r="O42" i="189"/>
  <c r="F41" i="189"/>
  <c r="F9" i="189"/>
  <c r="F29" i="189" s="1"/>
  <c r="F30" i="189" s="1"/>
  <c r="Y41" i="189"/>
  <c r="Y9" i="189"/>
  <c r="P44" i="189"/>
  <c r="BE18" i="189"/>
  <c r="BE49" i="189" s="1"/>
  <c r="O51" i="189"/>
  <c r="AH53" i="189"/>
  <c r="AH21" i="189"/>
  <c r="BM58" i="189"/>
  <c r="BS27" i="189"/>
  <c r="AC62" i="189"/>
  <c r="AC50" i="189"/>
  <c r="AC47" i="189"/>
  <c r="AC45" i="189"/>
  <c r="BN55" i="191"/>
  <c r="AU62" i="189"/>
  <c r="AU47" i="189"/>
  <c r="AS49" i="189"/>
  <c r="Z41" i="189"/>
  <c r="AS9" i="189"/>
  <c r="AS41" i="189"/>
  <c r="BK44" i="189"/>
  <c r="P51" i="189"/>
  <c r="BQ51" i="189"/>
  <c r="BH21" i="189"/>
  <c r="P53" i="189"/>
  <c r="P21" i="189"/>
  <c r="AT57" i="189"/>
  <c r="M58" i="189"/>
  <c r="Q27" i="189"/>
  <c r="M62" i="189"/>
  <c r="M51" i="189"/>
  <c r="M47" i="189"/>
  <c r="Q31" i="189"/>
  <c r="R55" i="191" s="1"/>
  <c r="AD31" i="189"/>
  <c r="AG55" i="191" s="1"/>
  <c r="F37" i="86" a="1"/>
  <c r="BO55" i="191"/>
  <c r="AV62" i="189"/>
  <c r="AV58" i="189"/>
  <c r="AV51" i="189"/>
  <c r="BM62" i="189"/>
  <c r="BM44" i="189"/>
  <c r="BM54" i="189"/>
  <c r="BM42" i="189"/>
  <c r="BM45" i="189"/>
  <c r="R46" i="189"/>
  <c r="AU49" i="189"/>
  <c r="H55" i="189"/>
  <c r="H21" i="189"/>
  <c r="F11" i="86"/>
  <c r="FD50" i="191"/>
  <c r="BY5" i="191"/>
  <c r="BU42" i="189" a="1"/>
  <c r="AX46" i="189"/>
  <c r="BH41" i="189"/>
  <c r="R47" i="189"/>
  <c r="AD16" i="189"/>
  <c r="AD47" i="189" s="1"/>
  <c r="AB53" i="189"/>
  <c r="AB1" i="189"/>
  <c r="AB21" i="189"/>
  <c r="BU45" i="189" a="1"/>
  <c r="BV45" i="189" s="1" a="1"/>
  <c r="AV21" i="189"/>
  <c r="BN21" i="189"/>
  <c r="BN53" i="189"/>
  <c r="R9" i="189"/>
  <c r="X41" i="189"/>
  <c r="X9" i="189"/>
  <c r="X29" i="189" s="1"/>
  <c r="X30" i="189" s="1"/>
  <c r="U9" i="189"/>
  <c r="U29" i="189" s="1"/>
  <c r="U30" i="189" s="1"/>
  <c r="BJ44" i="189"/>
  <c r="BT13" i="189"/>
  <c r="BG21" i="189"/>
  <c r="P59" i="189"/>
  <c r="BL62" i="189"/>
  <c r="BL58" i="189"/>
  <c r="BL42" i="189"/>
  <c r="AG47" i="189"/>
  <c r="AI9" i="189"/>
  <c r="BN9" i="189"/>
  <c r="S44" i="189"/>
  <c r="S9" i="189"/>
  <c r="BL44" i="189"/>
  <c r="Q46" i="189"/>
  <c r="BL49" i="189"/>
  <c r="AX50" i="189"/>
  <c r="BO50" i="189"/>
  <c r="BK21" i="189"/>
  <c r="AU57" i="189"/>
  <c r="AX58" i="189"/>
  <c r="BO58" i="189"/>
  <c r="N62" i="189"/>
  <c r="N47" i="189"/>
  <c r="AE62" i="189"/>
  <c r="AR31" i="189"/>
  <c r="AE41" i="189"/>
  <c r="AE47" i="189"/>
  <c r="BP55" i="191"/>
  <c r="AW62" i="189"/>
  <c r="BU62" i="189" s="1" a="1"/>
  <c r="BT31" i="189"/>
  <c r="AW57" i="189"/>
  <c r="AW50" i="189"/>
  <c r="BN62" i="189"/>
  <c r="BN44" i="189"/>
  <c r="BN41" i="189"/>
  <c r="BN55" i="189"/>
  <c r="N61" i="190"/>
  <c r="N25" i="190"/>
  <c r="N37" i="190"/>
  <c r="N10" i="189"/>
  <c r="M48" i="189"/>
  <c r="BK48" i="189"/>
  <c r="AC49" i="189"/>
  <c r="AE50" i="189"/>
  <c r="AU50" i="189"/>
  <c r="BL50" i="189"/>
  <c r="BF54" i="189"/>
  <c r="BS23" i="189"/>
  <c r="BF56" i="189"/>
  <c r="BS25" i="189"/>
  <c r="BQ77" i="191"/>
  <c r="BQ66" i="191"/>
  <c r="BQ70" i="191"/>
  <c r="BQ69" i="191"/>
  <c r="AV54" i="189"/>
  <c r="S57" i="189"/>
  <c r="AB14" i="189"/>
  <c r="AB45" i="189" s="1"/>
  <c r="AB13" i="189"/>
  <c r="AB44" i="189" s="1"/>
  <c r="K67" i="190"/>
  <c r="K41" i="190"/>
  <c r="K14" i="189"/>
  <c r="K45" i="189" s="1"/>
  <c r="AB41" i="189"/>
  <c r="AB9" i="189"/>
  <c r="AB29" i="189" s="1"/>
  <c r="AB30" i="189" s="1"/>
  <c r="BM9" i="189"/>
  <c r="BM29" i="189" s="1"/>
  <c r="BM30" i="189" s="1"/>
  <c r="R45" i="189"/>
  <c r="AD14" i="189"/>
  <c r="AD45" i="189" s="1"/>
  <c r="S47" i="189"/>
  <c r="S48" i="189"/>
  <c r="AI48" i="189"/>
  <c r="BA50" i="189"/>
  <c r="O53" i="189"/>
  <c r="O21" i="189"/>
  <c r="AG53" i="189"/>
  <c r="AG21" i="189"/>
  <c r="AX53" i="189"/>
  <c r="AX21" i="189"/>
  <c r="BO53" i="189"/>
  <c r="BO21" i="189"/>
  <c r="AF54" i="189"/>
  <c r="O55" i="189"/>
  <c r="BL56" i="189"/>
  <c r="BN57" i="189"/>
  <c r="AW58" i="189"/>
  <c r="BE27" i="189"/>
  <c r="BE58" i="189" s="1"/>
  <c r="BN58" i="189"/>
  <c r="O59" i="189"/>
  <c r="AE59" i="189"/>
  <c r="AU59" i="189"/>
  <c r="AG62" i="189"/>
  <c r="AG44" i="189"/>
  <c r="AG41" i="189"/>
  <c r="BR55" i="191"/>
  <c r="AY62" i="189"/>
  <c r="BP62" i="189"/>
  <c r="BP59" i="189"/>
  <c r="BP49" i="189"/>
  <c r="BP41" i="189"/>
  <c r="AY50" i="189"/>
  <c r="BT8" i="190"/>
  <c r="L65" i="190"/>
  <c r="L13" i="189"/>
  <c r="L44" i="189" s="1"/>
  <c r="Q9" i="190"/>
  <c r="AC13" i="189"/>
  <c r="AC44" i="189" s="1"/>
  <c r="BE9" i="190"/>
  <c r="L67" i="190"/>
  <c r="L14" i="189"/>
  <c r="L45" i="189" s="1"/>
  <c r="BE11" i="190"/>
  <c r="BL15" i="189"/>
  <c r="M67" i="190"/>
  <c r="M14" i="189"/>
  <c r="M45" i="189" s="1"/>
  <c r="N67" i="190"/>
  <c r="N14" i="189"/>
  <c r="N45" i="189" s="1"/>
  <c r="AG58" i="189"/>
  <c r="AR27" i="189"/>
  <c r="BT55" i="191"/>
  <c r="BA62" i="189"/>
  <c r="Z11" i="189"/>
  <c r="Z42" i="189" s="1"/>
  <c r="BS14" i="189"/>
  <c r="BF45" i="189"/>
  <c r="E51" i="189"/>
  <c r="Q20" i="189"/>
  <c r="Q51" i="189" s="1"/>
  <c r="AI54" i="189"/>
  <c r="AD24" i="189"/>
  <c r="AD55" i="189" s="1"/>
  <c r="AY56" i="189"/>
  <c r="AX59" i="189"/>
  <c r="S53" i="189"/>
  <c r="S59" i="189"/>
  <c r="AQ25" i="190"/>
  <c r="BJ25" i="190"/>
  <c r="AU10" i="189"/>
  <c r="J63" i="190"/>
  <c r="Q7" i="190"/>
  <c r="J11" i="189"/>
  <c r="J42" i="189" s="1"/>
  <c r="AA11" i="189"/>
  <c r="AA42" i="189" s="1"/>
  <c r="M71" i="190"/>
  <c r="Q8" i="190"/>
  <c r="M12" i="189"/>
  <c r="BI12" i="189"/>
  <c r="AY12" i="189"/>
  <c r="AY43" i="189" s="1"/>
  <c r="O65" i="190"/>
  <c r="AI53" i="189"/>
  <c r="AI21" i="189"/>
  <c r="O56" i="189"/>
  <c r="AW59" i="189"/>
  <c r="BM25" i="190"/>
  <c r="AX12" i="189"/>
  <c r="AE9" i="190"/>
  <c r="AR10" i="189"/>
  <c r="Q18" i="189"/>
  <c r="Q49" i="189" s="1"/>
  <c r="BO56" i="189"/>
  <c r="BC9" i="189"/>
  <c r="S21" i="189"/>
  <c r="AK53" i="189"/>
  <c r="AK21" i="189"/>
  <c r="BB21" i="189"/>
  <c r="BP56" i="189"/>
  <c r="AI57" i="189"/>
  <c r="AR26" i="189"/>
  <c r="AD27" i="189"/>
  <c r="AD58" i="189" s="1"/>
  <c r="R58" i="189"/>
  <c r="AI58" i="189"/>
  <c r="BA58" i="189"/>
  <c r="AI59" i="189"/>
  <c r="AY59" i="189"/>
  <c r="T53" i="189"/>
  <c r="AG55" i="189"/>
  <c r="AS25" i="190"/>
  <c r="AS37" i="190"/>
  <c r="BE6" i="190"/>
  <c r="BK25" i="190"/>
  <c r="AV10" i="189"/>
  <c r="K63" i="190"/>
  <c r="K38" i="190"/>
  <c r="K11" i="189"/>
  <c r="K42" i="189" s="1"/>
  <c r="N71" i="190"/>
  <c r="AC12" i="189"/>
  <c r="P42" i="189"/>
  <c r="BC55" i="189"/>
  <c r="BC21" i="189"/>
  <c r="AI56" i="189"/>
  <c r="S58" i="189"/>
  <c r="BT27" i="189"/>
  <c r="J25" i="190"/>
  <c r="J61" i="190"/>
  <c r="J37" i="190"/>
  <c r="AA25" i="190"/>
  <c r="AA37" i="190"/>
  <c r="AD6" i="190"/>
  <c r="AE6" i="190"/>
  <c r="AA10" i="189"/>
  <c r="BA56" i="189"/>
  <c r="BE13" i="189"/>
  <c r="BE44" i="189" s="1"/>
  <c r="E9" i="86"/>
  <c r="E55" i="189"/>
  <c r="Q24" i="189"/>
  <c r="Q55" i="189" s="1"/>
  <c r="BD21" i="189"/>
  <c r="BD55" i="189"/>
  <c r="S56" i="189"/>
  <c r="AJ56" i="189"/>
  <c r="AJ21" i="189"/>
  <c r="N65" i="190"/>
  <c r="N40" i="190"/>
  <c r="R42" i="189"/>
  <c r="N13" i="189"/>
  <c r="N44" i="189" s="1"/>
  <c r="AP21" i="189"/>
  <c r="AL53" i="189"/>
  <c r="AL21" i="189"/>
  <c r="AL29" i="189" s="1"/>
  <c r="AL30" i="189" s="1"/>
  <c r="R56" i="189"/>
  <c r="AD25" i="189"/>
  <c r="AD56" i="189" s="1"/>
  <c r="AI41" i="189"/>
  <c r="BF13" i="189"/>
  <c r="BF9" i="189" s="1"/>
  <c r="BF29" i="189" s="1"/>
  <c r="BN56" i="189"/>
  <c r="BN59" i="189"/>
  <c r="S62" i="189"/>
  <c r="S49" i="189"/>
  <c r="BE7" i="190"/>
  <c r="BH13" i="189"/>
  <c r="BH44" i="189" s="1"/>
  <c r="K41" i="189"/>
  <c r="K9" i="189"/>
  <c r="K29" i="189" s="1"/>
  <c r="K30" i="189" s="1"/>
  <c r="M41" i="189"/>
  <c r="AI44" i="189"/>
  <c r="BF49" i="189"/>
  <c r="BS18" i="189"/>
  <c r="BE20" i="189"/>
  <c r="AD26" i="189"/>
  <c r="S42" i="189"/>
  <c r="O44" i="189"/>
  <c r="AG9" i="189"/>
  <c r="AJ9" i="189"/>
  <c r="AR19" i="189"/>
  <c r="E13" i="86"/>
  <c r="S41" i="189"/>
  <c r="AT45" i="189"/>
  <c r="AT47" i="189"/>
  <c r="AR20" i="189"/>
  <c r="W52" i="189"/>
  <c r="BF55" i="189"/>
  <c r="E8" i="86"/>
  <c r="BO69" i="191"/>
  <c r="BO77" i="191"/>
  <c r="BO66" i="191"/>
  <c r="K25" i="190"/>
  <c r="K61" i="190"/>
  <c r="K37" i="190"/>
  <c r="AT25" i="190"/>
  <c r="AT39" i="190" s="1"/>
  <c r="AT37" i="190"/>
  <c r="BL25" i="190"/>
  <c r="AR7" i="190"/>
  <c r="BJ11" i="189"/>
  <c r="P71" i="190"/>
  <c r="E4" i="86"/>
  <c r="T48" i="189"/>
  <c r="AJ48" i="189"/>
  <c r="AX49" i="189"/>
  <c r="BS20" i="189"/>
  <c r="G21" i="189"/>
  <c r="G29" i="189" s="1"/>
  <c r="G30" i="189" s="1"/>
  <c r="R53" i="189"/>
  <c r="R21" i="189"/>
  <c r="AJ53" i="189"/>
  <c r="Q23" i="189"/>
  <c r="AG54" i="189"/>
  <c r="AW54" i="189"/>
  <c r="AU55" i="189"/>
  <c r="BK55" i="189"/>
  <c r="BE26" i="189"/>
  <c r="T58" i="189"/>
  <c r="BO59" i="189"/>
  <c r="BS55" i="191"/>
  <c r="AZ62" i="189"/>
  <c r="BM41" i="189"/>
  <c r="R44" i="189"/>
  <c r="T49" i="189"/>
  <c r="AK62" i="189"/>
  <c r="BL45" i="189"/>
  <c r="BA49" i="189"/>
  <c r="O50" i="189"/>
  <c r="AC51" i="189"/>
  <c r="T54" i="189"/>
  <c r="BP54" i="189"/>
  <c r="AX55" i="189"/>
  <c r="M46" i="189"/>
  <c r="BB49" i="189"/>
  <c r="AC56" i="189"/>
  <c r="AU56" i="189"/>
  <c r="AC57" i="189"/>
  <c r="E33" i="86"/>
  <c r="BI57" i="189"/>
  <c r="BQ48" i="189"/>
  <c r="AW10" i="189"/>
  <c r="AT46" i="189"/>
  <c r="P50" i="189"/>
  <c r="AY55" i="189"/>
  <c r="AU51" i="189"/>
  <c r="BK51" i="189"/>
  <c r="BB54" i="189"/>
  <c r="S55" i="189"/>
  <c r="AI55" i="189"/>
  <c r="F32" i="86"/>
  <c r="AV56" i="189"/>
  <c r="M57" i="189"/>
  <c r="BS31" i="189"/>
  <c r="BL56" i="191"/>
  <c r="BE37" i="189"/>
  <c r="E62" i="189"/>
  <c r="AW55" i="189"/>
  <c r="O61" i="190"/>
  <c r="O25" i="190"/>
  <c r="O37" i="190"/>
  <c r="O10" i="189"/>
  <c r="AV45" i="189"/>
  <c r="BK46" i="189"/>
  <c r="BT20" i="189"/>
  <c r="BJ51" i="189"/>
  <c r="BO55" i="189"/>
  <c r="AE46" i="189"/>
  <c r="E10" i="86"/>
  <c r="BO9" i="189"/>
  <c r="AE44" i="189"/>
  <c r="O45" i="189"/>
  <c r="AF45" i="189"/>
  <c r="AX45" i="189"/>
  <c r="O46" i="189"/>
  <c r="AF46" i="189"/>
  <c r="AV46" i="189"/>
  <c r="BN46" i="189"/>
  <c r="AD19" i="189"/>
  <c r="R50" i="189"/>
  <c r="AI50" i="189"/>
  <c r="BL51" i="189"/>
  <c r="BA55" i="189"/>
  <c r="AE56" i="189"/>
  <c r="AR25" i="189"/>
  <c r="AW56" i="189"/>
  <c r="N57" i="189"/>
  <c r="AE57" i="189"/>
  <c r="BK57" i="189"/>
  <c r="BM66" i="191"/>
  <c r="BM69" i="191"/>
  <c r="BM70" i="191"/>
  <c r="BM77" i="191"/>
  <c r="BF51" i="189"/>
  <c r="E32" i="86"/>
  <c r="BI56" i="189"/>
  <c r="BU102" i="191"/>
  <c r="BU107" i="191"/>
  <c r="BU91" i="191"/>
  <c r="BU109" i="191"/>
  <c r="BU101" i="191"/>
  <c r="BU95" i="191"/>
  <c r="BU89" i="191"/>
  <c r="BU88" i="191"/>
  <c r="BU86" i="191"/>
  <c r="BU106" i="191"/>
  <c r="BU78" i="191"/>
  <c r="BU97" i="191"/>
  <c r="BU68" i="191"/>
  <c r="BU98" i="191"/>
  <c r="BU92" i="191"/>
  <c r="BU85" i="191"/>
  <c r="BU84" i="191"/>
  <c r="BU80" i="191"/>
  <c r="BU71" i="191"/>
  <c r="BU100" i="191"/>
  <c r="BU90" i="191"/>
  <c r="BU108" i="191"/>
  <c r="BU103" i="191"/>
  <c r="BU105" i="191"/>
  <c r="BU87" i="191"/>
  <c r="BU75" i="191"/>
  <c r="BU64" i="191"/>
  <c r="BU99" i="191"/>
  <c r="BU94" i="191"/>
  <c r="BU104" i="191"/>
  <c r="BU93" i="191"/>
  <c r="BU83" i="191"/>
  <c r="BU74" i="191"/>
  <c r="BU81" i="191"/>
  <c r="BU67" i="191"/>
  <c r="BU73" i="191"/>
  <c r="BU65" i="191"/>
  <c r="BU72" i="191"/>
  <c r="BU76" i="191"/>
  <c r="AT51" i="189"/>
  <c r="BA54" i="189"/>
  <c r="M56" i="189"/>
  <c r="AR14" i="189"/>
  <c r="AE45" i="189"/>
  <c r="AU46" i="189"/>
  <c r="BJ43" i="189"/>
  <c r="BT12" i="189"/>
  <c r="R41" i="189"/>
  <c r="AZ9" i="189"/>
  <c r="BP9" i="189"/>
  <c r="BP29" i="189" s="1"/>
  <c r="BP30" i="189" s="1"/>
  <c r="N42" i="189"/>
  <c r="AE11" i="189"/>
  <c r="BK12" i="189"/>
  <c r="AF13" i="189"/>
  <c r="P45" i="189"/>
  <c r="AG45" i="189"/>
  <c r="BP45" i="189"/>
  <c r="BO46" i="189"/>
  <c r="S50" i="189"/>
  <c r="AJ50" i="189"/>
  <c r="BM51" i="189"/>
  <c r="BF21" i="189"/>
  <c r="U55" i="189"/>
  <c r="BB55" i="189"/>
  <c r="P56" i="189"/>
  <c r="AX56" i="189"/>
  <c r="O57" i="189"/>
  <c r="BL57" i="189"/>
  <c r="BS34" i="189"/>
  <c r="BN70" i="191"/>
  <c r="BN69" i="191"/>
  <c r="BN66" i="191"/>
  <c r="BN77" i="191"/>
  <c r="AH44" i="189"/>
  <c r="E46" i="189"/>
  <c r="BE10" i="190"/>
  <c r="AR11" i="190"/>
  <c r="H73" i="190"/>
  <c r="BF21" i="190"/>
  <c r="AT41" i="190"/>
  <c r="R72" i="190"/>
  <c r="AD12" i="190"/>
  <c r="AD29" i="190"/>
  <c r="AC18" i="190"/>
  <c r="BP48" i="189"/>
  <c r="BT19" i="189"/>
  <c r="AH51" i="189"/>
  <c r="BN51" i="189"/>
  <c r="BT22" i="189"/>
  <c r="R54" i="189"/>
  <c r="AH54" i="189"/>
  <c r="AX54" i="189"/>
  <c r="BN54" i="189"/>
  <c r="BB56" i="189"/>
  <c r="P57" i="189"/>
  <c r="AF57" i="189"/>
  <c r="F33" i="86"/>
  <c r="AV57" i="189"/>
  <c r="J58" i="189"/>
  <c r="Z58" i="189"/>
  <c r="AJ59" i="189"/>
  <c r="AZ59" i="189"/>
  <c r="BV55" i="191"/>
  <c r="BC62" i="189"/>
  <c r="BU69" i="191"/>
  <c r="BU77" i="191"/>
  <c r="BU66" i="191"/>
  <c r="AJ41" i="189"/>
  <c r="T9" i="189"/>
  <c r="T29" i="189" s="1"/>
  <c r="T30" i="189" s="1"/>
  <c r="BE11" i="189"/>
  <c r="BE42" i="189" s="1"/>
  <c r="E7" i="86"/>
  <c r="AG46" i="189"/>
  <c r="AW46" i="189"/>
  <c r="BM46" i="189"/>
  <c r="BE19" i="189"/>
  <c r="BE50" i="189" s="1"/>
  <c r="S51" i="189"/>
  <c r="AY51" i="189"/>
  <c r="N21" i="189"/>
  <c r="AY54" i="189"/>
  <c r="M55" i="189"/>
  <c r="AC55" i="189"/>
  <c r="Q26" i="189"/>
  <c r="Q57" i="189" s="1"/>
  <c r="AG57" i="189"/>
  <c r="U59" i="189"/>
  <c r="AK59" i="189"/>
  <c r="BA59" i="189"/>
  <c r="BQ59" i="189"/>
  <c r="BW109" i="191"/>
  <c r="BW101" i="191"/>
  <c r="BW106" i="191"/>
  <c r="BW90" i="191"/>
  <c r="BW95" i="191"/>
  <c r="BW105" i="191"/>
  <c r="BW89" i="191"/>
  <c r="BW86" i="191"/>
  <c r="BW73" i="191"/>
  <c r="BW78" i="191"/>
  <c r="BW100" i="191"/>
  <c r="BW91" i="191"/>
  <c r="BW74" i="191"/>
  <c r="BW98" i="191"/>
  <c r="BW87" i="191"/>
  <c r="BW68" i="191"/>
  <c r="BW65" i="191"/>
  <c r="BW107" i="191"/>
  <c r="BW76" i="191"/>
  <c r="BW99" i="191"/>
  <c r="BW104" i="191"/>
  <c r="BW75" i="191"/>
  <c r="BW92" i="191"/>
  <c r="BW83" i="191"/>
  <c r="BW64" i="191"/>
  <c r="BW80" i="191"/>
  <c r="BW72" i="191"/>
  <c r="BW108" i="191"/>
  <c r="BW88" i="191"/>
  <c r="BW81" i="191"/>
  <c r="BW93" i="191"/>
  <c r="BW79" i="191"/>
  <c r="BW71" i="191"/>
  <c r="BW103" i="191"/>
  <c r="BW67" i="191"/>
  <c r="BW85" i="191"/>
  <c r="BW97" i="191"/>
  <c r="BW84" i="191"/>
  <c r="BW102" i="191"/>
  <c r="BW94" i="191"/>
  <c r="BV77" i="191"/>
  <c r="BV66" i="191"/>
  <c r="BV69" i="191"/>
  <c r="BV70" i="191"/>
  <c r="H62" i="189"/>
  <c r="AH57" i="189"/>
  <c r="BB59" i="189"/>
  <c r="BW77" i="191"/>
  <c r="BW66" i="191"/>
  <c r="BW69" i="191"/>
  <c r="BW70" i="191"/>
  <c r="I62" i="189"/>
  <c r="AR13" i="190"/>
  <c r="T77" i="190"/>
  <c r="I64" i="190"/>
  <c r="AT52" i="190"/>
  <c r="AV55" i="191"/>
  <c r="BF62" i="189"/>
  <c r="R70" i="191"/>
  <c r="R77" i="191"/>
  <c r="AO59" i="189"/>
  <c r="I70" i="190"/>
  <c r="N44" i="190"/>
  <c r="N74" i="190"/>
  <c r="N58" i="189"/>
  <c r="AT58" i="189"/>
  <c r="AW55" i="191"/>
  <c r="BG62" i="189"/>
  <c r="AP59" i="189"/>
  <c r="H67" i="190"/>
  <c r="J70" i="190"/>
  <c r="AT42" i="190"/>
  <c r="AE12" i="190"/>
  <c r="O74" i="190"/>
  <c r="O44" i="190"/>
  <c r="AM46" i="190"/>
  <c r="AE19" i="190"/>
  <c r="M42" i="189"/>
  <c r="AC42" i="189"/>
  <c r="BG14" i="189"/>
  <c r="BG45" i="189" s="1"/>
  <c r="BA15" i="189"/>
  <c r="BA46" i="189" s="1"/>
  <c r="BO49" i="189"/>
  <c r="M50" i="189"/>
  <c r="M53" i="189"/>
  <c r="E29" i="86"/>
  <c r="BI53" i="189"/>
  <c r="BA57" i="189"/>
  <c r="O58" i="189"/>
  <c r="AE58" i="189"/>
  <c r="E25" i="190"/>
  <c r="E42" i="190" s="1"/>
  <c r="E61" i="190"/>
  <c r="Q6" i="190"/>
  <c r="AM28" i="190"/>
  <c r="AM50" i="190"/>
  <c r="AM43" i="190"/>
  <c r="AM55" i="190"/>
  <c r="AM27" i="190"/>
  <c r="BD25" i="190"/>
  <c r="BD38" i="190" s="1"/>
  <c r="BT9" i="190"/>
  <c r="I67" i="190"/>
  <c r="P74" i="190"/>
  <c r="F77" i="190"/>
  <c r="Q16" i="190"/>
  <c r="P47" i="189"/>
  <c r="AF47" i="189"/>
  <c r="AV47" i="189"/>
  <c r="BL16" i="189"/>
  <c r="BL9" i="189" s="1"/>
  <c r="BL29" i="189" s="1"/>
  <c r="BL30" i="189" s="1"/>
  <c r="X54" i="189"/>
  <c r="AN54" i="189"/>
  <c r="BB57" i="189"/>
  <c r="P58" i="189"/>
  <c r="AF58" i="189"/>
  <c r="BF59" i="189"/>
  <c r="BL55" i="191"/>
  <c r="AS62" i="189"/>
  <c r="E37" i="86" a="1"/>
  <c r="BI62" i="189"/>
  <c r="F25" i="190"/>
  <c r="F61" i="190"/>
  <c r="W27" i="190"/>
  <c r="W28" i="190"/>
  <c r="W55" i="190"/>
  <c r="W53" i="190"/>
  <c r="W46" i="190"/>
  <c r="W40" i="190"/>
  <c r="K65" i="190"/>
  <c r="K40" i="190"/>
  <c r="AR10" i="190"/>
  <c r="O43" i="190"/>
  <c r="O72" i="190"/>
  <c r="R74" i="190"/>
  <c r="AD13" i="190"/>
  <c r="AE13" i="190"/>
  <c r="M25" i="190"/>
  <c r="M37" i="190" s="1"/>
  <c r="M61" i="190"/>
  <c r="AU25" i="190"/>
  <c r="AU37" i="190"/>
  <c r="BT7" i="190"/>
  <c r="AR8" i="190"/>
  <c r="P65" i="190"/>
  <c r="BP25" i="190"/>
  <c r="P63" i="190"/>
  <c r="P25" i="190"/>
  <c r="AY25" i="190"/>
  <c r="AY37" i="190" s="1"/>
  <c r="AX93" i="191"/>
  <c r="AX98" i="191"/>
  <c r="AX103" i="191"/>
  <c r="AX108" i="191"/>
  <c r="AX92" i="191"/>
  <c r="AX102" i="191"/>
  <c r="AX95" i="191"/>
  <c r="AX94" i="191"/>
  <c r="AX90" i="191"/>
  <c r="AX88" i="191"/>
  <c r="AX89" i="191"/>
  <c r="AX85" i="191"/>
  <c r="AX75" i="191"/>
  <c r="AX67" i="191"/>
  <c r="AX106" i="191"/>
  <c r="AX99" i="191"/>
  <c r="AX81" i="191"/>
  <c r="AX65" i="191"/>
  <c r="AX87" i="191"/>
  <c r="AX80" i="191"/>
  <c r="AX105" i="191"/>
  <c r="AX109" i="191"/>
  <c r="AX97" i="191"/>
  <c r="AX78" i="191"/>
  <c r="AX72" i="191"/>
  <c r="AX96" i="191"/>
  <c r="AX91" i="191"/>
  <c r="AX86" i="191"/>
  <c r="AX83" i="191"/>
  <c r="AX84" i="191"/>
  <c r="AX101" i="191"/>
  <c r="AX100" i="191"/>
  <c r="AX107" i="191"/>
  <c r="AX64" i="191"/>
  <c r="AX104" i="191"/>
  <c r="AX76" i="191"/>
  <c r="AX74" i="191"/>
  <c r="AX68" i="191"/>
  <c r="AX71" i="191"/>
  <c r="AX79" i="191"/>
  <c r="AX73" i="191"/>
  <c r="AG70" i="191"/>
  <c r="AG66" i="191"/>
  <c r="BH62" i="189"/>
  <c r="S61" i="190"/>
  <c r="S25" i="190"/>
  <c r="AI25" i="190"/>
  <c r="AR6" i="190"/>
  <c r="AZ25" i="190"/>
  <c r="AZ42" i="190" s="1"/>
  <c r="BR25" i="190"/>
  <c r="R63" i="190"/>
  <c r="AE7" i="190"/>
  <c r="AD7" i="190"/>
  <c r="AZ47" i="190"/>
  <c r="AR23" i="190"/>
  <c r="BJ62" i="189"/>
  <c r="BV62" i="189" s="1" a="1"/>
  <c r="T61" i="190"/>
  <c r="T25" i="190"/>
  <c r="AJ25" i="190"/>
  <c r="BA25" i="190"/>
  <c r="AU53" i="190"/>
  <c r="AZ103" i="191"/>
  <c r="AZ108" i="191"/>
  <c r="AZ92" i="191"/>
  <c r="AZ97" i="191"/>
  <c r="AZ102" i="191"/>
  <c r="AZ96" i="191"/>
  <c r="AZ89" i="191"/>
  <c r="AZ87" i="191"/>
  <c r="AZ100" i="191"/>
  <c r="AZ90" i="191"/>
  <c r="AZ80" i="191"/>
  <c r="AZ106" i="191"/>
  <c r="AZ99" i="191"/>
  <c r="AZ98" i="191"/>
  <c r="AZ105" i="191"/>
  <c r="AZ79" i="191"/>
  <c r="AZ109" i="191"/>
  <c r="AZ104" i="191"/>
  <c r="AZ94" i="191"/>
  <c r="AZ78" i="191"/>
  <c r="AZ86" i="191"/>
  <c r="AZ71" i="191"/>
  <c r="AZ75" i="191"/>
  <c r="AZ107" i="191"/>
  <c r="AZ72" i="191"/>
  <c r="AZ85" i="191"/>
  <c r="AZ76" i="191"/>
  <c r="AZ68" i="191"/>
  <c r="AZ91" i="191"/>
  <c r="AZ64" i="191"/>
  <c r="AZ101" i="191"/>
  <c r="AZ74" i="191"/>
  <c r="AZ95" i="191"/>
  <c r="AZ88" i="191"/>
  <c r="AZ84" i="191"/>
  <c r="AZ65" i="191"/>
  <c r="AZ83" i="191"/>
  <c r="AZ73" i="191"/>
  <c r="AZ67" i="191"/>
  <c r="AZ93" i="191"/>
  <c r="AZ81" i="191"/>
  <c r="O45" i="190"/>
  <c r="AJ46" i="190"/>
  <c r="S77" i="190"/>
  <c r="S47" i="190"/>
  <c r="BT19" i="190"/>
  <c r="H64" i="190"/>
  <c r="U61" i="190"/>
  <c r="U25" i="190"/>
  <c r="U40" i="190" s="1"/>
  <c r="AK25" i="190"/>
  <c r="BB25" i="190"/>
  <c r="BS25" i="190"/>
  <c r="AK38" i="190"/>
  <c r="R71" i="190"/>
  <c r="AE8" i="190"/>
  <c r="AI39" i="190"/>
  <c r="AZ39" i="190"/>
  <c r="R65" i="190"/>
  <c r="T42" i="190"/>
  <c r="I73" i="190"/>
  <c r="BZ50" i="191"/>
  <c r="BZ54" i="191" s="1"/>
  <c r="CL4" i="191"/>
  <c r="V25" i="190"/>
  <c r="BC25" i="190"/>
  <c r="BC42" i="190" s="1"/>
  <c r="T63" i="190"/>
  <c r="T38" i="190"/>
  <c r="S71" i="190"/>
  <c r="S39" i="190"/>
  <c r="AJ39" i="190"/>
  <c r="BA39" i="190"/>
  <c r="AA45" i="190"/>
  <c r="BA50" i="190"/>
  <c r="BC51" i="190"/>
  <c r="T52" i="190"/>
  <c r="T66" i="190"/>
  <c r="BC52" i="190"/>
  <c r="BT22" i="190"/>
  <c r="J73" i="190"/>
  <c r="J55" i="190"/>
  <c r="AA55" i="190"/>
  <c r="E63" i="190"/>
  <c r="E38" i="190"/>
  <c r="U63" i="190"/>
  <c r="U38" i="190"/>
  <c r="AM38" i="190"/>
  <c r="T71" i="190"/>
  <c r="AK39" i="190"/>
  <c r="AT45" i="190"/>
  <c r="BE14" i="190"/>
  <c r="AR15" i="190"/>
  <c r="U51" i="190"/>
  <c r="AM51" i="190"/>
  <c r="U66" i="190"/>
  <c r="AM52" i="190"/>
  <c r="A51" i="191"/>
  <c r="A7" i="191"/>
  <c r="A8" i="191" s="1"/>
  <c r="A9" i="191" s="1"/>
  <c r="A10" i="191" s="1"/>
  <c r="A11" i="191" s="1"/>
  <c r="A12" i="191" s="1"/>
  <c r="A13" i="191" s="1"/>
  <c r="A14" i="191" s="1"/>
  <c r="A15" i="191" s="1"/>
  <c r="A16" i="191" s="1"/>
  <c r="A17" i="191" s="1"/>
  <c r="A18" i="191" s="1"/>
  <c r="A19" i="191" s="1"/>
  <c r="A20" i="191" s="1"/>
  <c r="A21" i="191" s="1"/>
  <c r="G25" i="190"/>
  <c r="X25" i="190"/>
  <c r="F63" i="190"/>
  <c r="F38" i="190"/>
  <c r="V38" i="190"/>
  <c r="E39" i="190"/>
  <c r="E71" i="190"/>
  <c r="U71" i="190"/>
  <c r="E40" i="190"/>
  <c r="E65" i="190"/>
  <c r="U65" i="190"/>
  <c r="AK40" i="190"/>
  <c r="BA40" i="190"/>
  <c r="K44" i="190"/>
  <c r="K74" i="190"/>
  <c r="Q13" i="190"/>
  <c r="L76" i="190"/>
  <c r="AU45" i="190"/>
  <c r="BC50" i="190"/>
  <c r="BE20" i="190"/>
  <c r="E66" i="190"/>
  <c r="Q21" i="190"/>
  <c r="AS54" i="190"/>
  <c r="BE23" i="190"/>
  <c r="L73" i="190"/>
  <c r="H25" i="190"/>
  <c r="H55" i="190" s="1"/>
  <c r="H61" i="190"/>
  <c r="Y25" i="190"/>
  <c r="AO25" i="190"/>
  <c r="BF25" i="190"/>
  <c r="BF37" i="190"/>
  <c r="G63" i="190"/>
  <c r="G38" i="190"/>
  <c r="W38" i="190"/>
  <c r="AM41" i="190"/>
  <c r="AA43" i="190"/>
  <c r="AS43" i="190"/>
  <c r="AT44" i="190"/>
  <c r="AI47" i="190"/>
  <c r="S49" i="190"/>
  <c r="AD18" i="190"/>
  <c r="AE18" i="190"/>
  <c r="V50" i="190"/>
  <c r="W51" i="190"/>
  <c r="AO51" i="190"/>
  <c r="W52" i="190"/>
  <c r="AO52" i="190"/>
  <c r="I61" i="190"/>
  <c r="I25" i="190"/>
  <c r="Z25" i="190"/>
  <c r="Z54" i="190" s="1"/>
  <c r="AP25" i="190"/>
  <c r="AP37" i="190" s="1"/>
  <c r="BH25" i="190"/>
  <c r="BT6" i="190"/>
  <c r="H63" i="190"/>
  <c r="H38" i="190"/>
  <c r="X38" i="190"/>
  <c r="AP38" i="190"/>
  <c r="H70" i="190"/>
  <c r="H42" i="190"/>
  <c r="Y42" i="190"/>
  <c r="AT43" i="190"/>
  <c r="N76" i="190"/>
  <c r="N45" i="190"/>
  <c r="AI46" i="190"/>
  <c r="R77" i="190"/>
  <c r="AD16" i="190"/>
  <c r="AE16" i="190"/>
  <c r="AJ47" i="190"/>
  <c r="BA47" i="190"/>
  <c r="W50" i="190"/>
  <c r="AO50" i="190"/>
  <c r="BF50" i="190"/>
  <c r="G64" i="190"/>
  <c r="G51" i="190"/>
  <c r="G52" i="190"/>
  <c r="G66" i="190"/>
  <c r="AD23" i="190"/>
  <c r="AI49" i="190"/>
  <c r="S51" i="190"/>
  <c r="AK51" i="190"/>
  <c r="BB51" i="190"/>
  <c r="S52" i="190"/>
  <c r="S66" i="190"/>
  <c r="AK52" i="190"/>
  <c r="X55" i="190"/>
  <c r="BT24" i="190"/>
  <c r="BY18" i="191"/>
  <c r="BN10" i="190"/>
  <c r="AY14" i="189" s="1"/>
  <c r="R92" i="191"/>
  <c r="L69" i="190"/>
  <c r="AT54" i="190"/>
  <c r="L25" i="190"/>
  <c r="L61" i="190"/>
  <c r="AB25" i="190"/>
  <c r="AB37" i="190" s="1"/>
  <c r="BI25" i="190"/>
  <c r="I63" i="190"/>
  <c r="I38" i="190"/>
  <c r="AO38" i="190"/>
  <c r="F39" i="190"/>
  <c r="V39" i="190"/>
  <c r="AM39" i="190"/>
  <c r="AE10" i="190"/>
  <c r="AI41" i="190"/>
  <c r="AJ42" i="190"/>
  <c r="BA42" i="190"/>
  <c r="S43" i="190"/>
  <c r="S72" i="190"/>
  <c r="AJ43" i="190"/>
  <c r="F75" i="190"/>
  <c r="F46" i="190"/>
  <c r="J49" i="190"/>
  <c r="K62" i="190"/>
  <c r="K50" i="190"/>
  <c r="AS50" i="190"/>
  <c r="BE19" i="190"/>
  <c r="K51" i="190"/>
  <c r="K64" i="190"/>
  <c r="AU52" i="190"/>
  <c r="O69" i="190"/>
  <c r="O54" i="190"/>
  <c r="G71" i="190"/>
  <c r="W39" i="190"/>
  <c r="T65" i="190"/>
  <c r="T40" i="190"/>
  <c r="AJ41" i="190"/>
  <c r="AZ41" i="190"/>
  <c r="S70" i="190"/>
  <c r="AE11" i="190"/>
  <c r="S42" i="190"/>
  <c r="AD11" i="190"/>
  <c r="AK42" i="190"/>
  <c r="T72" i="190"/>
  <c r="V44" i="190"/>
  <c r="G75" i="190"/>
  <c r="G46" i="190"/>
  <c r="AP46" i="190"/>
  <c r="K49" i="190"/>
  <c r="AT49" i="190"/>
  <c r="L62" i="190"/>
  <c r="L50" i="190"/>
  <c r="O53" i="190"/>
  <c r="O68" i="190"/>
  <c r="AR22" i="190"/>
  <c r="R67" i="190"/>
  <c r="BR50" i="191"/>
  <c r="BC43" i="190"/>
  <c r="W44" i="190"/>
  <c r="AM44" i="190"/>
  <c r="AO45" i="190"/>
  <c r="H75" i="190"/>
  <c r="H46" i="190"/>
  <c r="L49" i="190"/>
  <c r="AB49" i="190"/>
  <c r="M62" i="190"/>
  <c r="P68" i="190"/>
  <c r="M99" i="191"/>
  <c r="M104" i="191"/>
  <c r="M93" i="191"/>
  <c r="M98" i="191"/>
  <c r="M108" i="191"/>
  <c r="M92" i="191"/>
  <c r="M103" i="191"/>
  <c r="M107" i="191"/>
  <c r="M102" i="191"/>
  <c r="M97" i="191"/>
  <c r="M100" i="191"/>
  <c r="M76" i="191"/>
  <c r="M68" i="191"/>
  <c r="M106" i="191"/>
  <c r="M88" i="191"/>
  <c r="M81" i="191"/>
  <c r="M105" i="191"/>
  <c r="M96" i="191"/>
  <c r="M75" i="191"/>
  <c r="M84" i="191"/>
  <c r="M80" i="191"/>
  <c r="M95" i="191"/>
  <c r="M87" i="191"/>
  <c r="M74" i="191"/>
  <c r="M71" i="191"/>
  <c r="M90" i="191"/>
  <c r="M66" i="191"/>
  <c r="M79" i="191"/>
  <c r="M69" i="191"/>
  <c r="M77" i="191"/>
  <c r="M86" i="191"/>
  <c r="M83" i="191"/>
  <c r="M94" i="191"/>
  <c r="M110" i="191"/>
  <c r="M85" i="191"/>
  <c r="M91" i="191"/>
  <c r="M65" i="191"/>
  <c r="M64" i="191"/>
  <c r="M78" i="191"/>
  <c r="M72" i="191"/>
  <c r="M73" i="191"/>
  <c r="M101" i="191"/>
  <c r="M67" i="191"/>
  <c r="I39" i="190"/>
  <c r="I71" i="190"/>
  <c r="Y39" i="190"/>
  <c r="AP39" i="190"/>
  <c r="BF39" i="190"/>
  <c r="F65" i="190"/>
  <c r="F40" i="190"/>
  <c r="V40" i="190"/>
  <c r="U42" i="190"/>
  <c r="AM42" i="190"/>
  <c r="V43" i="190"/>
  <c r="Y45" i="190"/>
  <c r="AP45" i="190"/>
  <c r="Z46" i="190"/>
  <c r="AS46" i="190"/>
  <c r="AT47" i="190"/>
  <c r="M49" i="190"/>
  <c r="Q22" i="190"/>
  <c r="T55" i="190"/>
  <c r="BI69" i="191"/>
  <c r="R108" i="191"/>
  <c r="AF25" i="190"/>
  <c r="AV25" i="190"/>
  <c r="M63" i="190"/>
  <c r="AT38" i="190"/>
  <c r="J71" i="190"/>
  <c r="J39" i="190"/>
  <c r="Z39" i="190"/>
  <c r="G65" i="190"/>
  <c r="G40" i="190"/>
  <c r="AM40" i="190"/>
  <c r="V41" i="190"/>
  <c r="BC41" i="190"/>
  <c r="E70" i="190"/>
  <c r="Q11" i="190"/>
  <c r="V42" i="190"/>
  <c r="BF42" i="190"/>
  <c r="F72" i="190"/>
  <c r="F43" i="190"/>
  <c r="Q12" i="190"/>
  <c r="W43" i="190"/>
  <c r="BT13" i="190"/>
  <c r="Z45" i="190"/>
  <c r="J75" i="190"/>
  <c r="BE16" i="190"/>
  <c r="AR18" i="190"/>
  <c r="O50" i="190"/>
  <c r="O62" i="190"/>
  <c r="O52" i="190"/>
  <c r="AZ53" i="190"/>
  <c r="U55" i="190"/>
  <c r="AG95" i="191"/>
  <c r="AG25" i="190"/>
  <c r="AG47" i="190" s="1"/>
  <c r="AW25" i="190"/>
  <c r="AW39" i="190" s="1"/>
  <c r="N63" i="190"/>
  <c r="N38" i="190"/>
  <c r="K71" i="190"/>
  <c r="K39" i="190"/>
  <c r="AA39" i="190"/>
  <c r="H65" i="190"/>
  <c r="H40" i="190"/>
  <c r="X40" i="190"/>
  <c r="W41" i="190"/>
  <c r="BD41" i="190"/>
  <c r="F70" i="190"/>
  <c r="F42" i="190"/>
  <c r="W42" i="190"/>
  <c r="AO43" i="190"/>
  <c r="BT12" i="190"/>
  <c r="J76" i="190"/>
  <c r="J45" i="190"/>
  <c r="AR14" i="190"/>
  <c r="K46" i="190"/>
  <c r="O49" i="190"/>
  <c r="AZ51" i="190"/>
  <c r="AI52" i="190"/>
  <c r="AZ52" i="190"/>
  <c r="S68" i="190"/>
  <c r="S53" i="190"/>
  <c r="AD22" i="190"/>
  <c r="AJ53" i="190"/>
  <c r="U70" i="190"/>
  <c r="R107" i="191"/>
  <c r="R61" i="190"/>
  <c r="AH25" i="190"/>
  <c r="AH44" i="190" s="1"/>
  <c r="AX25" i="190"/>
  <c r="O63" i="190"/>
  <c r="O38" i="190"/>
  <c r="AV38" i="190"/>
  <c r="L71" i="190"/>
  <c r="AS39" i="190"/>
  <c r="I65" i="190"/>
  <c r="I40" i="190"/>
  <c r="Y40" i="190"/>
  <c r="G67" i="190"/>
  <c r="G41" i="190"/>
  <c r="X41" i="190"/>
  <c r="G70" i="190"/>
  <c r="G42" i="190"/>
  <c r="X42" i="190"/>
  <c r="AP42" i="190"/>
  <c r="Y43" i="190"/>
  <c r="AP43" i="190"/>
  <c r="AA44" i="190"/>
  <c r="K45" i="190"/>
  <c r="K76" i="190"/>
  <c r="AS45" i="190"/>
  <c r="AR16" i="190"/>
  <c r="AJ51" i="190"/>
  <c r="BA51" i="190"/>
  <c r="AJ52" i="190"/>
  <c r="BA52" i="190"/>
  <c r="AM54" i="190"/>
  <c r="AO55" i="190"/>
  <c r="R25" i="190"/>
  <c r="G76" i="190"/>
  <c r="G45" i="190"/>
  <c r="W45" i="190"/>
  <c r="AM45" i="190"/>
  <c r="BC45" i="190"/>
  <c r="X50" i="190"/>
  <c r="P52" i="190"/>
  <c r="P66" i="190"/>
  <c r="AF52" i="190"/>
  <c r="L53" i="190"/>
  <c r="L68" i="190"/>
  <c r="H54" i="190"/>
  <c r="Y54" i="190"/>
  <c r="AO54" i="190"/>
  <c r="E73" i="190"/>
  <c r="Q24" i="190"/>
  <c r="V55" i="190"/>
  <c r="J40" i="190"/>
  <c r="F41" i="190"/>
  <c r="R45" i="190"/>
  <c r="T46" i="190"/>
  <c r="P47" i="190"/>
  <c r="M52" i="190"/>
  <c r="BO79" i="191"/>
  <c r="O50" i="191"/>
  <c r="R96" i="191"/>
  <c r="P43" i="190"/>
  <c r="AV43" i="190"/>
  <c r="L74" i="190"/>
  <c r="H45" i="190"/>
  <c r="X45" i="190"/>
  <c r="AW52" i="190"/>
  <c r="M68" i="190"/>
  <c r="I54" i="190"/>
  <c r="AP54" i="190"/>
  <c r="BF54" i="190"/>
  <c r="F73" i="190"/>
  <c r="F55" i="190"/>
  <c r="S38" i="190"/>
  <c r="O39" i="190"/>
  <c r="E43" i="190"/>
  <c r="U46" i="190"/>
  <c r="N52" i="190"/>
  <c r="AG68" i="191"/>
  <c r="AG74" i="191"/>
  <c r="AG43" i="190"/>
  <c r="M74" i="190"/>
  <c r="AS44" i="190"/>
  <c r="N49" i="190"/>
  <c r="F64" i="190"/>
  <c r="F51" i="190"/>
  <c r="V51" i="190"/>
  <c r="N53" i="190"/>
  <c r="N68" i="190"/>
  <c r="AT53" i="190"/>
  <c r="J54" i="190"/>
  <c r="AA54" i="190"/>
  <c r="G73" i="190"/>
  <c r="G55" i="190"/>
  <c r="AP55" i="190"/>
  <c r="BF55" i="190"/>
  <c r="AF42" i="190"/>
  <c r="AU47" i="190"/>
  <c r="E51" i="190"/>
  <c r="M76" i="190"/>
  <c r="BI50" i="191"/>
  <c r="DN50" i="191"/>
  <c r="DN54" i="191" s="1"/>
  <c r="R20" i="191"/>
  <c r="R80" i="191" s="1"/>
  <c r="R94" i="191"/>
  <c r="S95" i="191"/>
  <c r="AF35" i="191"/>
  <c r="AG96" i="191"/>
  <c r="AO42" i="190"/>
  <c r="BA43" i="190"/>
  <c r="BE15" i="190"/>
  <c r="R49" i="190"/>
  <c r="AH49" i="190"/>
  <c r="N62" i="190"/>
  <c r="N50" i="190"/>
  <c r="AD19" i="190"/>
  <c r="AT50" i="190"/>
  <c r="J64" i="190"/>
  <c r="J51" i="190"/>
  <c r="Z51" i="190"/>
  <c r="AP51" i="190"/>
  <c r="AX53" i="190"/>
  <c r="AE23" i="190"/>
  <c r="AU54" i="190"/>
  <c r="K73" i="190"/>
  <c r="K55" i="190"/>
  <c r="AB55" i="190"/>
  <c r="N42" i="190"/>
  <c r="J43" i="190"/>
  <c r="F44" i="190"/>
  <c r="F50" i="190"/>
  <c r="U64" i="190"/>
  <c r="S97" i="191"/>
  <c r="S102" i="191"/>
  <c r="S110" i="191"/>
  <c r="S107" i="191"/>
  <c r="S91" i="191"/>
  <c r="S96" i="191"/>
  <c r="S106" i="191"/>
  <c r="S105" i="191"/>
  <c r="S98" i="191"/>
  <c r="S100" i="191"/>
  <c r="S99" i="191"/>
  <c r="S93" i="191"/>
  <c r="S92" i="191"/>
  <c r="S94" i="191"/>
  <c r="S89" i="191"/>
  <c r="S74" i="191"/>
  <c r="S79" i="191"/>
  <c r="S104" i="191"/>
  <c r="S83" i="191"/>
  <c r="S71" i="191"/>
  <c r="S69" i="191"/>
  <c r="S108" i="191"/>
  <c r="S77" i="191"/>
  <c r="S73" i="191"/>
  <c r="S65" i="191"/>
  <c r="S80" i="191"/>
  <c r="S66" i="191"/>
  <c r="S76" i="191"/>
  <c r="S86" i="191"/>
  <c r="S103" i="191"/>
  <c r="S88" i="191"/>
  <c r="S85" i="191"/>
  <c r="S75" i="191"/>
  <c r="S78" i="191"/>
  <c r="S68" i="191"/>
  <c r="S64" i="191"/>
  <c r="S67" i="191"/>
  <c r="S81" i="191"/>
  <c r="R91" i="191"/>
  <c r="AF48" i="191"/>
  <c r="U1" i="191"/>
  <c r="AG48" i="191"/>
  <c r="AG108" i="191" s="1"/>
  <c r="AV77" i="191"/>
  <c r="BH56" i="191"/>
  <c r="AV70" i="191"/>
  <c r="H71" i="190"/>
  <c r="X39" i="190"/>
  <c r="S65" i="190"/>
  <c r="S40" i="190"/>
  <c r="AI40" i="190"/>
  <c r="AY40" i="190"/>
  <c r="O41" i="190"/>
  <c r="O67" i="190"/>
  <c r="AE14" i="190"/>
  <c r="G77" i="190"/>
  <c r="G47" i="190"/>
  <c r="W47" i="190"/>
  <c r="AM47" i="190"/>
  <c r="T49" i="190"/>
  <c r="AJ49" i="190"/>
  <c r="AZ49" i="190"/>
  <c r="P62" i="190"/>
  <c r="P50" i="190"/>
  <c r="AV50" i="190"/>
  <c r="AR20" i="190"/>
  <c r="T41" i="190"/>
  <c r="H44" i="190"/>
  <c r="I50" i="190"/>
  <c r="I68" i="190"/>
  <c r="S74" i="190"/>
  <c r="AU70" i="191"/>
  <c r="AJ40" i="190"/>
  <c r="AZ40" i="190"/>
  <c r="P41" i="190"/>
  <c r="AV41" i="190"/>
  <c r="H77" i="190"/>
  <c r="H47" i="190"/>
  <c r="E49" i="190"/>
  <c r="U49" i="190"/>
  <c r="AK49" i="190"/>
  <c r="Q19" i="190"/>
  <c r="AG50" i="190"/>
  <c r="AW50" i="190"/>
  <c r="M64" i="190"/>
  <c r="U41" i="190"/>
  <c r="J50" i="190"/>
  <c r="T51" i="190"/>
  <c r="H53" i="190"/>
  <c r="S54" i="190"/>
  <c r="T74" i="190"/>
  <c r="R88" i="191"/>
  <c r="BO50" i="191"/>
  <c r="AV66" i="191"/>
  <c r="Q10" i="190"/>
  <c r="AW41" i="190"/>
  <c r="BE12" i="190"/>
  <c r="Q14" i="190"/>
  <c r="M75" i="190"/>
  <c r="I77" i="190"/>
  <c r="I47" i="190"/>
  <c r="Y47" i="190"/>
  <c r="AO47" i="190"/>
  <c r="F49" i="190"/>
  <c r="V49" i="190"/>
  <c r="BB49" i="190"/>
  <c r="AX50" i="190"/>
  <c r="AD20" i="190"/>
  <c r="AT51" i="190"/>
  <c r="F68" i="190"/>
  <c r="F53" i="190"/>
  <c r="V53" i="190"/>
  <c r="R42" i="190"/>
  <c r="N43" i="190"/>
  <c r="T54" i="190"/>
  <c r="E55" i="190"/>
  <c r="H62" i="190"/>
  <c r="E75" i="190"/>
  <c r="CF55" i="191"/>
  <c r="AG69" i="191"/>
  <c r="BI70" i="191"/>
  <c r="R87" i="191"/>
  <c r="AS105" i="191"/>
  <c r="AS89" i="191"/>
  <c r="AS94" i="191"/>
  <c r="AS99" i="191"/>
  <c r="AS98" i="191"/>
  <c r="AS106" i="191"/>
  <c r="AS101" i="191"/>
  <c r="AS96" i="191"/>
  <c r="AS91" i="191"/>
  <c r="AS100" i="191"/>
  <c r="AS95" i="191"/>
  <c r="AS84" i="191"/>
  <c r="AS107" i="191"/>
  <c r="AS83" i="191"/>
  <c r="AS71" i="191"/>
  <c r="AS81" i="191"/>
  <c r="AS103" i="191"/>
  <c r="AS67" i="191"/>
  <c r="AS73" i="191"/>
  <c r="AS70" i="191"/>
  <c r="AS79" i="191"/>
  <c r="AS69" i="191"/>
  <c r="AS109" i="191"/>
  <c r="AS92" i="191"/>
  <c r="AS87" i="191"/>
  <c r="AS65" i="191"/>
  <c r="AS108" i="191"/>
  <c r="AS102" i="191"/>
  <c r="AS75" i="191"/>
  <c r="AS86" i="191"/>
  <c r="AS72" i="191"/>
  <c r="AS110" i="191"/>
  <c r="AS66" i="191"/>
  <c r="AS97" i="191"/>
  <c r="AS90" i="191"/>
  <c r="AS68" i="191"/>
  <c r="AS88" i="191"/>
  <c r="AS80" i="191"/>
  <c r="AS78" i="191"/>
  <c r="AS64" i="191"/>
  <c r="AS85" i="191"/>
  <c r="AS77" i="191"/>
  <c r="AS74" i="191"/>
  <c r="N46" i="190"/>
  <c r="N75" i="190"/>
  <c r="AD15" i="190"/>
  <c r="AT46" i="190"/>
  <c r="J77" i="190"/>
  <c r="J47" i="190"/>
  <c r="Z47" i="190"/>
  <c r="AP47" i="190"/>
  <c r="BF47" i="190"/>
  <c r="G49" i="190"/>
  <c r="W49" i="190"/>
  <c r="AM49" i="190"/>
  <c r="BC49" i="190"/>
  <c r="S62" i="190"/>
  <c r="S50" i="190"/>
  <c r="AI50" i="190"/>
  <c r="AE20" i="190"/>
  <c r="BC53" i="190"/>
  <c r="AI55" i="190"/>
  <c r="AY55" i="190"/>
  <c r="I46" i="190"/>
  <c r="E47" i="190"/>
  <c r="F52" i="190"/>
  <c r="H69" i="190"/>
  <c r="R76" i="191"/>
  <c r="AG77" i="191"/>
  <c r="AG106" i="191"/>
  <c r="BC40" i="190"/>
  <c r="S76" i="190"/>
  <c r="S45" i="190"/>
  <c r="AI45" i="190"/>
  <c r="O46" i="190"/>
  <c r="O75" i="190"/>
  <c r="AE15" i="190"/>
  <c r="K77" i="190"/>
  <c r="K47" i="190"/>
  <c r="AA47" i="190"/>
  <c r="AZ50" i="190"/>
  <c r="L52" i="190"/>
  <c r="AR21" i="190"/>
  <c r="U69" i="190"/>
  <c r="AK54" i="190"/>
  <c r="AE24" i="190"/>
  <c r="AD24" i="190"/>
  <c r="AZ55" i="190"/>
  <c r="T50" i="190"/>
  <c r="H52" i="190"/>
  <c r="R53" i="190"/>
  <c r="I69" i="190"/>
  <c r="K75" i="190"/>
  <c r="CH50" i="191"/>
  <c r="CH54" i="191" s="1"/>
  <c r="BI66" i="191"/>
  <c r="BO70" i="191"/>
  <c r="BY38" i="191"/>
  <c r="AC99" i="191"/>
  <c r="AC104" i="191"/>
  <c r="AC93" i="191"/>
  <c r="AC98" i="191"/>
  <c r="AC108" i="191"/>
  <c r="AC92" i="191"/>
  <c r="AC110" i="191"/>
  <c r="AC89" i="191"/>
  <c r="AC76" i="191"/>
  <c r="AC68" i="191"/>
  <c r="AC102" i="191"/>
  <c r="AC95" i="191"/>
  <c r="AC85" i="191"/>
  <c r="AC81" i="191"/>
  <c r="AC91" i="191"/>
  <c r="AC75" i="191"/>
  <c r="AC97" i="191"/>
  <c r="AC103" i="191"/>
  <c r="AC77" i="191"/>
  <c r="AC107" i="191"/>
  <c r="AC105" i="191"/>
  <c r="AC87" i="191"/>
  <c r="AC90" i="191"/>
  <c r="AC100" i="191"/>
  <c r="AC78" i="191"/>
  <c r="AC72" i="191"/>
  <c r="AC88" i="191"/>
  <c r="AC73" i="191"/>
  <c r="AC84" i="191"/>
  <c r="AC79" i="191"/>
  <c r="AC66" i="191"/>
  <c r="AC106" i="191"/>
  <c r="AC86" i="191"/>
  <c r="AC80" i="191"/>
  <c r="AC65" i="191"/>
  <c r="AC67" i="191"/>
  <c r="AC94" i="191"/>
  <c r="AC71" i="191"/>
  <c r="AC96" i="191"/>
  <c r="AC74" i="191"/>
  <c r="AC101" i="191"/>
  <c r="AC69" i="191"/>
  <c r="AC64" i="191"/>
  <c r="AS76" i="191"/>
  <c r="AR12" i="190"/>
  <c r="T45" i="190"/>
  <c r="AJ45" i="190"/>
  <c r="AZ45" i="190"/>
  <c r="P75" i="190"/>
  <c r="AF46" i="190"/>
  <c r="AV46" i="190"/>
  <c r="L77" i="190"/>
  <c r="L47" i="190"/>
  <c r="AB47" i="190"/>
  <c r="I49" i="190"/>
  <c r="Y49" i="190"/>
  <c r="AO49" i="190"/>
  <c r="BE18" i="190"/>
  <c r="Q20" i="190"/>
  <c r="AS52" i="190"/>
  <c r="BE22" i="190"/>
  <c r="E69" i="190"/>
  <c r="Q23" i="190"/>
  <c r="V54" i="190"/>
  <c r="BB54" i="190"/>
  <c r="S55" i="190"/>
  <c r="S73" i="190"/>
  <c r="AK55" i="190"/>
  <c r="BA55" i="190"/>
  <c r="U50" i="190"/>
  <c r="I52" i="190"/>
  <c r="L66" i="190"/>
  <c r="J69" i="190"/>
  <c r="L75" i="190"/>
  <c r="R64" i="191"/>
  <c r="CL7" i="191"/>
  <c r="BY7" i="191" s="1"/>
  <c r="CA50" i="191"/>
  <c r="CA54" i="191" s="1"/>
  <c r="CA55" i="191" s="1"/>
  <c r="BH69" i="191"/>
  <c r="BR70" i="191"/>
  <c r="H50" i="191"/>
  <c r="I74" i="190"/>
  <c r="I44" i="190"/>
  <c r="Y44" i="190"/>
  <c r="AO44" i="190"/>
  <c r="BE13" i="190"/>
  <c r="E76" i="190"/>
  <c r="E45" i="190"/>
  <c r="U76" i="190"/>
  <c r="U45" i="190"/>
  <c r="AK45" i="190"/>
  <c r="AW46" i="190"/>
  <c r="AS47" i="190"/>
  <c r="BF49" i="190"/>
  <c r="R64" i="190"/>
  <c r="R51" i="190"/>
  <c r="AH51" i="190"/>
  <c r="AD21" i="190"/>
  <c r="J53" i="190"/>
  <c r="Z53" i="190"/>
  <c r="AP53" i="190"/>
  <c r="F54" i="190"/>
  <c r="W54" i="190"/>
  <c r="BC54" i="190"/>
  <c r="N47" i="190"/>
  <c r="J52" i="190"/>
  <c r="T53" i="190"/>
  <c r="P72" i="190"/>
  <c r="H76" i="190"/>
  <c r="R23" i="191"/>
  <c r="R83" i="191" s="1"/>
  <c r="G37" i="190"/>
  <c r="G61" i="190"/>
  <c r="W37" i="190"/>
  <c r="AM37" i="190"/>
  <c r="BC37" i="190"/>
  <c r="J74" i="190"/>
  <c r="J44" i="190"/>
  <c r="Z44" i="190"/>
  <c r="AP44" i="190"/>
  <c r="BF44" i="190"/>
  <c r="F76" i="190"/>
  <c r="F45" i="190"/>
  <c r="V45" i="190"/>
  <c r="BB45" i="190"/>
  <c r="R46" i="190"/>
  <c r="R75" i="190"/>
  <c r="AH46" i="190"/>
  <c r="AX46" i="190"/>
  <c r="AY51" i="190"/>
  <c r="AE21" i="190"/>
  <c r="K53" i="190"/>
  <c r="K68" i="190"/>
  <c r="AA53" i="190"/>
  <c r="G54" i="190"/>
  <c r="G69" i="190"/>
  <c r="BC55" i="190"/>
  <c r="E41" i="190"/>
  <c r="U44" i="190"/>
  <c r="S46" i="190"/>
  <c r="O47" i="190"/>
  <c r="K52" i="190"/>
  <c r="U53" i="190"/>
  <c r="R68" i="191"/>
  <c r="BN79" i="191"/>
  <c r="S84" i="191"/>
  <c r="AF24" i="191"/>
  <c r="AG24" i="191"/>
  <c r="AG84" i="191" s="1"/>
  <c r="BW96" i="191"/>
  <c r="BY6" i="191"/>
  <c r="AU69" i="191"/>
  <c r="AG71" i="191"/>
  <c r="AG73" i="191"/>
  <c r="O86" i="191"/>
  <c r="R26" i="191"/>
  <c r="R86" i="191" s="1"/>
  <c r="BY41" i="191"/>
  <c r="BY45" i="191"/>
  <c r="W101" i="191"/>
  <c r="W106" i="191"/>
  <c r="W90" i="191"/>
  <c r="W95" i="191"/>
  <c r="W100" i="191"/>
  <c r="W94" i="191"/>
  <c r="W96" i="191"/>
  <c r="W91" i="191"/>
  <c r="W89" i="191"/>
  <c r="W78" i="191"/>
  <c r="W103" i="191"/>
  <c r="W110" i="191"/>
  <c r="W108" i="191"/>
  <c r="W93" i="191"/>
  <c r="W87" i="191"/>
  <c r="W84" i="191"/>
  <c r="W77" i="191"/>
  <c r="W107" i="191"/>
  <c r="W104" i="191"/>
  <c r="W85" i="191"/>
  <c r="W79" i="191"/>
  <c r="W102" i="191"/>
  <c r="W88" i="191"/>
  <c r="W68" i="191"/>
  <c r="W97" i="191"/>
  <c r="W86" i="191"/>
  <c r="W75" i="191"/>
  <c r="W71" i="191"/>
  <c r="W83" i="191"/>
  <c r="W80" i="191"/>
  <c r="W99" i="191"/>
  <c r="W67" i="191"/>
  <c r="W76" i="191"/>
  <c r="W74" i="191"/>
  <c r="W73" i="191"/>
  <c r="W72" i="191"/>
  <c r="W65" i="191"/>
  <c r="W64" i="191"/>
  <c r="W81" i="191"/>
  <c r="W105" i="191"/>
  <c r="AV69" i="191"/>
  <c r="BL50" i="191"/>
  <c r="BL70" i="191"/>
  <c r="BX10" i="191"/>
  <c r="BL79" i="191"/>
  <c r="G101" i="191"/>
  <c r="G106" i="191"/>
  <c r="G90" i="191"/>
  <c r="G95" i="191"/>
  <c r="G100" i="191"/>
  <c r="G94" i="191"/>
  <c r="G110" i="191"/>
  <c r="G108" i="191"/>
  <c r="G91" i="191"/>
  <c r="G87" i="191"/>
  <c r="G78" i="191"/>
  <c r="G107" i="191"/>
  <c r="G85" i="191"/>
  <c r="G77" i="191"/>
  <c r="G99" i="191"/>
  <c r="G76" i="191"/>
  <c r="G73" i="191"/>
  <c r="G75" i="191"/>
  <c r="G86" i="191"/>
  <c r="G104" i="191"/>
  <c r="G102" i="191"/>
  <c r="G89" i="191"/>
  <c r="G93" i="191"/>
  <c r="G84" i="191"/>
  <c r="G81" i="191"/>
  <c r="G97" i="191"/>
  <c r="G68" i="191"/>
  <c r="G67" i="191"/>
  <c r="G69" i="191"/>
  <c r="G64" i="191"/>
  <c r="G92" i="191"/>
  <c r="G88" i="191"/>
  <c r="G66" i="191"/>
  <c r="R85" i="191"/>
  <c r="BY43" i="191"/>
  <c r="BW50" i="191"/>
  <c r="BY12" i="191"/>
  <c r="BP79" i="191"/>
  <c r="AG83" i="191"/>
  <c r="AG87" i="191"/>
  <c r="AG90" i="191"/>
  <c r="AG94" i="191"/>
  <c r="J100" i="191"/>
  <c r="J105" i="191"/>
  <c r="J89" i="191"/>
  <c r="J94" i="191"/>
  <c r="J99" i="191"/>
  <c r="J93" i="191"/>
  <c r="J110" i="191"/>
  <c r="J108" i="191"/>
  <c r="J103" i="191"/>
  <c r="J107" i="191"/>
  <c r="J104" i="191"/>
  <c r="J102" i="191"/>
  <c r="J98" i="191"/>
  <c r="J101" i="191"/>
  <c r="J77" i="191"/>
  <c r="J69" i="191"/>
  <c r="J76" i="191"/>
  <c r="J74" i="191"/>
  <c r="J71" i="191"/>
  <c r="J68" i="191"/>
  <c r="J106" i="191"/>
  <c r="J84" i="191"/>
  <c r="J87" i="191"/>
  <c r="J73" i="191"/>
  <c r="J97" i="191"/>
  <c r="J67" i="191"/>
  <c r="J95" i="191"/>
  <c r="J86" i="191"/>
  <c r="J75" i="191"/>
  <c r="J92" i="191"/>
  <c r="J66" i="191"/>
  <c r="J85" i="191"/>
  <c r="AV50" i="191"/>
  <c r="BP50" i="191"/>
  <c r="J81" i="191"/>
  <c r="J88" i="191"/>
  <c r="CB50" i="191"/>
  <c r="CB54" i="191" s="1"/>
  <c r="FR50" i="191"/>
  <c r="BS79" i="191"/>
  <c r="AG80" i="191"/>
  <c r="AG81" i="191"/>
  <c r="R106" i="191"/>
  <c r="BS50" i="191"/>
  <c r="AZ77" i="191"/>
  <c r="AZ69" i="191"/>
  <c r="AZ66" i="191"/>
  <c r="G65" i="191"/>
  <c r="G71" i="191"/>
  <c r="J91" i="191"/>
  <c r="CC50" i="191"/>
  <c r="CC54" i="191" s="1"/>
  <c r="CC55" i="191" s="1"/>
  <c r="R79" i="191"/>
  <c r="BT79" i="191"/>
  <c r="BY28" i="191"/>
  <c r="AG99" i="191"/>
  <c r="U50" i="191"/>
  <c r="R105" i="191"/>
  <c r="AG107" i="191"/>
  <c r="AH98" i="191"/>
  <c r="AH103" i="191"/>
  <c r="AH108" i="191"/>
  <c r="AH92" i="191"/>
  <c r="AH110" i="191"/>
  <c r="AH97" i="191"/>
  <c r="AH107" i="191"/>
  <c r="AH91" i="191"/>
  <c r="AH88" i="191"/>
  <c r="AH109" i="191"/>
  <c r="AH102" i="191"/>
  <c r="AH75" i="191"/>
  <c r="AH67" i="191"/>
  <c r="AH80" i="191"/>
  <c r="AH85" i="191"/>
  <c r="AH70" i="191"/>
  <c r="AH68" i="191"/>
  <c r="AH71" i="191"/>
  <c r="AH69" i="191"/>
  <c r="AH96" i="191"/>
  <c r="AH90" i="191"/>
  <c r="AH86" i="191"/>
  <c r="AH74" i="191"/>
  <c r="AH105" i="191"/>
  <c r="AH83" i="191"/>
  <c r="AH81" i="191"/>
  <c r="AH73" i="191"/>
  <c r="AH100" i="191"/>
  <c r="AH99" i="191"/>
  <c r="AH84" i="191"/>
  <c r="AH79" i="191"/>
  <c r="AH55" i="191"/>
  <c r="AH65" i="191"/>
  <c r="AH95" i="191"/>
  <c r="AH93" i="191"/>
  <c r="AH78" i="191"/>
  <c r="AH72" i="191"/>
  <c r="AH87" i="191"/>
  <c r="BT50" i="191"/>
  <c r="G79" i="191"/>
  <c r="K91" i="191"/>
  <c r="J96" i="191"/>
  <c r="G98" i="191"/>
  <c r="AH101" i="191"/>
  <c r="CD50" i="191"/>
  <c r="CD54" i="191" s="1"/>
  <c r="R66" i="191"/>
  <c r="Y1" i="191"/>
  <c r="Y50" i="191"/>
  <c r="Y3" i="191"/>
  <c r="AG7" i="191"/>
  <c r="AF7" i="191"/>
  <c r="R14" i="191"/>
  <c r="R75" i="191"/>
  <c r="R78" i="191"/>
  <c r="BY23" i="191"/>
  <c r="BY24" i="191"/>
  <c r="BY26" i="191"/>
  <c r="P50" i="191"/>
  <c r="AI103" i="191"/>
  <c r="AI108" i="191"/>
  <c r="AI92" i="191"/>
  <c r="AI110" i="191"/>
  <c r="AI97" i="191"/>
  <c r="AI102" i="191"/>
  <c r="AI96" i="191"/>
  <c r="AI109" i="191"/>
  <c r="AI87" i="191"/>
  <c r="AI107" i="191"/>
  <c r="AI91" i="191"/>
  <c r="AI80" i="191"/>
  <c r="AI101" i="191"/>
  <c r="AI86" i="191"/>
  <c r="AI79" i="191"/>
  <c r="AI89" i="191"/>
  <c r="AI84" i="191"/>
  <c r="AI74" i="191"/>
  <c r="AI83" i="191"/>
  <c r="AI90" i="191"/>
  <c r="AI68" i="191"/>
  <c r="AI93" i="191"/>
  <c r="AI71" i="191"/>
  <c r="AI105" i="191"/>
  <c r="AI67" i="191"/>
  <c r="AI85" i="191"/>
  <c r="AI76" i="191"/>
  <c r="AI99" i="191"/>
  <c r="AI88" i="191"/>
  <c r="AI81" i="191"/>
  <c r="AI69" i="191"/>
  <c r="AI55" i="191"/>
  <c r="AI94" i="191"/>
  <c r="AI66" i="191"/>
  <c r="AI98" i="191"/>
  <c r="AI77" i="191"/>
  <c r="AI70" i="191"/>
  <c r="AI95" i="191"/>
  <c r="AI78" i="191"/>
  <c r="AI73" i="191"/>
  <c r="AI72" i="191"/>
  <c r="J79" i="191"/>
  <c r="AH89" i="191"/>
  <c r="J90" i="191"/>
  <c r="O55" i="190"/>
  <c r="CE50" i="191"/>
  <c r="CE54" i="191" s="1"/>
  <c r="Z50" i="191"/>
  <c r="Z3" i="191"/>
  <c r="AF3" i="191" s="1"/>
  <c r="CL8" i="191"/>
  <c r="BY30" i="191"/>
  <c r="BY32" i="191"/>
  <c r="BX36" i="191"/>
  <c r="AG104" i="191"/>
  <c r="BY49" i="191"/>
  <c r="Q50" i="191"/>
  <c r="Q74" i="191" s="1"/>
  <c r="J65" i="191"/>
  <c r="AM95" i="191"/>
  <c r="W98" i="191"/>
  <c r="AV55" i="190"/>
  <c r="AG65" i="191"/>
  <c r="AG75" i="191"/>
  <c r="AG76" i="191"/>
  <c r="AU77" i="191"/>
  <c r="AG78" i="191"/>
  <c r="AG102" i="191"/>
  <c r="AG103" i="191"/>
  <c r="AS104" i="191"/>
  <c r="W66" i="191"/>
  <c r="AZ70" i="191"/>
  <c r="AH77" i="191"/>
  <c r="G83" i="191"/>
  <c r="AW55" i="190"/>
  <c r="AU66" i="191"/>
  <c r="R69" i="191"/>
  <c r="R72" i="191"/>
  <c r="AJ50" i="191"/>
  <c r="BH77" i="191"/>
  <c r="BY20" i="191"/>
  <c r="AU44" i="191"/>
  <c r="AM107" i="191"/>
  <c r="AM91" i="191"/>
  <c r="AM96" i="191"/>
  <c r="AM109" i="191"/>
  <c r="AM101" i="191"/>
  <c r="AM106" i="191"/>
  <c r="AM90" i="191"/>
  <c r="AM100" i="191"/>
  <c r="AM110" i="191"/>
  <c r="AM108" i="191"/>
  <c r="AM103" i="191"/>
  <c r="AM86" i="191"/>
  <c r="AM104" i="191"/>
  <c r="AM105" i="191"/>
  <c r="AM102" i="191"/>
  <c r="AM98" i="191"/>
  <c r="AM99" i="191"/>
  <c r="AM97" i="191"/>
  <c r="AM93" i="191"/>
  <c r="AM92" i="191"/>
  <c r="AM88" i="191"/>
  <c r="AM73" i="191"/>
  <c r="AM71" i="191"/>
  <c r="AM69" i="191"/>
  <c r="AM72" i="191"/>
  <c r="AM66" i="191"/>
  <c r="AM68" i="191"/>
  <c r="AM94" i="191"/>
  <c r="AM84" i="191"/>
  <c r="AM87" i="191"/>
  <c r="AM79" i="191"/>
  <c r="AM77" i="191"/>
  <c r="AM70" i="191"/>
  <c r="AM65" i="191"/>
  <c r="AM67" i="191"/>
  <c r="AM55" i="191"/>
  <c r="AM83" i="191"/>
  <c r="AM81" i="191"/>
  <c r="G72" i="191"/>
  <c r="AH76" i="191"/>
  <c r="BV79" i="191"/>
  <c r="J83" i="191"/>
  <c r="AM85" i="191"/>
  <c r="AM89" i="191"/>
  <c r="K105" i="191"/>
  <c r="K89" i="191"/>
  <c r="K94" i="191"/>
  <c r="K99" i="191"/>
  <c r="K104" i="191"/>
  <c r="K98" i="191"/>
  <c r="K110" i="191"/>
  <c r="K108" i="191"/>
  <c r="K103" i="191"/>
  <c r="K107" i="191"/>
  <c r="K102" i="191"/>
  <c r="K97" i="191"/>
  <c r="K92" i="191"/>
  <c r="K85" i="191"/>
  <c r="K83" i="191"/>
  <c r="K71" i="191"/>
  <c r="K106" i="191"/>
  <c r="K88" i="191"/>
  <c r="K81" i="191"/>
  <c r="K100" i="191"/>
  <c r="K78" i="191"/>
  <c r="K68" i="191"/>
  <c r="K96" i="191"/>
  <c r="K73" i="191"/>
  <c r="K65" i="191"/>
  <c r="K84" i="191"/>
  <c r="K67" i="191"/>
  <c r="K101" i="191"/>
  <c r="K79" i="191"/>
  <c r="K95" i="191"/>
  <c r="K74" i="191"/>
  <c r="K90" i="191"/>
  <c r="K66" i="191"/>
  <c r="K80" i="191"/>
  <c r="K75" i="191"/>
  <c r="K69" i="191"/>
  <c r="K93" i="191"/>
  <c r="K77" i="191"/>
  <c r="BH70" i="191"/>
  <c r="R71" i="191"/>
  <c r="S72" i="191"/>
  <c r="S1" i="191"/>
  <c r="R73" i="191"/>
  <c r="AU14" i="191"/>
  <c r="CL21" i="191"/>
  <c r="BY21" i="191" s="1"/>
  <c r="BY37" i="191"/>
  <c r="BY40" i="191"/>
  <c r="J72" i="191"/>
  <c r="AH94" i="191"/>
  <c r="G105" i="191"/>
  <c r="AH106" i="191"/>
  <c r="AG64" i="191"/>
  <c r="BH66" i="191"/>
  <c r="BU70" i="191"/>
  <c r="AG85" i="191"/>
  <c r="R98" i="191"/>
  <c r="R100" i="191"/>
  <c r="T110" i="191"/>
  <c r="T107" i="191"/>
  <c r="T91" i="191"/>
  <c r="T96" i="191"/>
  <c r="T95" i="191"/>
  <c r="T100" i="191"/>
  <c r="T99" i="191"/>
  <c r="T97" i="191"/>
  <c r="T93" i="191"/>
  <c r="T92" i="191"/>
  <c r="T94" i="191"/>
  <c r="T86" i="191"/>
  <c r="T106" i="191"/>
  <c r="T79" i="191"/>
  <c r="T105" i="191"/>
  <c r="T89" i="191"/>
  <c r="T78" i="191"/>
  <c r="T81" i="191"/>
  <c r="T83" i="191"/>
  <c r="T80" i="191"/>
  <c r="T66" i="191"/>
  <c r="T64" i="191"/>
  <c r="T104" i="191"/>
  <c r="T67" i="191"/>
  <c r="T75" i="191"/>
  <c r="T103" i="191"/>
  <c r="T71" i="191"/>
  <c r="T85" i="191"/>
  <c r="BU50" i="191"/>
  <c r="T65" i="191"/>
  <c r="AO69" i="191"/>
  <c r="AO84" i="191"/>
  <c r="F88" i="191"/>
  <c r="BY9" i="191"/>
  <c r="BI77" i="191"/>
  <c r="BX19" i="191"/>
  <c r="AU24" i="191"/>
  <c r="AU50" i="191" s="1"/>
  <c r="BY33" i="191"/>
  <c r="BY34" i="191"/>
  <c r="R97" i="191"/>
  <c r="R101" i="191"/>
  <c r="AK110" i="191"/>
  <c r="AK97" i="191"/>
  <c r="AK102" i="191"/>
  <c r="AK107" i="191"/>
  <c r="AK91" i="191"/>
  <c r="AK96" i="191"/>
  <c r="AK106" i="191"/>
  <c r="AK90" i="191"/>
  <c r="AK87" i="191"/>
  <c r="AK109" i="191"/>
  <c r="AK108" i="191"/>
  <c r="AK103" i="191"/>
  <c r="AK104" i="191"/>
  <c r="AK74" i="191"/>
  <c r="AK86" i="191"/>
  <c r="AK79" i="191"/>
  <c r="AK98" i="191"/>
  <c r="AK88" i="191"/>
  <c r="AK80" i="191"/>
  <c r="AK78" i="191"/>
  <c r="AK99" i="191"/>
  <c r="AK93" i="191"/>
  <c r="AK105" i="191"/>
  <c r="AK76" i="191"/>
  <c r="AK73" i="191"/>
  <c r="AK81" i="191"/>
  <c r="AK55" i="191"/>
  <c r="AK94" i="191"/>
  <c r="AK84" i="191"/>
  <c r="AK64" i="191"/>
  <c r="I66" i="191"/>
  <c r="T72" i="191"/>
  <c r="T73" i="191"/>
  <c r="T74" i="191"/>
  <c r="I75" i="191"/>
  <c r="BH50" i="191"/>
  <c r="BY14" i="191"/>
  <c r="BY16" i="191"/>
  <c r="AG98" i="191"/>
  <c r="V96" i="191"/>
  <c r="V101" i="191"/>
  <c r="V106" i="191"/>
  <c r="V90" i="191"/>
  <c r="V95" i="191"/>
  <c r="V105" i="191"/>
  <c r="V89" i="191"/>
  <c r="V86" i="191"/>
  <c r="V91" i="191"/>
  <c r="V104" i="191"/>
  <c r="V97" i="191"/>
  <c r="V73" i="191"/>
  <c r="V78" i="191"/>
  <c r="V75" i="191"/>
  <c r="V87" i="191"/>
  <c r="V85" i="191"/>
  <c r="V98" i="191"/>
  <c r="V69" i="191"/>
  <c r="V110" i="191"/>
  <c r="V79" i="191"/>
  <c r="V107" i="191"/>
  <c r="V64" i="191"/>
  <c r="V71" i="191"/>
  <c r="V100" i="191"/>
  <c r="V92" i="191"/>
  <c r="V72" i="191"/>
  <c r="V65" i="191"/>
  <c r="V108" i="191"/>
  <c r="V94" i="191"/>
  <c r="V88" i="191"/>
  <c r="AL102" i="191"/>
  <c r="AL107" i="191"/>
  <c r="AL91" i="191"/>
  <c r="AL96" i="191"/>
  <c r="AL109" i="191"/>
  <c r="AL101" i="191"/>
  <c r="AL95" i="191"/>
  <c r="AL108" i="191"/>
  <c r="AL103" i="191"/>
  <c r="AL86" i="191"/>
  <c r="AL104" i="191"/>
  <c r="AL106" i="191"/>
  <c r="AL105" i="191"/>
  <c r="AL98" i="191"/>
  <c r="AL79" i="191"/>
  <c r="AL88" i="191"/>
  <c r="AL100" i="191"/>
  <c r="AL78" i="191"/>
  <c r="AL75" i="191"/>
  <c r="AL74" i="191"/>
  <c r="AL65" i="191"/>
  <c r="AL64" i="191"/>
  <c r="AL66" i="191"/>
  <c r="AL81" i="191"/>
  <c r="AL55" i="191"/>
  <c r="AL99" i="191"/>
  <c r="AL69" i="191"/>
  <c r="AL68" i="191"/>
  <c r="AL87" i="191"/>
  <c r="AL77" i="191"/>
  <c r="AL70" i="191"/>
  <c r="AL89" i="191"/>
  <c r="BX50" i="191"/>
  <c r="T68" i="191"/>
  <c r="AK83" i="191"/>
  <c r="AG86" i="191"/>
  <c r="S87" i="191"/>
  <c r="U101" i="191"/>
  <c r="F96" i="191"/>
  <c r="F101" i="191"/>
  <c r="F106" i="191"/>
  <c r="F90" i="191"/>
  <c r="F95" i="191"/>
  <c r="F105" i="191"/>
  <c r="F89" i="191"/>
  <c r="F86" i="191"/>
  <c r="F73" i="191"/>
  <c r="F91" i="191"/>
  <c r="F87" i="191"/>
  <c r="F78" i="191"/>
  <c r="F100" i="191"/>
  <c r="F99" i="191"/>
  <c r="F98" i="191"/>
  <c r="F84" i="191"/>
  <c r="F93" i="191"/>
  <c r="F85" i="191"/>
  <c r="F81" i="191"/>
  <c r="F79" i="191"/>
  <c r="F72" i="191"/>
  <c r="F110" i="191"/>
  <c r="F94" i="191"/>
  <c r="F75" i="191"/>
  <c r="F76" i="191"/>
  <c r="F65" i="191"/>
  <c r="F104" i="191"/>
  <c r="F97" i="191"/>
  <c r="F68" i="191"/>
  <c r="F67" i="191"/>
  <c r="F103" i="191"/>
  <c r="F92" i="191"/>
  <c r="F77" i="191"/>
  <c r="F74" i="191"/>
  <c r="AW70" i="191"/>
  <c r="AW77" i="191"/>
  <c r="AW66" i="191"/>
  <c r="AK67" i="191"/>
  <c r="V68" i="191"/>
  <c r="T76" i="191"/>
  <c r="T77" i="191"/>
  <c r="AK92" i="191"/>
  <c r="BR96" i="191"/>
  <c r="AG101" i="191"/>
  <c r="T102" i="191"/>
  <c r="AO109" i="191"/>
  <c r="AO101" i="191"/>
  <c r="AO106" i="191"/>
  <c r="AO90" i="191"/>
  <c r="AO95" i="191"/>
  <c r="AO100" i="191"/>
  <c r="AO94" i="191"/>
  <c r="AO104" i="191"/>
  <c r="AO107" i="191"/>
  <c r="AO102" i="191"/>
  <c r="AO98" i="191"/>
  <c r="AO105" i="191"/>
  <c r="AO99" i="191"/>
  <c r="AO97" i="191"/>
  <c r="AO93" i="191"/>
  <c r="AO92" i="191"/>
  <c r="AO86" i="191"/>
  <c r="AO78" i="191"/>
  <c r="AO77" i="191"/>
  <c r="AO81" i="191"/>
  <c r="AO79" i="191"/>
  <c r="AO110" i="191"/>
  <c r="AO70" i="191"/>
  <c r="AO55" i="191"/>
  <c r="AO87" i="191"/>
  <c r="AO67" i="191"/>
  <c r="AO66" i="191"/>
  <c r="AO64" i="191"/>
  <c r="AO88" i="191"/>
  <c r="AO96" i="191"/>
  <c r="AO74" i="191"/>
  <c r="AO83" i="191"/>
  <c r="AO80" i="191"/>
  <c r="AO71" i="191"/>
  <c r="F64" i="191"/>
  <c r="AL67" i="191"/>
  <c r="V76" i="191"/>
  <c r="AO91" i="191"/>
  <c r="AL92" i="191"/>
  <c r="BM79" i="191"/>
  <c r="AG89" i="191"/>
  <c r="S90" i="191"/>
  <c r="BU96" i="191"/>
  <c r="R104" i="191"/>
  <c r="I95" i="191"/>
  <c r="I100" i="191"/>
  <c r="I105" i="191"/>
  <c r="I89" i="191"/>
  <c r="I94" i="191"/>
  <c r="I104" i="191"/>
  <c r="I85" i="191"/>
  <c r="I110" i="191"/>
  <c r="I108" i="191"/>
  <c r="I103" i="191"/>
  <c r="I98" i="191"/>
  <c r="I84" i="191"/>
  <c r="I72" i="191"/>
  <c r="I101" i="191"/>
  <c r="I99" i="191"/>
  <c r="I77" i="191"/>
  <c r="I69" i="191"/>
  <c r="I97" i="191"/>
  <c r="I83" i="191"/>
  <c r="I86" i="191"/>
  <c r="I67" i="191"/>
  <c r="I106" i="191"/>
  <c r="I92" i="191"/>
  <c r="I93" i="191"/>
  <c r="I80" i="191"/>
  <c r="I81" i="191"/>
  <c r="I87" i="191"/>
  <c r="I73" i="191"/>
  <c r="I68" i="191"/>
  <c r="I79" i="191"/>
  <c r="I74" i="191"/>
  <c r="AP106" i="191"/>
  <c r="AP90" i="191"/>
  <c r="AP95" i="191"/>
  <c r="AP100" i="191"/>
  <c r="AP105" i="191"/>
  <c r="AP89" i="191"/>
  <c r="AP99" i="191"/>
  <c r="AP109" i="191"/>
  <c r="AP107" i="191"/>
  <c r="AP102" i="191"/>
  <c r="AP98" i="191"/>
  <c r="AP97" i="191"/>
  <c r="AP93" i="191"/>
  <c r="AP92" i="191"/>
  <c r="AP85" i="191"/>
  <c r="AP94" i="191"/>
  <c r="AP101" i="191"/>
  <c r="AP96" i="191"/>
  <c r="AP91" i="191"/>
  <c r="AP72" i="191"/>
  <c r="AP84" i="191"/>
  <c r="AP103" i="191"/>
  <c r="AP110" i="191"/>
  <c r="AP87" i="191"/>
  <c r="AP81" i="191"/>
  <c r="AP67" i="191"/>
  <c r="AP83" i="191"/>
  <c r="AP80" i="191"/>
  <c r="AP73" i="191"/>
  <c r="AP77" i="191"/>
  <c r="AP76" i="191"/>
  <c r="AP88" i="191"/>
  <c r="AP79" i="191"/>
  <c r="AP108" i="191"/>
  <c r="AP65" i="191"/>
  <c r="V66" i="191"/>
  <c r="AK71" i="191"/>
  <c r="V77" i="191"/>
  <c r="AL80" i="191"/>
  <c r="AP86" i="191"/>
  <c r="T88" i="191"/>
  <c r="AL93" i="191"/>
  <c r="F108" i="191"/>
  <c r="AG88" i="191"/>
  <c r="R90" i="191"/>
  <c r="BO96" i="191"/>
  <c r="R99" i="191"/>
  <c r="AG109" i="191"/>
  <c r="X106" i="191"/>
  <c r="X90" i="191"/>
  <c r="X95" i="191"/>
  <c r="X100" i="191"/>
  <c r="X105" i="191"/>
  <c r="X89" i="191"/>
  <c r="X99" i="191"/>
  <c r="X85" i="191"/>
  <c r="X103" i="191"/>
  <c r="X72" i="191"/>
  <c r="X94" i="191"/>
  <c r="X92" i="191"/>
  <c r="X108" i="191"/>
  <c r="X97" i="191"/>
  <c r="X91" i="191"/>
  <c r="X110" i="191"/>
  <c r="X102" i="191"/>
  <c r="X88" i="191"/>
  <c r="X86" i="191"/>
  <c r="X71" i="191"/>
  <c r="AN96" i="191"/>
  <c r="AN109" i="191"/>
  <c r="AN101" i="191"/>
  <c r="AN106" i="191"/>
  <c r="AN90" i="191"/>
  <c r="AN95" i="191"/>
  <c r="AN105" i="191"/>
  <c r="AN89" i="191"/>
  <c r="AN103" i="191"/>
  <c r="AN86" i="191"/>
  <c r="AN104" i="191"/>
  <c r="AN107" i="191"/>
  <c r="AN102" i="191"/>
  <c r="AN98" i="191"/>
  <c r="AN99" i="191"/>
  <c r="AN97" i="191"/>
  <c r="AN93" i="191"/>
  <c r="AN92" i="191"/>
  <c r="AN100" i="191"/>
  <c r="AN94" i="191"/>
  <c r="AN73" i="191"/>
  <c r="AN78" i="191"/>
  <c r="AN83" i="191"/>
  <c r="AN77" i="191"/>
  <c r="AN81" i="191"/>
  <c r="AN70" i="191"/>
  <c r="AN85" i="191"/>
  <c r="AN72" i="191"/>
  <c r="AN75" i="191"/>
  <c r="X81" i="191"/>
  <c r="AB87" i="191"/>
  <c r="AA96" i="191"/>
  <c r="AN110" i="191"/>
  <c r="AG100" i="191"/>
  <c r="S101" i="191"/>
  <c r="AA105" i="191"/>
  <c r="AA89" i="191"/>
  <c r="AA94" i="191"/>
  <c r="AA99" i="191"/>
  <c r="AA104" i="191"/>
  <c r="AA98" i="191"/>
  <c r="AA90" i="191"/>
  <c r="AA93" i="191"/>
  <c r="AA92" i="191"/>
  <c r="AA83" i="191"/>
  <c r="AA71" i="191"/>
  <c r="AA102" i="191"/>
  <c r="AA95" i="191"/>
  <c r="AA85" i="191"/>
  <c r="AA81" i="191"/>
  <c r="AA108" i="191"/>
  <c r="AA106" i="191"/>
  <c r="AA77" i="191"/>
  <c r="AA84" i="191"/>
  <c r="AA80" i="191"/>
  <c r="AA76" i="191"/>
  <c r="AA78" i="191"/>
  <c r="AA75" i="191"/>
  <c r="AA72" i="191"/>
  <c r="AQ95" i="191"/>
  <c r="AQ100" i="191"/>
  <c r="AQ105" i="191"/>
  <c r="AQ89" i="191"/>
  <c r="AQ94" i="191"/>
  <c r="AQ104" i="191"/>
  <c r="AQ97" i="191"/>
  <c r="AQ93" i="191"/>
  <c r="AQ92" i="191"/>
  <c r="AQ85" i="191"/>
  <c r="AQ99" i="191"/>
  <c r="AQ106" i="191"/>
  <c r="AQ101" i="191"/>
  <c r="AQ96" i="191"/>
  <c r="AQ72" i="191"/>
  <c r="AQ77" i="191"/>
  <c r="AQ69" i="191"/>
  <c r="AQ107" i="191"/>
  <c r="AQ83" i="191"/>
  <c r="AQ75" i="191"/>
  <c r="AQ102" i="191"/>
  <c r="AQ109" i="191"/>
  <c r="AQ80" i="191"/>
  <c r="AQ73" i="191"/>
  <c r="AQ84" i="191"/>
  <c r="AQ103" i="191"/>
  <c r="AQ108" i="191"/>
  <c r="AQ78" i="191"/>
  <c r="AX70" i="191"/>
  <c r="AX66" i="191"/>
  <c r="AA67" i="191"/>
  <c r="AN74" i="191"/>
  <c r="X76" i="191"/>
  <c r="X78" i="191"/>
  <c r="AQ91" i="191"/>
  <c r="N100" i="191"/>
  <c r="BU79" i="191"/>
  <c r="R81" i="191"/>
  <c r="R84" i="191"/>
  <c r="AG91" i="191"/>
  <c r="R93" i="191"/>
  <c r="T101" i="191"/>
  <c r="BY46" i="191"/>
  <c r="L94" i="191"/>
  <c r="L99" i="191"/>
  <c r="L104" i="191"/>
  <c r="L93" i="191"/>
  <c r="L103" i="191"/>
  <c r="L84" i="191"/>
  <c r="L107" i="191"/>
  <c r="L102" i="191"/>
  <c r="L98" i="191"/>
  <c r="L97" i="191"/>
  <c r="L92" i="191"/>
  <c r="L85" i="191"/>
  <c r="L83" i="191"/>
  <c r="L71" i="191"/>
  <c r="L100" i="191"/>
  <c r="L76" i="191"/>
  <c r="L68" i="191"/>
  <c r="L90" i="191"/>
  <c r="L110" i="191"/>
  <c r="L105" i="191"/>
  <c r="L73" i="191"/>
  <c r="L66" i="191"/>
  <c r="L106" i="191"/>
  <c r="L96" i="191"/>
  <c r="L87" i="191"/>
  <c r="L74" i="191"/>
  <c r="L88" i="191"/>
  <c r="L79" i="191"/>
  <c r="AB94" i="191"/>
  <c r="AB99" i="191"/>
  <c r="AB104" i="191"/>
  <c r="AB93" i="191"/>
  <c r="AB103" i="191"/>
  <c r="AB89" i="191"/>
  <c r="AB84" i="191"/>
  <c r="AB110" i="191"/>
  <c r="AB108" i="191"/>
  <c r="AB88" i="191"/>
  <c r="AB83" i="191"/>
  <c r="AB71" i="191"/>
  <c r="AB76" i="191"/>
  <c r="AB68" i="191"/>
  <c r="AB100" i="191"/>
  <c r="AB66" i="191"/>
  <c r="AB101" i="191"/>
  <c r="AB98" i="191"/>
  <c r="AB74" i="191"/>
  <c r="AB95" i="191"/>
  <c r="AB75" i="191"/>
  <c r="AB72" i="191"/>
  <c r="AB77" i="191"/>
  <c r="AB107" i="191"/>
  <c r="AB97" i="191"/>
  <c r="AB65" i="191"/>
  <c r="AR100" i="191"/>
  <c r="AR105" i="191"/>
  <c r="AR89" i="191"/>
  <c r="AR94" i="191"/>
  <c r="AR99" i="191"/>
  <c r="AR93" i="191"/>
  <c r="AR106" i="191"/>
  <c r="AR101" i="191"/>
  <c r="AR96" i="191"/>
  <c r="AR91" i="191"/>
  <c r="AR77" i="191"/>
  <c r="AR69" i="191"/>
  <c r="AR84" i="191"/>
  <c r="AR109" i="191"/>
  <c r="AR98" i="191"/>
  <c r="AR90" i="191"/>
  <c r="AR87" i="191"/>
  <c r="AR76" i="191"/>
  <c r="AR92" i="191"/>
  <c r="AR110" i="191"/>
  <c r="AR104" i="191"/>
  <c r="AR83" i="191"/>
  <c r="AR107" i="191"/>
  <c r="AR103" i="191"/>
  <c r="AR88" i="191"/>
  <c r="AR75" i="191"/>
  <c r="AR68" i="191"/>
  <c r="AQ65" i="191"/>
  <c r="AB67" i="191"/>
  <c r="AR108" i="191"/>
  <c r="AG93" i="191"/>
  <c r="R95" i="191"/>
  <c r="AF41" i="191"/>
  <c r="R102" i="191"/>
  <c r="N104" i="191"/>
  <c r="N93" i="191"/>
  <c r="N98" i="191"/>
  <c r="N103" i="191"/>
  <c r="N97" i="191"/>
  <c r="N107" i="191"/>
  <c r="N102" i="191"/>
  <c r="N92" i="191"/>
  <c r="N88" i="191"/>
  <c r="N106" i="191"/>
  <c r="N101" i="191"/>
  <c r="N96" i="191"/>
  <c r="N91" i="191"/>
  <c r="N99" i="191"/>
  <c r="N81" i="191"/>
  <c r="N90" i="191"/>
  <c r="N86" i="191"/>
  <c r="N80" i="191"/>
  <c r="N68" i="191"/>
  <c r="N83" i="191"/>
  <c r="N71" i="191"/>
  <c r="N108" i="191"/>
  <c r="N110" i="191"/>
  <c r="N69" i="191"/>
  <c r="N67" i="191"/>
  <c r="AN64" i="191"/>
  <c r="X65" i="191"/>
  <c r="AN66" i="191"/>
  <c r="L69" i="191"/>
  <c r="AQ70" i="191"/>
  <c r="AQ74" i="191"/>
  <c r="AQ87" i="191"/>
  <c r="AB90" i="191"/>
  <c r="AB92" i="191"/>
  <c r="N95" i="191"/>
  <c r="AQ79" i="191"/>
  <c r="X80" i="191"/>
  <c r="X83" i="191"/>
  <c r="AN84" i="191"/>
  <c r="L101" i="191"/>
  <c r="AA103" i="191"/>
  <c r="AW5" i="93"/>
  <c r="AV5" i="93"/>
  <c r="AU5" i="93"/>
  <c r="AT5" i="93"/>
  <c r="BJ5" i="93"/>
  <c r="BI5" i="93"/>
  <c r="BH5" i="93"/>
  <c r="BK5" i="93"/>
  <c r="BL108" i="93"/>
  <c r="BL107" i="93"/>
  <c r="BL106" i="93"/>
  <c r="BK105" i="93"/>
  <c r="BK106" i="93" s="1"/>
  <c r="BK104" i="93"/>
  <c r="AZ21" i="189" l="1"/>
  <c r="AZ29" i="189" s="1"/>
  <c r="AZ30" i="189" s="1"/>
  <c r="AZ55" i="189"/>
  <c r="AZ52" i="189" s="1"/>
  <c r="Q47" i="189"/>
  <c r="F7" i="86"/>
  <c r="AD65" i="190"/>
  <c r="AD49" i="189"/>
  <c r="BU44" i="189" a="1"/>
  <c r="AN29" i="189"/>
  <c r="AN30" i="189" s="1"/>
  <c r="AZ63" i="189"/>
  <c r="AZ40" i="189"/>
  <c r="AO40" i="189"/>
  <c r="AO63" i="189"/>
  <c r="AD15" i="189"/>
  <c r="AK40" i="189"/>
  <c r="P29" i="189"/>
  <c r="P30" i="189" s="1"/>
  <c r="AP63" i="189"/>
  <c r="AP40" i="189"/>
  <c r="BE56" i="189"/>
  <c r="AD71" i="190"/>
  <c r="BE54" i="189"/>
  <c r="E11" i="86"/>
  <c r="AD48" i="189"/>
  <c r="F13" i="86"/>
  <c r="AM40" i="189"/>
  <c r="V40" i="189"/>
  <c r="V63" i="189"/>
  <c r="AH40" i="189"/>
  <c r="AH29" i="189"/>
  <c r="AH30" i="189" s="1"/>
  <c r="AD59" i="189"/>
  <c r="Y29" i="189"/>
  <c r="Y30" i="189" s="1"/>
  <c r="V9" i="189"/>
  <c r="V29" i="189" s="1"/>
  <c r="V30" i="189" s="1"/>
  <c r="G40" i="189"/>
  <c r="G63" i="189"/>
  <c r="AS29" i="189"/>
  <c r="AS30" i="189" s="1"/>
  <c r="Q58" i="189"/>
  <c r="T63" i="189"/>
  <c r="U63" i="189"/>
  <c r="U40" i="189"/>
  <c r="BE12" i="189"/>
  <c r="AQ62" i="189"/>
  <c r="E12" i="86"/>
  <c r="H63" i="189"/>
  <c r="H40" i="189"/>
  <c r="AD67" i="190"/>
  <c r="AI42" i="190"/>
  <c r="AA38" i="190"/>
  <c r="AV39" i="190"/>
  <c r="X52" i="189"/>
  <c r="BB47" i="190"/>
  <c r="AP50" i="190"/>
  <c r="Y51" i="190"/>
  <c r="AN53" i="190"/>
  <c r="I55" i="190"/>
  <c r="Z55" i="190"/>
  <c r="V37" i="190"/>
  <c r="AL37" i="190"/>
  <c r="AL38" i="190"/>
  <c r="G53" i="190"/>
  <c r="AX47" i="190"/>
  <c r="Y53" i="190"/>
  <c r="Z43" i="190"/>
  <c r="L45" i="190"/>
  <c r="AN51" i="190"/>
  <c r="AN52" i="190"/>
  <c r="I53" i="190"/>
  <c r="Y37" i="190"/>
  <c r="AD76" i="190"/>
  <c r="I37" i="190"/>
  <c r="AL44" i="190"/>
  <c r="AV52" i="190"/>
  <c r="AN44" i="190"/>
  <c r="AG37" i="190"/>
  <c r="AN40" i="190"/>
  <c r="AX49" i="190"/>
  <c r="O80" i="191"/>
  <c r="AL51" i="190"/>
  <c r="BQ79" i="191"/>
  <c r="U108" i="191"/>
  <c r="AL49" i="190"/>
  <c r="CI55" i="191"/>
  <c r="P80" i="191"/>
  <c r="CB55" i="191"/>
  <c r="CD55" i="191"/>
  <c r="BY8" i="191"/>
  <c r="CE55" i="191"/>
  <c r="AH63" i="189"/>
  <c r="BB63" i="189"/>
  <c r="BB40" i="189"/>
  <c r="BE51" i="189"/>
  <c r="AD57" i="189"/>
  <c r="BC63" i="189"/>
  <c r="BC40" i="189"/>
  <c r="AG29" i="189"/>
  <c r="AG30" i="189" s="1"/>
  <c r="AJ29" i="189"/>
  <c r="AJ30" i="189" s="1"/>
  <c r="BD63" i="189"/>
  <c r="BD40" i="189"/>
  <c r="I21" i="189"/>
  <c r="F52" i="189"/>
  <c r="AK63" i="189"/>
  <c r="V52" i="189"/>
  <c r="AC25" i="190"/>
  <c r="BO28" i="190"/>
  <c r="BO27" i="190"/>
  <c r="BI63" i="189"/>
  <c r="Q54" i="189"/>
  <c r="BE57" i="189"/>
  <c r="L63" i="189"/>
  <c r="AC46" i="189"/>
  <c r="E14" i="86"/>
  <c r="AM52" i="189"/>
  <c r="BP52" i="189"/>
  <c r="AL27" i="190"/>
  <c r="AL28" i="190"/>
  <c r="AL41" i="190"/>
  <c r="AL55" i="190"/>
  <c r="BQ52" i="189"/>
  <c r="G52" i="189"/>
  <c r="BD52" i="189"/>
  <c r="BO29" i="189"/>
  <c r="BO30" i="189" s="1"/>
  <c r="AD50" i="189"/>
  <c r="H52" i="189"/>
  <c r="BG52" i="189"/>
  <c r="Y52" i="189"/>
  <c r="BH52" i="189"/>
  <c r="I52" i="189"/>
  <c r="BQ27" i="190"/>
  <c r="BQ28" i="190"/>
  <c r="AS41" i="190"/>
  <c r="AW42" i="190"/>
  <c r="AG92" i="191"/>
  <c r="AI43" i="190"/>
  <c r="AY98" i="191"/>
  <c r="AY103" i="191"/>
  <c r="AY108" i="191"/>
  <c r="AY92" i="191"/>
  <c r="AY97" i="191"/>
  <c r="AY107" i="191"/>
  <c r="AY91" i="191"/>
  <c r="AY90" i="191"/>
  <c r="AY88" i="191"/>
  <c r="AY89" i="191"/>
  <c r="AY85" i="191"/>
  <c r="AY75" i="191"/>
  <c r="AY67" i="191"/>
  <c r="AY100" i="191"/>
  <c r="AY80" i="191"/>
  <c r="AY73" i="191"/>
  <c r="AY109" i="191"/>
  <c r="AY105" i="191"/>
  <c r="AY99" i="191"/>
  <c r="AY86" i="191"/>
  <c r="AY84" i="191"/>
  <c r="AY76" i="191"/>
  <c r="AY106" i="191"/>
  <c r="AY78" i="191"/>
  <c r="AY72" i="191"/>
  <c r="AY94" i="191"/>
  <c r="AY102" i="191"/>
  <c r="AY71" i="191"/>
  <c r="AY83" i="191"/>
  <c r="AY101" i="191"/>
  <c r="AY93" i="191"/>
  <c r="AY64" i="191"/>
  <c r="AY87" i="191"/>
  <c r="AY74" i="191"/>
  <c r="AY68" i="191"/>
  <c r="AY96" i="191"/>
  <c r="AY95" i="191"/>
  <c r="AY65" i="191"/>
  <c r="AY79" i="191"/>
  <c r="AY81" i="191"/>
  <c r="AY104" i="191"/>
  <c r="AK46" i="190"/>
  <c r="AL47" i="190"/>
  <c r="I51" i="190"/>
  <c r="BR62" i="189"/>
  <c r="AO41" i="190"/>
  <c r="BF41" i="190"/>
  <c r="AL46" i="190"/>
  <c r="BC46" i="190"/>
  <c r="AP49" i="190"/>
  <c r="Z50" i="190"/>
  <c r="AA51" i="190"/>
  <c r="AN27" i="190"/>
  <c r="AN54" i="190"/>
  <c r="AN28" i="190"/>
  <c r="AN55" i="190"/>
  <c r="AO39" i="190"/>
  <c r="BF40" i="190"/>
  <c r="H41" i="190"/>
  <c r="Y41" i="190"/>
  <c r="J42" i="190"/>
  <c r="AY44" i="190"/>
  <c r="V47" i="190"/>
  <c r="H49" i="190"/>
  <c r="AA50" i="190"/>
  <c r="Z40" i="190"/>
  <c r="I41" i="190"/>
  <c r="AZ44" i="190"/>
  <c r="V46" i="190"/>
  <c r="AN46" i="190"/>
  <c r="BF46" i="190"/>
  <c r="F47" i="190"/>
  <c r="J41" i="190"/>
  <c r="BE62" i="189"/>
  <c r="BT62" i="189" s="1"/>
  <c r="AA40" i="190"/>
  <c r="AA41" i="190"/>
  <c r="AV42" i="190"/>
  <c r="AJ44" i="190"/>
  <c r="AV40" i="190"/>
  <c r="P38" i="190"/>
  <c r="AI38" i="190"/>
  <c r="AI37" i="190"/>
  <c r="AZ37" i="190"/>
  <c r="AJ38" i="190"/>
  <c r="BA38" i="190"/>
  <c r="T37" i="190"/>
  <c r="AJ37" i="190"/>
  <c r="AV44" i="190"/>
  <c r="AK47" i="190"/>
  <c r="AN49" i="190"/>
  <c r="H51" i="190"/>
  <c r="AL42" i="190"/>
  <c r="BF53" i="190"/>
  <c r="BZ55" i="191"/>
  <c r="AL52" i="190"/>
  <c r="AO53" i="190"/>
  <c r="AL50" i="190"/>
  <c r="AN37" i="190"/>
  <c r="AN38" i="190"/>
  <c r="AL39" i="190"/>
  <c r="L55" i="190"/>
  <c r="AL43" i="190"/>
  <c r="AW51" i="190"/>
  <c r="AL40" i="190"/>
  <c r="AV49" i="190"/>
  <c r="AN42" i="190"/>
  <c r="AN43" i="190"/>
  <c r="AW49" i="190"/>
  <c r="AN41" i="190"/>
  <c r="AH37" i="190"/>
  <c r="AN50" i="190"/>
  <c r="AN45" i="190"/>
  <c r="AN39" i="190"/>
  <c r="P78" i="190"/>
  <c r="AN47" i="190"/>
  <c r="AL53" i="190"/>
  <c r="CH55" i="191"/>
  <c r="AL54" i="190"/>
  <c r="AL45" i="190"/>
  <c r="F12" i="86"/>
  <c r="BK43" i="189"/>
  <c r="BK9" i="189"/>
  <c r="BK29" i="189" s="1"/>
  <c r="BK30" i="189" s="1"/>
  <c r="Z100" i="191"/>
  <c r="Z105" i="191"/>
  <c r="Z89" i="191"/>
  <c r="Z94" i="191"/>
  <c r="Z99" i="191"/>
  <c r="Z93" i="191"/>
  <c r="Z95" i="191"/>
  <c r="Z90" i="191"/>
  <c r="Z110" i="191"/>
  <c r="Z108" i="191"/>
  <c r="Z96" i="191"/>
  <c r="Z87" i="191"/>
  <c r="Z84" i="191"/>
  <c r="Z77" i="191"/>
  <c r="Z69" i="191"/>
  <c r="Z92" i="191"/>
  <c r="Z76" i="191"/>
  <c r="Z107" i="191"/>
  <c r="Z72" i="191"/>
  <c r="Z97" i="191"/>
  <c r="Z102" i="191"/>
  <c r="Z101" i="191"/>
  <c r="Z86" i="191"/>
  <c r="Z106" i="191"/>
  <c r="Z78" i="191"/>
  <c r="Z91" i="191"/>
  <c r="Z104" i="191"/>
  <c r="Z103" i="191"/>
  <c r="Z85" i="191"/>
  <c r="Z73" i="191"/>
  <c r="Z74" i="191"/>
  <c r="Z68" i="191"/>
  <c r="Z79" i="191"/>
  <c r="Z64" i="191"/>
  <c r="Z80" i="191"/>
  <c r="Z71" i="191"/>
  <c r="Z65" i="191"/>
  <c r="Z81" i="191"/>
  <c r="Z98" i="191"/>
  <c r="Z83" i="191"/>
  <c r="Z66" i="191"/>
  <c r="Z75" i="191"/>
  <c r="Z88" i="191"/>
  <c r="AF1" i="191"/>
  <c r="AF50" i="191"/>
  <c r="BY10" i="191"/>
  <c r="AB50" i="190"/>
  <c r="Q103" i="191"/>
  <c r="Q108" i="191"/>
  <c r="Q92" i="191"/>
  <c r="Q97" i="191"/>
  <c r="Q102" i="191"/>
  <c r="Q96" i="191"/>
  <c r="Q106" i="191"/>
  <c r="Q104" i="191"/>
  <c r="Q101" i="191"/>
  <c r="Q105" i="191"/>
  <c r="Q98" i="191"/>
  <c r="Q91" i="191"/>
  <c r="Q87" i="191"/>
  <c r="Q100" i="191"/>
  <c r="Q99" i="191"/>
  <c r="Q93" i="191"/>
  <c r="Q95" i="191"/>
  <c r="Q94" i="191"/>
  <c r="Q88" i="191"/>
  <c r="Q80" i="191"/>
  <c r="Q89" i="191"/>
  <c r="Q79" i="191"/>
  <c r="Q107" i="191"/>
  <c r="Q90" i="191"/>
  <c r="Q75" i="191"/>
  <c r="Q81" i="191"/>
  <c r="Q110" i="191"/>
  <c r="Q78" i="191"/>
  <c r="Q77" i="191"/>
  <c r="Q72" i="191"/>
  <c r="Q66" i="191"/>
  <c r="Q83" i="191"/>
  <c r="Q64" i="191"/>
  <c r="Q85" i="191"/>
  <c r="Q65" i="191"/>
  <c r="Q69" i="191"/>
  <c r="Q76" i="191"/>
  <c r="Q73" i="191"/>
  <c r="Q71" i="191"/>
  <c r="Q67" i="191"/>
  <c r="Q68" i="191"/>
  <c r="Q84" i="191"/>
  <c r="Q86" i="191"/>
  <c r="P98" i="191"/>
  <c r="P103" i="191"/>
  <c r="P108" i="191"/>
  <c r="P92" i="191"/>
  <c r="P97" i="191"/>
  <c r="P110" i="191"/>
  <c r="P107" i="191"/>
  <c r="P91" i="191"/>
  <c r="P88" i="191"/>
  <c r="P106" i="191"/>
  <c r="P104" i="191"/>
  <c r="P101" i="191"/>
  <c r="P96" i="191"/>
  <c r="P105" i="191"/>
  <c r="P100" i="191"/>
  <c r="P99" i="191"/>
  <c r="P93" i="191"/>
  <c r="P75" i="191"/>
  <c r="P78" i="191"/>
  <c r="P89" i="191"/>
  <c r="P95" i="191"/>
  <c r="P77" i="191"/>
  <c r="P74" i="191"/>
  <c r="P66" i="191"/>
  <c r="P90" i="191"/>
  <c r="P72" i="191"/>
  <c r="P94" i="191"/>
  <c r="P69" i="191"/>
  <c r="P79" i="191"/>
  <c r="P76" i="191"/>
  <c r="P64" i="191"/>
  <c r="P71" i="191"/>
  <c r="P73" i="191"/>
  <c r="P85" i="191"/>
  <c r="P81" i="191"/>
  <c r="P67" i="191"/>
  <c r="P87" i="191"/>
  <c r="P84" i="191"/>
  <c r="P83" i="191"/>
  <c r="P65" i="191"/>
  <c r="P102" i="191"/>
  <c r="P68" i="191"/>
  <c r="P86" i="191"/>
  <c r="AG67" i="191"/>
  <c r="AG50" i="191"/>
  <c r="AD64" i="190"/>
  <c r="AG28" i="190"/>
  <c r="AG27" i="190"/>
  <c r="AG54" i="190"/>
  <c r="AG44" i="190"/>
  <c r="AG42" i="190"/>
  <c r="AG38" i="190"/>
  <c r="AG45" i="190"/>
  <c r="AG41" i="190"/>
  <c r="AG53" i="190"/>
  <c r="AG39" i="190"/>
  <c r="AG40" i="190"/>
  <c r="M78" i="190"/>
  <c r="BI52" i="189"/>
  <c r="M55" i="190"/>
  <c r="M28" i="190"/>
  <c r="M42" i="190"/>
  <c r="M27" i="190"/>
  <c r="M54" i="190"/>
  <c r="M45" i="190"/>
  <c r="M53" i="190"/>
  <c r="M50" i="190"/>
  <c r="M47" i="190"/>
  <c r="M41" i="190"/>
  <c r="M38" i="190"/>
  <c r="M44" i="190"/>
  <c r="M39" i="190"/>
  <c r="M40" i="190"/>
  <c r="AD66" i="190"/>
  <c r="AJ108" i="191"/>
  <c r="AJ92" i="191"/>
  <c r="AJ110" i="191"/>
  <c r="AJ97" i="191"/>
  <c r="AJ102" i="191"/>
  <c r="AJ107" i="191"/>
  <c r="AJ91" i="191"/>
  <c r="AJ109" i="191"/>
  <c r="AJ101" i="191"/>
  <c r="AJ87" i="191"/>
  <c r="AJ103" i="191"/>
  <c r="AJ88" i="191"/>
  <c r="AJ76" i="191"/>
  <c r="AJ104" i="191"/>
  <c r="AJ96" i="191"/>
  <c r="AJ93" i="191"/>
  <c r="AJ86" i="191"/>
  <c r="AJ71" i="191"/>
  <c r="AJ105" i="191"/>
  <c r="AJ94" i="191"/>
  <c r="AJ84" i="191"/>
  <c r="AJ79" i="191"/>
  <c r="AJ69" i="191"/>
  <c r="AJ67" i="191"/>
  <c r="AJ73" i="191"/>
  <c r="AJ68" i="191"/>
  <c r="AJ66" i="191"/>
  <c r="AJ64" i="191"/>
  <c r="AJ72" i="191"/>
  <c r="AJ70" i="191"/>
  <c r="AJ80" i="191"/>
  <c r="AJ55" i="191"/>
  <c r="AJ83" i="191"/>
  <c r="AJ99" i="191"/>
  <c r="AJ98" i="191"/>
  <c r="AJ90" i="191"/>
  <c r="AJ81" i="191"/>
  <c r="AJ77" i="191"/>
  <c r="AJ89" i="191"/>
  <c r="AJ100" i="191"/>
  <c r="AJ85" i="191"/>
  <c r="AJ95" i="191"/>
  <c r="AJ78" i="191"/>
  <c r="AJ106" i="191"/>
  <c r="AJ65" i="191"/>
  <c r="AJ75" i="191"/>
  <c r="G78" i="190"/>
  <c r="AF108" i="191"/>
  <c r="AG52" i="190"/>
  <c r="CL50" i="191"/>
  <c r="CL54" i="191" s="1"/>
  <c r="CL55" i="191" s="1"/>
  <c r="BY4" i="191"/>
  <c r="BS27" i="190"/>
  <c r="BS28" i="190"/>
  <c r="BD37" i="190"/>
  <c r="BY50" i="191"/>
  <c r="AJ74" i="191"/>
  <c r="BD52" i="190"/>
  <c r="BD45" i="190"/>
  <c r="BI28" i="190"/>
  <c r="BI27" i="190"/>
  <c r="BB27" i="190"/>
  <c r="BB53" i="190"/>
  <c r="BB28" i="190"/>
  <c r="BB44" i="190"/>
  <c r="BB42" i="190"/>
  <c r="BB39" i="190"/>
  <c r="BB43" i="190"/>
  <c r="BB55" i="190"/>
  <c r="BB37" i="190"/>
  <c r="BB52" i="190"/>
  <c r="BB38" i="190"/>
  <c r="BB50" i="190"/>
  <c r="BB46" i="190"/>
  <c r="AY28" i="190"/>
  <c r="AY27" i="190"/>
  <c r="AY54" i="190"/>
  <c r="AY45" i="190"/>
  <c r="AY43" i="190"/>
  <c r="AY47" i="190"/>
  <c r="AY38" i="190"/>
  <c r="AY42" i="190"/>
  <c r="AY46" i="190"/>
  <c r="AY49" i="190"/>
  <c r="AY50" i="190"/>
  <c r="AY39" i="190"/>
  <c r="AJ63" i="189"/>
  <c r="AJ40" i="189"/>
  <c r="H106" i="191"/>
  <c r="H90" i="191"/>
  <c r="H95" i="191"/>
  <c r="H100" i="191"/>
  <c r="H105" i="191"/>
  <c r="H89" i="191"/>
  <c r="H99" i="191"/>
  <c r="H85" i="191"/>
  <c r="H110" i="191"/>
  <c r="H108" i="191"/>
  <c r="H103" i="191"/>
  <c r="H107" i="191"/>
  <c r="H98" i="191"/>
  <c r="H84" i="191"/>
  <c r="H72" i="191"/>
  <c r="H88" i="191"/>
  <c r="H87" i="191"/>
  <c r="H80" i="191"/>
  <c r="H86" i="191"/>
  <c r="H92" i="191"/>
  <c r="H104" i="191"/>
  <c r="H81" i="191"/>
  <c r="H91" i="191"/>
  <c r="H69" i="191"/>
  <c r="H79" i="191"/>
  <c r="H66" i="191"/>
  <c r="H93" i="191"/>
  <c r="H75" i="191"/>
  <c r="H78" i="191"/>
  <c r="H94" i="191"/>
  <c r="H71" i="191"/>
  <c r="H65" i="191"/>
  <c r="H97" i="191"/>
  <c r="H76" i="191"/>
  <c r="H102" i="191"/>
  <c r="H77" i="191"/>
  <c r="H74" i="191"/>
  <c r="H96" i="191"/>
  <c r="H64" i="191"/>
  <c r="H73" i="191"/>
  <c r="H101" i="191"/>
  <c r="H67" i="191"/>
  <c r="H68" i="191"/>
  <c r="H83" i="191"/>
  <c r="BD40" i="190"/>
  <c r="S78" i="190"/>
  <c r="P28" i="190"/>
  <c r="P27" i="190"/>
  <c r="P54" i="190"/>
  <c r="P39" i="190"/>
  <c r="P55" i="190"/>
  <c r="P42" i="190"/>
  <c r="P44" i="190"/>
  <c r="P40" i="190"/>
  <c r="P51" i="190"/>
  <c r="P46" i="190"/>
  <c r="P45" i="190"/>
  <c r="P49" i="190"/>
  <c r="P53" i="190"/>
  <c r="P37" i="190"/>
  <c r="W56" i="190"/>
  <c r="AD75" i="190"/>
  <c r="BD28" i="190"/>
  <c r="BD53" i="190"/>
  <c r="BD27" i="190"/>
  <c r="BD44" i="190"/>
  <c r="BD42" i="190"/>
  <c r="BD43" i="190"/>
  <c r="BD47" i="190"/>
  <c r="BD55" i="190"/>
  <c r="BD46" i="190"/>
  <c r="AG49" i="190"/>
  <c r="AY52" i="190"/>
  <c r="AF28" i="190"/>
  <c r="AR25" i="190"/>
  <c r="AF27" i="190"/>
  <c r="AF53" i="190"/>
  <c r="AF55" i="190"/>
  <c r="AF45" i="190"/>
  <c r="AF49" i="190"/>
  <c r="AF40" i="190"/>
  <c r="AF51" i="190"/>
  <c r="AF37" i="190"/>
  <c r="AF43" i="190"/>
  <c r="AF47" i="190"/>
  <c r="AF38" i="190"/>
  <c r="AF39" i="190"/>
  <c r="AB28" i="190"/>
  <c r="AB27" i="190"/>
  <c r="AB41" i="190"/>
  <c r="AB42" i="190"/>
  <c r="AB39" i="190"/>
  <c r="AB38" i="190"/>
  <c r="AB40" i="190"/>
  <c r="AB45" i="190"/>
  <c r="AB54" i="190"/>
  <c r="BY19" i="191"/>
  <c r="BY36" i="191"/>
  <c r="AB52" i="190"/>
  <c r="AF50" i="190"/>
  <c r="AX28" i="190"/>
  <c r="AX27" i="190"/>
  <c r="AX45" i="190"/>
  <c r="AX51" i="190"/>
  <c r="AX54" i="190"/>
  <c r="AX43" i="190"/>
  <c r="AX52" i="190"/>
  <c r="AX55" i="190"/>
  <c r="AX40" i="190"/>
  <c r="AX41" i="190"/>
  <c r="AX44" i="190"/>
  <c r="AX37" i="190"/>
  <c r="AX39" i="190"/>
  <c r="AX38" i="190"/>
  <c r="L78" i="190"/>
  <c r="I56" i="190"/>
  <c r="AF54" i="190"/>
  <c r="BW110" i="191"/>
  <c r="Q43" i="190"/>
  <c r="BD39" i="190"/>
  <c r="AB44" i="190"/>
  <c r="AH28" i="190"/>
  <c r="AH27" i="190"/>
  <c r="AH54" i="190"/>
  <c r="AH50" i="190"/>
  <c r="AH53" i="190"/>
  <c r="AH42" i="190"/>
  <c r="AH47" i="190"/>
  <c r="AH52" i="190"/>
  <c r="AH55" i="190"/>
  <c r="AH40" i="190"/>
  <c r="AH38" i="190"/>
  <c r="AH39" i="190"/>
  <c r="AH45" i="190"/>
  <c r="AH41" i="190"/>
  <c r="AH43" i="190"/>
  <c r="AB46" i="190"/>
  <c r="Q42" i="190"/>
  <c r="BB41" i="190"/>
  <c r="L27" i="190"/>
  <c r="L28" i="190"/>
  <c r="L51" i="190"/>
  <c r="L42" i="190"/>
  <c r="L39" i="190"/>
  <c r="L46" i="190"/>
  <c r="L43" i="190"/>
  <c r="L40" i="190"/>
  <c r="L54" i="190"/>
  <c r="L38" i="190"/>
  <c r="L44" i="190"/>
  <c r="L37" i="190"/>
  <c r="L41" i="190"/>
  <c r="AG46" i="190"/>
  <c r="AR43" i="190"/>
  <c r="M43" i="190"/>
  <c r="AF41" i="190"/>
  <c r="BB40" i="190"/>
  <c r="AB43" i="190"/>
  <c r="BD54" i="190"/>
  <c r="BD49" i="190"/>
  <c r="R28" i="190"/>
  <c r="R27" i="190"/>
  <c r="R54" i="190"/>
  <c r="R39" i="190"/>
  <c r="R52" i="190"/>
  <c r="R40" i="190"/>
  <c r="R55" i="190"/>
  <c r="R44" i="190"/>
  <c r="R50" i="190"/>
  <c r="R38" i="190"/>
  <c r="R47" i="190"/>
  <c r="R37" i="190"/>
  <c r="R43" i="190"/>
  <c r="AY53" i="190"/>
  <c r="AB51" i="190"/>
  <c r="AY41" i="190"/>
  <c r="BD51" i="190"/>
  <c r="AR41" i="190"/>
  <c r="AF44" i="190"/>
  <c r="BF30" i="189"/>
  <c r="AG55" i="190"/>
  <c r="AD63" i="190"/>
  <c r="BF52" i="189"/>
  <c r="AR44" i="190"/>
  <c r="AX42" i="190"/>
  <c r="AD73" i="190"/>
  <c r="R74" i="191"/>
  <c r="R50" i="191"/>
  <c r="M46" i="190"/>
  <c r="AG51" i="190"/>
  <c r="R41" i="190"/>
  <c r="BD50" i="190"/>
  <c r="AP52" i="189"/>
  <c r="AP60" i="189" s="1"/>
  <c r="Y95" i="191"/>
  <c r="Y100" i="191"/>
  <c r="Y105" i="191"/>
  <c r="Y89" i="191"/>
  <c r="Y94" i="191"/>
  <c r="Y104" i="191"/>
  <c r="Y85" i="191"/>
  <c r="Y90" i="191"/>
  <c r="Y72" i="191"/>
  <c r="Y110" i="191"/>
  <c r="Y108" i="191"/>
  <c r="Y96" i="191"/>
  <c r="Y93" i="191"/>
  <c r="Y87" i="191"/>
  <c r="Y84" i="191"/>
  <c r="Y77" i="191"/>
  <c r="Y69" i="191"/>
  <c r="Y83" i="191"/>
  <c r="Y81" i="191"/>
  <c r="Y79" i="191"/>
  <c r="Y107" i="191"/>
  <c r="Y98" i="191"/>
  <c r="Y92" i="191"/>
  <c r="Y88" i="191"/>
  <c r="Y73" i="191"/>
  <c r="Y106" i="191"/>
  <c r="Y76" i="191"/>
  <c r="Y103" i="191"/>
  <c r="Y74" i="191"/>
  <c r="Y65" i="191"/>
  <c r="Y78" i="191"/>
  <c r="Y102" i="191"/>
  <c r="Y68" i="191"/>
  <c r="Y91" i="191"/>
  <c r="Y86" i="191"/>
  <c r="Y80" i="191"/>
  <c r="Y71" i="191"/>
  <c r="Y66" i="191"/>
  <c r="Y64" i="191"/>
  <c r="Y99" i="191"/>
  <c r="Y97" i="191"/>
  <c r="Y101" i="191"/>
  <c r="Y75" i="191"/>
  <c r="Y67" i="191"/>
  <c r="M52" i="189"/>
  <c r="Z67" i="191"/>
  <c r="M51" i="190"/>
  <c r="AB53" i="190"/>
  <c r="AD70" i="190"/>
  <c r="AO52" i="189"/>
  <c r="BT10" i="189"/>
  <c r="AW9" i="189"/>
  <c r="AW29" i="189" s="1"/>
  <c r="AW30" i="189" s="1"/>
  <c r="AW41" i="189"/>
  <c r="S40" i="189"/>
  <c r="S63" i="189"/>
  <c r="AA9" i="189"/>
  <c r="AA29" i="189" s="1"/>
  <c r="AA30" i="189" s="1"/>
  <c r="AA41" i="189"/>
  <c r="BK28" i="190"/>
  <c r="BK27" i="190"/>
  <c r="N41" i="189"/>
  <c r="N9" i="189"/>
  <c r="N29" i="189" s="1"/>
  <c r="N30" i="189" s="1"/>
  <c r="BP93" i="191"/>
  <c r="BP98" i="191"/>
  <c r="BP103" i="191"/>
  <c r="BP108" i="191"/>
  <c r="BP92" i="191"/>
  <c r="BP102" i="191"/>
  <c r="BP105" i="191"/>
  <c r="BP100" i="191"/>
  <c r="BP95" i="191"/>
  <c r="BP90" i="191"/>
  <c r="BP104" i="191"/>
  <c r="BP99" i="191"/>
  <c r="BP94" i="191"/>
  <c r="BP91" i="191"/>
  <c r="BP75" i="191"/>
  <c r="BP67" i="191"/>
  <c r="BP101" i="191"/>
  <c r="BP88" i="191"/>
  <c r="BP65" i="191"/>
  <c r="BP109" i="191"/>
  <c r="BP87" i="191"/>
  <c r="BP83" i="191"/>
  <c r="BP81" i="191"/>
  <c r="BP107" i="191"/>
  <c r="BP76" i="191"/>
  <c r="BP74" i="191"/>
  <c r="BP97" i="191"/>
  <c r="BI55" i="191" a="1"/>
  <c r="BP71" i="191"/>
  <c r="BP96" i="191"/>
  <c r="BP106" i="191"/>
  <c r="BP80" i="191"/>
  <c r="BP64" i="191"/>
  <c r="BP73" i="191"/>
  <c r="BP85" i="191"/>
  <c r="BP68" i="191"/>
  <c r="BP86" i="191"/>
  <c r="BP89" i="191"/>
  <c r="BP72" i="191"/>
  <c r="BP84" i="191"/>
  <c r="BP78" i="191"/>
  <c r="R109" i="191"/>
  <c r="R89" i="191"/>
  <c r="R103" i="191"/>
  <c r="R65" i="191"/>
  <c r="R110" i="191" s="1"/>
  <c r="BN99" i="191"/>
  <c r="BN104" i="191"/>
  <c r="BN88" i="191"/>
  <c r="BN93" i="191"/>
  <c r="BN98" i="191"/>
  <c r="BN108" i="191"/>
  <c r="BN92" i="191"/>
  <c r="BN96" i="191"/>
  <c r="BN91" i="191"/>
  <c r="BN105" i="191"/>
  <c r="BN100" i="191"/>
  <c r="BN95" i="191"/>
  <c r="BN109" i="191"/>
  <c r="BN94" i="191"/>
  <c r="BN84" i="191"/>
  <c r="BN76" i="191"/>
  <c r="BN68" i="191"/>
  <c r="BN107" i="191"/>
  <c r="BN87" i="191"/>
  <c r="BN81" i="191"/>
  <c r="BN75" i="191"/>
  <c r="BN89" i="191"/>
  <c r="BN72" i="191"/>
  <c r="BN67" i="191"/>
  <c r="BN101" i="191"/>
  <c r="BN102" i="191"/>
  <c r="BN80" i="191"/>
  <c r="BN85" i="191"/>
  <c r="BN106" i="191"/>
  <c r="BN97" i="191"/>
  <c r="BN90" i="191"/>
  <c r="BN65" i="191"/>
  <c r="BN103" i="191"/>
  <c r="BN86" i="191"/>
  <c r="BN73" i="191"/>
  <c r="BN71" i="191"/>
  <c r="BN64" i="191"/>
  <c r="BN83" i="191"/>
  <c r="BN74" i="191"/>
  <c r="BN78" i="191"/>
  <c r="BM52" i="189"/>
  <c r="BK40" i="189"/>
  <c r="BK63" i="189"/>
  <c r="AD72" i="190"/>
  <c r="BU110" i="191"/>
  <c r="BV51" i="189" a="1"/>
  <c r="BT51" i="189"/>
  <c r="AE25" i="190"/>
  <c r="AE38" i="190" s="1"/>
  <c r="AE37" i="190"/>
  <c r="M43" i="189"/>
  <c r="Q12" i="189"/>
  <c r="Q43" i="189" s="1"/>
  <c r="BP63" i="189"/>
  <c r="BP40" i="189"/>
  <c r="BP60" i="189" s="1"/>
  <c r="BP79" i="189" s="1"/>
  <c r="AB63" i="189"/>
  <c r="AB40" i="189"/>
  <c r="AB52" i="189"/>
  <c r="AE52" i="189"/>
  <c r="BE53" i="189"/>
  <c r="BE21" i="189"/>
  <c r="BT48" i="189"/>
  <c r="BT42" i="189"/>
  <c r="AR42" i="190"/>
  <c r="AW40" i="190"/>
  <c r="M63" i="189"/>
  <c r="M40" i="189"/>
  <c r="M60" i="189" s="1"/>
  <c r="M83" i="189" s="1"/>
  <c r="AD61" i="190"/>
  <c r="AD25" i="190"/>
  <c r="AD52" i="190" s="1"/>
  <c r="BU59" i="189" a="1"/>
  <c r="Q39" i="190"/>
  <c r="S52" i="189"/>
  <c r="H60" i="189"/>
  <c r="N28" i="190"/>
  <c r="N55" i="190"/>
  <c r="N27" i="190"/>
  <c r="N51" i="190"/>
  <c r="N54" i="190"/>
  <c r="AE63" i="189"/>
  <c r="BN52" i="189"/>
  <c r="M81" i="189"/>
  <c r="Y40" i="189"/>
  <c r="Y60" i="189" s="1"/>
  <c r="Y63" i="189"/>
  <c r="K52" i="189"/>
  <c r="BU53" i="189" a="1"/>
  <c r="AW52" i="189"/>
  <c r="BG43" i="189"/>
  <c r="AE42" i="190"/>
  <c r="AU28" i="190"/>
  <c r="AU27" i="190"/>
  <c r="AU39" i="190"/>
  <c r="AU51" i="190"/>
  <c r="BL105" i="191"/>
  <c r="BL89" i="191"/>
  <c r="BL94" i="191"/>
  <c r="BL99" i="191"/>
  <c r="BL104" i="191"/>
  <c r="BL88" i="191"/>
  <c r="BL98" i="191"/>
  <c r="BL103" i="191"/>
  <c r="BL106" i="191"/>
  <c r="BL101" i="191"/>
  <c r="BL97" i="191"/>
  <c r="BL92" i="191"/>
  <c r="BL91" i="191"/>
  <c r="BL93" i="191"/>
  <c r="BL102" i="191"/>
  <c r="BL84" i="191"/>
  <c r="BL83" i="191"/>
  <c r="BL71" i="191"/>
  <c r="BL107" i="191"/>
  <c r="BL87" i="191"/>
  <c r="BL81" i="191"/>
  <c r="BL100" i="191"/>
  <c r="BL90" i="191"/>
  <c r="BL73" i="191"/>
  <c r="BL95" i="191"/>
  <c r="BL67" i="191"/>
  <c r="BL74" i="191"/>
  <c r="BL65" i="191"/>
  <c r="BL75" i="191"/>
  <c r="BL78" i="191"/>
  <c r="BL86" i="191"/>
  <c r="BL80" i="191"/>
  <c r="BL72" i="191"/>
  <c r="BL108" i="191"/>
  <c r="BL76" i="191"/>
  <c r="BX55" i="191"/>
  <c r="BL109" i="191"/>
  <c r="BL85" i="191"/>
  <c r="BL68" i="191"/>
  <c r="BL64" i="191"/>
  <c r="AW44" i="190"/>
  <c r="AF44" i="189"/>
  <c r="AR13" i="189"/>
  <c r="BU54" i="189" a="1"/>
  <c r="BV54" i="189" s="1" a="1"/>
  <c r="BT11" i="189"/>
  <c r="BJ42" i="189"/>
  <c r="E5" i="86" s="1"/>
  <c r="BJ9" i="189"/>
  <c r="BS11" i="189"/>
  <c r="AI40" i="189"/>
  <c r="AI63" i="189"/>
  <c r="AS27" i="190"/>
  <c r="AS55" i="190"/>
  <c r="AS28" i="190"/>
  <c r="BE25" i="190"/>
  <c r="AS51" i="190"/>
  <c r="N41" i="190"/>
  <c r="AS40" i="190"/>
  <c r="N78" i="190"/>
  <c r="I29" i="189"/>
  <c r="I30" i="189" s="1"/>
  <c r="BT47" i="189"/>
  <c r="BT54" i="189"/>
  <c r="BE39" i="190"/>
  <c r="AV52" i="189"/>
  <c r="BL77" i="191"/>
  <c r="BL69" i="191"/>
  <c r="BX56" i="191"/>
  <c r="BL66" i="191"/>
  <c r="BM40" i="189"/>
  <c r="BM60" i="189" s="1"/>
  <c r="BM75" i="189" s="1"/>
  <c r="BM63" i="189"/>
  <c r="AW38" i="190"/>
  <c r="AA27" i="190"/>
  <c r="AA28" i="190"/>
  <c r="AA52" i="190"/>
  <c r="AA46" i="190"/>
  <c r="AA49" i="190"/>
  <c r="T40" i="189"/>
  <c r="BE10" i="189"/>
  <c r="F63" i="189"/>
  <c r="F40" i="189"/>
  <c r="F60" i="189" s="1"/>
  <c r="BU47" i="189" a="1"/>
  <c r="BV47" i="189" s="1" a="1"/>
  <c r="L52" i="189"/>
  <c r="AL63" i="189"/>
  <c r="AL40" i="189"/>
  <c r="BT55" i="189"/>
  <c r="P63" i="189"/>
  <c r="P40" i="189"/>
  <c r="BL40" i="189"/>
  <c r="AE42" i="189"/>
  <c r="AR11" i="189"/>
  <c r="AE9" i="189"/>
  <c r="AE29" i="189" s="1"/>
  <c r="F8" i="86"/>
  <c r="U52" i="189"/>
  <c r="AS63" i="189"/>
  <c r="AS40" i="189"/>
  <c r="BB52" i="189"/>
  <c r="BT21" i="189"/>
  <c r="AV99" i="191"/>
  <c r="AV104" i="191"/>
  <c r="AV93" i="191"/>
  <c r="AV98" i="191"/>
  <c r="AV108" i="191"/>
  <c r="AV92" i="191"/>
  <c r="AV105" i="191"/>
  <c r="AV100" i="191"/>
  <c r="AV95" i="191"/>
  <c r="AV94" i="191"/>
  <c r="AV89" i="191"/>
  <c r="AV109" i="191"/>
  <c r="AV87" i="191"/>
  <c r="AV76" i="191"/>
  <c r="AV68" i="191"/>
  <c r="AV101" i="191"/>
  <c r="AV90" i="191"/>
  <c r="AV81" i="191"/>
  <c r="AV97" i="191"/>
  <c r="AV85" i="191"/>
  <c r="AV75" i="191"/>
  <c r="AV107" i="191"/>
  <c r="AV84" i="191"/>
  <c r="AV79" i="191"/>
  <c r="AV103" i="191"/>
  <c r="AV91" i="191"/>
  <c r="AV74" i="191"/>
  <c r="AV65" i="191"/>
  <c r="AV102" i="191"/>
  <c r="AV80" i="191"/>
  <c r="AV71" i="191"/>
  <c r="BH55" i="191"/>
  <c r="AV78" i="191"/>
  <c r="AV83" i="191"/>
  <c r="AV64" i="191"/>
  <c r="AV96" i="191"/>
  <c r="AV88" i="191"/>
  <c r="AV72" i="191"/>
  <c r="AV106" i="191"/>
  <c r="AV67" i="191"/>
  <c r="AV86" i="191"/>
  <c r="AV73" i="191"/>
  <c r="BF52" i="190"/>
  <c r="BS108" i="191"/>
  <c r="BS92" i="191"/>
  <c r="BS97" i="191"/>
  <c r="BS102" i="191"/>
  <c r="BS107" i="191"/>
  <c r="BS91" i="191"/>
  <c r="BS109" i="191"/>
  <c r="BS101" i="191"/>
  <c r="BS99" i="191"/>
  <c r="BS98" i="191"/>
  <c r="BS94" i="191"/>
  <c r="BS93" i="191"/>
  <c r="BS87" i="191"/>
  <c r="BS89" i="191"/>
  <c r="BS74" i="191"/>
  <c r="BS90" i="191"/>
  <c r="BS81" i="191"/>
  <c r="BS64" i="191"/>
  <c r="BS104" i="191"/>
  <c r="BS84" i="191"/>
  <c r="BS78" i="191"/>
  <c r="BS72" i="191"/>
  <c r="BS96" i="191"/>
  <c r="BS105" i="191"/>
  <c r="BS86" i="191"/>
  <c r="BS100" i="191"/>
  <c r="BS88" i="191"/>
  <c r="BS83" i="191"/>
  <c r="BS80" i="191"/>
  <c r="BS95" i="191"/>
  <c r="BS68" i="191"/>
  <c r="BS67" i="191"/>
  <c r="BS85" i="191"/>
  <c r="BS71" i="191"/>
  <c r="BS106" i="191"/>
  <c r="BS65" i="191"/>
  <c r="BS73" i="191"/>
  <c r="BS103" i="191"/>
  <c r="BS76" i="191"/>
  <c r="BS75" i="191"/>
  <c r="BL28" i="190"/>
  <c r="BL27" i="190"/>
  <c r="K63" i="189"/>
  <c r="K40" i="189"/>
  <c r="J78" i="190"/>
  <c r="BR103" i="191"/>
  <c r="BR108" i="191"/>
  <c r="BR92" i="191"/>
  <c r="BR97" i="191"/>
  <c r="BR102" i="191"/>
  <c r="BR104" i="191"/>
  <c r="BR99" i="191"/>
  <c r="BR98" i="191"/>
  <c r="BR94" i="191"/>
  <c r="BR93" i="191"/>
  <c r="BR87" i="191"/>
  <c r="BR88" i="191"/>
  <c r="BR85" i="191"/>
  <c r="BR80" i="191"/>
  <c r="BR101" i="191"/>
  <c r="BR109" i="191"/>
  <c r="BR78" i="191"/>
  <c r="BR90" i="191"/>
  <c r="BR84" i="191"/>
  <c r="BR72" i="191"/>
  <c r="BR107" i="191"/>
  <c r="BR75" i="191"/>
  <c r="BR95" i="191"/>
  <c r="BR81" i="191"/>
  <c r="BR71" i="191"/>
  <c r="BR100" i="191"/>
  <c r="BR86" i="191"/>
  <c r="BR106" i="191"/>
  <c r="BR105" i="191"/>
  <c r="BR83" i="191"/>
  <c r="BR68" i="191"/>
  <c r="BR67" i="191"/>
  <c r="BR74" i="191"/>
  <c r="BR76" i="191"/>
  <c r="BR73" i="191"/>
  <c r="BR89" i="191"/>
  <c r="BR65" i="191"/>
  <c r="BR64" i="191"/>
  <c r="BR91" i="191"/>
  <c r="BO52" i="189"/>
  <c r="Q13" i="189"/>
  <c r="Q44" i="189" s="1"/>
  <c r="AF52" i="189"/>
  <c r="AA52" i="189"/>
  <c r="BF28" i="190"/>
  <c r="BF27" i="190"/>
  <c r="BF43" i="190"/>
  <c r="X27" i="190"/>
  <c r="X28" i="190"/>
  <c r="X49" i="190"/>
  <c r="X52" i="190"/>
  <c r="X46" i="190"/>
  <c r="BA27" i="190"/>
  <c r="BA53" i="190"/>
  <c r="BA28" i="190"/>
  <c r="BA54" i="190"/>
  <c r="BA46" i="190"/>
  <c r="BP28" i="190"/>
  <c r="BP27" i="190"/>
  <c r="BA44" i="190"/>
  <c r="O9" i="189"/>
  <c r="O29" i="189" s="1"/>
  <c r="O30" i="189" s="1"/>
  <c r="O41" i="189"/>
  <c r="J28" i="190"/>
  <c r="J27" i="190"/>
  <c r="AC43" i="189"/>
  <c r="AD12" i="189"/>
  <c r="AD43" i="189" s="1"/>
  <c r="T52" i="189"/>
  <c r="AI52" i="189"/>
  <c r="Z38" i="190"/>
  <c r="L40" i="189"/>
  <c r="AG63" i="189"/>
  <c r="AG40" i="189"/>
  <c r="BH9" i="189"/>
  <c r="BH29" i="189" s="1"/>
  <c r="BH30" i="189" s="1"/>
  <c r="Z9" i="189"/>
  <c r="Z29" i="189" s="1"/>
  <c r="Z30" i="189" s="1"/>
  <c r="Q10" i="189"/>
  <c r="R67" i="191"/>
  <c r="AN63" i="189"/>
  <c r="AN40" i="189"/>
  <c r="X54" i="190"/>
  <c r="AU46" i="190"/>
  <c r="BA49" i="190"/>
  <c r="H39" i="190"/>
  <c r="BF51" i="190"/>
  <c r="H50" i="190"/>
  <c r="R78" i="190"/>
  <c r="BC39" i="190"/>
  <c r="AD77" i="190"/>
  <c r="AO28" i="190"/>
  <c r="AO27" i="190"/>
  <c r="AO40" i="190"/>
  <c r="X37" i="190"/>
  <c r="BC38" i="190"/>
  <c r="AK27" i="190"/>
  <c r="AK28" i="190"/>
  <c r="AK50" i="190"/>
  <c r="AK43" i="190"/>
  <c r="AK41" i="190"/>
  <c r="AK53" i="190"/>
  <c r="AZ110" i="191"/>
  <c r="BA37" i="190"/>
  <c r="BR27" i="190"/>
  <c r="BR28" i="190"/>
  <c r="AW104" i="191"/>
  <c r="AW93" i="191"/>
  <c r="AW98" i="191"/>
  <c r="AW103" i="191"/>
  <c r="AW97" i="191"/>
  <c r="AW100" i="191"/>
  <c r="AW99" i="191"/>
  <c r="AW95" i="191"/>
  <c r="AW94" i="191"/>
  <c r="AW90" i="191"/>
  <c r="AW88" i="191"/>
  <c r="AW101" i="191"/>
  <c r="AW81" i="191"/>
  <c r="AW80" i="191"/>
  <c r="AW109" i="191"/>
  <c r="AW105" i="191"/>
  <c r="AW85" i="191"/>
  <c r="AW74" i="191"/>
  <c r="AW91" i="191"/>
  <c r="AW108" i="191"/>
  <c r="AW106" i="191"/>
  <c r="AW71" i="191"/>
  <c r="AW96" i="191"/>
  <c r="AW89" i="191"/>
  <c r="AW86" i="191"/>
  <c r="AW67" i="191"/>
  <c r="AW83" i="191"/>
  <c r="AW87" i="191"/>
  <c r="AW102" i="191"/>
  <c r="AW64" i="191"/>
  <c r="AW84" i="191"/>
  <c r="AW75" i="191"/>
  <c r="AW68" i="191"/>
  <c r="AW107" i="191"/>
  <c r="AW78" i="191"/>
  <c r="AW72" i="191"/>
  <c r="AW65" i="191"/>
  <c r="AW79" i="191"/>
  <c r="AW76" i="191"/>
  <c r="AW73" i="191"/>
  <c r="AW92" i="191"/>
  <c r="AJ52" i="189"/>
  <c r="AT28" i="190"/>
  <c r="AT55" i="190"/>
  <c r="AT27" i="190"/>
  <c r="AU40" i="190"/>
  <c r="AL52" i="189"/>
  <c r="BS12" i="189"/>
  <c r="AX52" i="189"/>
  <c r="BH40" i="189"/>
  <c r="BH63" i="189"/>
  <c r="Z40" i="189"/>
  <c r="Z63" i="189"/>
  <c r="E63" i="189"/>
  <c r="E40" i="189"/>
  <c r="Q53" i="189"/>
  <c r="Q21" i="189"/>
  <c r="BA52" i="189"/>
  <c r="BO63" i="189"/>
  <c r="BO40" i="189"/>
  <c r="BO60" i="189" s="1"/>
  <c r="BO85" i="189" s="1"/>
  <c r="Q14" i="189"/>
  <c r="Q45" i="189" s="1"/>
  <c r="AW43" i="190"/>
  <c r="AV28" i="190"/>
  <c r="AV27" i="190"/>
  <c r="AV47" i="190"/>
  <c r="AV37" i="190"/>
  <c r="AV51" i="190"/>
  <c r="AS49" i="190"/>
  <c r="AO37" i="190"/>
  <c r="E52" i="190"/>
  <c r="G28" i="190"/>
  <c r="G27" i="190"/>
  <c r="G50" i="190"/>
  <c r="G44" i="190"/>
  <c r="G43" i="190"/>
  <c r="AK37" i="190"/>
  <c r="AJ27" i="190"/>
  <c r="AJ28" i="190"/>
  <c r="AJ55" i="190"/>
  <c r="AJ54" i="190"/>
  <c r="AJ50" i="190"/>
  <c r="AZ27" i="190"/>
  <c r="AZ54" i="190"/>
  <c r="AZ28" i="190"/>
  <c r="AZ46" i="190"/>
  <c r="BO79" i="189"/>
  <c r="BV107" i="191"/>
  <c r="BV91" i="191"/>
  <c r="BV96" i="191"/>
  <c r="BV109" i="191"/>
  <c r="BV101" i="191"/>
  <c r="BV106" i="191"/>
  <c r="BV90" i="191"/>
  <c r="BV100" i="191"/>
  <c r="BV88" i="191"/>
  <c r="BV86" i="191"/>
  <c r="BV73" i="191"/>
  <c r="BV103" i="191"/>
  <c r="BV104" i="191"/>
  <c r="BV102" i="191"/>
  <c r="BV98" i="191"/>
  <c r="BV64" i="191"/>
  <c r="BV68" i="191"/>
  <c r="BV65" i="191"/>
  <c r="BV105" i="191"/>
  <c r="BV97" i="191"/>
  <c r="BV71" i="191"/>
  <c r="BV92" i="191"/>
  <c r="BV83" i="191"/>
  <c r="BV78" i="191"/>
  <c r="BV67" i="191"/>
  <c r="BV95" i="191"/>
  <c r="BV108" i="191"/>
  <c r="BV81" i="191"/>
  <c r="BV94" i="191"/>
  <c r="BV93" i="191"/>
  <c r="BV85" i="191"/>
  <c r="BV74" i="191"/>
  <c r="BV89" i="191"/>
  <c r="BV72" i="191"/>
  <c r="BV99" i="191"/>
  <c r="BV80" i="191"/>
  <c r="BV84" i="191"/>
  <c r="BV76" i="191"/>
  <c r="BV75" i="191"/>
  <c r="BV87" i="191"/>
  <c r="AD10" i="189"/>
  <c r="O28" i="190"/>
  <c r="O27" i="190"/>
  <c r="O51" i="190"/>
  <c r="O42" i="190"/>
  <c r="N39" i="190"/>
  <c r="J38" i="190"/>
  <c r="BT97" i="191"/>
  <c r="BT102" i="191"/>
  <c r="BT107" i="191"/>
  <c r="BT91" i="191"/>
  <c r="BT96" i="191"/>
  <c r="BT106" i="191"/>
  <c r="BT90" i="191"/>
  <c r="BT94" i="191"/>
  <c r="BT93" i="191"/>
  <c r="BT87" i="191"/>
  <c r="BT89" i="191"/>
  <c r="BT88" i="191"/>
  <c r="BT101" i="191"/>
  <c r="BT92" i="191"/>
  <c r="BT74" i="191"/>
  <c r="BT103" i="191"/>
  <c r="BT76" i="191"/>
  <c r="BT100" i="191"/>
  <c r="BT98" i="191"/>
  <c r="BT84" i="191"/>
  <c r="BT105" i="191"/>
  <c r="BT71" i="191"/>
  <c r="BT104" i="191"/>
  <c r="BT86" i="191"/>
  <c r="BT75" i="191"/>
  <c r="BT108" i="191"/>
  <c r="BT72" i="191"/>
  <c r="BT80" i="191"/>
  <c r="BT95" i="191"/>
  <c r="BT64" i="191"/>
  <c r="BT83" i="191"/>
  <c r="BT81" i="191"/>
  <c r="BT109" i="191"/>
  <c r="BT68" i="191"/>
  <c r="BT67" i="191"/>
  <c r="BT85" i="191"/>
  <c r="BT99" i="191"/>
  <c r="BT73" i="191"/>
  <c r="BT65" i="191"/>
  <c r="BT78" i="191"/>
  <c r="BN63" i="189"/>
  <c r="BN40" i="189"/>
  <c r="S29" i="189"/>
  <c r="S30" i="189" s="1"/>
  <c r="BJ63" i="189"/>
  <c r="W40" i="189"/>
  <c r="W60" i="189" s="1"/>
  <c r="W63" i="189"/>
  <c r="AD54" i="189"/>
  <c r="AD69" i="190"/>
  <c r="BH28" i="190"/>
  <c r="BH27" i="190"/>
  <c r="U27" i="190"/>
  <c r="U47" i="190"/>
  <c r="U28" i="190"/>
  <c r="AD74" i="190"/>
  <c r="R40" i="189"/>
  <c r="R63" i="189"/>
  <c r="O78" i="190"/>
  <c r="K78" i="190"/>
  <c r="AS38" i="190"/>
  <c r="AG52" i="189"/>
  <c r="AD13" i="189"/>
  <c r="AD44" i="189" s="1"/>
  <c r="F14" i="86"/>
  <c r="AH52" i="189"/>
  <c r="AT40" i="190"/>
  <c r="J52" i="189"/>
  <c r="BO75" i="189"/>
  <c r="AT52" i="189"/>
  <c r="AS52" i="189"/>
  <c r="J9" i="189"/>
  <c r="J29" i="189" s="1"/>
  <c r="J30" i="189" s="1"/>
  <c r="AX63" i="189"/>
  <c r="BL96" i="191"/>
  <c r="BA45" i="190"/>
  <c r="AS53" i="190"/>
  <c r="X44" i="190"/>
  <c r="G39" i="190"/>
  <c r="AO46" i="190"/>
  <c r="AP52" i="190"/>
  <c r="AW45" i="190"/>
  <c r="AV45" i="190"/>
  <c r="Y27" i="190"/>
  <c r="Y28" i="190"/>
  <c r="Y52" i="190"/>
  <c r="Y38" i="190"/>
  <c r="Y46" i="190"/>
  <c r="BA41" i="190"/>
  <c r="X53" i="190"/>
  <c r="U37" i="190"/>
  <c r="T27" i="190"/>
  <c r="T28" i="190"/>
  <c r="AX110" i="191"/>
  <c r="AA42" i="190"/>
  <c r="AU43" i="190"/>
  <c r="Y50" i="190"/>
  <c r="Y55" i="190"/>
  <c r="M9" i="189"/>
  <c r="M29" i="189" s="1"/>
  <c r="M30" i="189" s="1"/>
  <c r="BU56" i="189" a="1"/>
  <c r="BV56" i="189" s="1" a="1"/>
  <c r="R52" i="189"/>
  <c r="K28" i="190"/>
  <c r="K42" i="190"/>
  <c r="K43" i="190"/>
  <c r="K27" i="190"/>
  <c r="K54" i="190"/>
  <c r="AX43" i="189"/>
  <c r="AX40" i="189" s="1"/>
  <c r="AX60" i="189" s="1"/>
  <c r="AX9" i="189"/>
  <c r="AX29" i="189" s="1"/>
  <c r="AX30" i="189" s="1"/>
  <c r="O40" i="190"/>
  <c r="AU41" i="189"/>
  <c r="AU9" i="189"/>
  <c r="AU29" i="189" s="1"/>
  <c r="AU30" i="189" s="1"/>
  <c r="BL46" i="189"/>
  <c r="BS15" i="189"/>
  <c r="BC52" i="189"/>
  <c r="P52" i="189"/>
  <c r="AY52" i="189"/>
  <c r="Q11" i="189"/>
  <c r="Q42" i="189" s="1"/>
  <c r="J63" i="189"/>
  <c r="J40" i="189"/>
  <c r="J60" i="189" s="1"/>
  <c r="J88" i="189" s="1"/>
  <c r="BQ40" i="189"/>
  <c r="AU38" i="190"/>
  <c r="AU50" i="190"/>
  <c r="AW53" i="190"/>
  <c r="BF38" i="190"/>
  <c r="AP27" i="190"/>
  <c r="AP28" i="190"/>
  <c r="AP40" i="190"/>
  <c r="H78" i="190"/>
  <c r="BC27" i="190"/>
  <c r="BC28" i="190"/>
  <c r="BC44" i="190"/>
  <c r="U78" i="190"/>
  <c r="AI28" i="190"/>
  <c r="AI27" i="190"/>
  <c r="AI51" i="190"/>
  <c r="AI44" i="190"/>
  <c r="AI53" i="190"/>
  <c r="E78" i="190"/>
  <c r="AS42" i="190"/>
  <c r="BC47" i="190"/>
  <c r="BT50" i="189"/>
  <c r="AK52" i="189"/>
  <c r="BQ63" i="189"/>
  <c r="BM28" i="190"/>
  <c r="BM27" i="190"/>
  <c r="BJ28" i="190"/>
  <c r="BJ27" i="190"/>
  <c r="O52" i="189"/>
  <c r="BU50" i="189" a="1"/>
  <c r="BV50" i="189" s="1" a="1"/>
  <c r="BN29" i="189"/>
  <c r="BN30" i="189" s="1"/>
  <c r="BL52" i="189"/>
  <c r="BT49" i="189"/>
  <c r="BG9" i="189"/>
  <c r="BG29" i="189" s="1"/>
  <c r="BG30" i="189" s="1"/>
  <c r="AT63" i="189"/>
  <c r="AT40" i="189"/>
  <c r="AT60" i="189" s="1"/>
  <c r="AT88" i="189" s="1"/>
  <c r="BB29" i="189"/>
  <c r="BB30" i="189" s="1"/>
  <c r="AT29" i="189"/>
  <c r="AT30" i="189" s="1"/>
  <c r="AU41" i="190"/>
  <c r="AD68" i="190"/>
  <c r="X43" i="190"/>
  <c r="AY45" i="189"/>
  <c r="BE14" i="189"/>
  <c r="BE45" i="189" s="1"/>
  <c r="Z27" i="190"/>
  <c r="Z28" i="190"/>
  <c r="Z49" i="190"/>
  <c r="Z37" i="190"/>
  <c r="H28" i="190"/>
  <c r="H27" i="190"/>
  <c r="H43" i="190"/>
  <c r="T78" i="190"/>
  <c r="F78" i="190"/>
  <c r="AU42" i="190"/>
  <c r="E27" i="190"/>
  <c r="E28" i="190"/>
  <c r="Q25" i="190"/>
  <c r="Q51" i="190" s="1"/>
  <c r="E53" i="190"/>
  <c r="E50" i="190"/>
  <c r="E44" i="190"/>
  <c r="E46" i="190"/>
  <c r="Z42" i="190"/>
  <c r="BF45" i="190"/>
  <c r="BV43" i="189" a="1"/>
  <c r="F9" i="86"/>
  <c r="BU55" i="189" a="1"/>
  <c r="BV55" i="189" s="1" a="1"/>
  <c r="AD62" i="189"/>
  <c r="BT44" i="189"/>
  <c r="BC29" i="189"/>
  <c r="BC30" i="189" s="1"/>
  <c r="AQ27" i="190"/>
  <c r="AQ28" i="190"/>
  <c r="BU57" i="189" a="1"/>
  <c r="BV57" i="189" s="1" a="1"/>
  <c r="AI29" i="189"/>
  <c r="AI30" i="189" s="1"/>
  <c r="AY63" i="189"/>
  <c r="BO104" i="191"/>
  <c r="BO88" i="191"/>
  <c r="BO93" i="191"/>
  <c r="BO98" i="191"/>
  <c r="BO103" i="191"/>
  <c r="BO97" i="191"/>
  <c r="BO92" i="191"/>
  <c r="BO105" i="191"/>
  <c r="BO100" i="191"/>
  <c r="BO95" i="191"/>
  <c r="BO90" i="191"/>
  <c r="BO99" i="191"/>
  <c r="BO107" i="191"/>
  <c r="BO87" i="191"/>
  <c r="BO81" i="191"/>
  <c r="BO91" i="191"/>
  <c r="BO85" i="191"/>
  <c r="BO80" i="191"/>
  <c r="BO74" i="191"/>
  <c r="BO109" i="191"/>
  <c r="BO102" i="191"/>
  <c r="BO68" i="191"/>
  <c r="BO65" i="191"/>
  <c r="BO84" i="191"/>
  <c r="BO86" i="191"/>
  <c r="BO72" i="191"/>
  <c r="BO71" i="191"/>
  <c r="BO67" i="191"/>
  <c r="BO108" i="191"/>
  <c r="BO106" i="191"/>
  <c r="BO94" i="191"/>
  <c r="BO64" i="191"/>
  <c r="BO83" i="191"/>
  <c r="BO73" i="191"/>
  <c r="BO89" i="191"/>
  <c r="BO78" i="191"/>
  <c r="BO75" i="191"/>
  <c r="BO76" i="191"/>
  <c r="BO101" i="191"/>
  <c r="BG63" i="189"/>
  <c r="N52" i="189"/>
  <c r="BA40" i="189"/>
  <c r="BA60" i="189" s="1"/>
  <c r="AU52" i="189"/>
  <c r="BS21" i="189"/>
  <c r="BO72" i="189"/>
  <c r="BQ98" i="191"/>
  <c r="BQ103" i="191"/>
  <c r="BQ108" i="191"/>
  <c r="BQ92" i="191"/>
  <c r="BQ97" i="191"/>
  <c r="BQ107" i="191"/>
  <c r="BQ91" i="191"/>
  <c r="BQ105" i="191"/>
  <c r="BQ100" i="191"/>
  <c r="BQ95" i="191"/>
  <c r="BQ90" i="191"/>
  <c r="BQ104" i="191"/>
  <c r="BQ99" i="191"/>
  <c r="BQ94" i="191"/>
  <c r="BQ93" i="191"/>
  <c r="BQ89" i="191"/>
  <c r="BQ75" i="191"/>
  <c r="BQ67" i="191"/>
  <c r="BQ85" i="191"/>
  <c r="BQ80" i="191"/>
  <c r="BQ74" i="191"/>
  <c r="BQ73" i="191"/>
  <c r="BQ102" i="191"/>
  <c r="BQ86" i="191"/>
  <c r="BQ87" i="191"/>
  <c r="BQ83" i="191"/>
  <c r="BQ81" i="191"/>
  <c r="BQ78" i="191"/>
  <c r="BQ109" i="191"/>
  <c r="BQ71" i="191"/>
  <c r="BQ65" i="191"/>
  <c r="BQ84" i="191"/>
  <c r="BQ88" i="191"/>
  <c r="BQ64" i="191"/>
  <c r="BQ106" i="191"/>
  <c r="BQ68" i="191"/>
  <c r="BQ76" i="191"/>
  <c r="BQ96" i="191"/>
  <c r="BQ72" i="191"/>
  <c r="BQ101" i="191"/>
  <c r="AT73" i="189"/>
  <c r="U110" i="191"/>
  <c r="U107" i="191"/>
  <c r="U91" i="191"/>
  <c r="U96" i="191"/>
  <c r="U106" i="191"/>
  <c r="U90" i="191"/>
  <c r="U100" i="191"/>
  <c r="U94" i="191"/>
  <c r="U95" i="191"/>
  <c r="U86" i="191"/>
  <c r="U89" i="191"/>
  <c r="U105" i="191"/>
  <c r="U104" i="191"/>
  <c r="U97" i="191"/>
  <c r="U73" i="191"/>
  <c r="U103" i="191"/>
  <c r="U67" i="191"/>
  <c r="U98" i="191"/>
  <c r="U85" i="191"/>
  <c r="U69" i="191"/>
  <c r="U102" i="191"/>
  <c r="U75" i="191"/>
  <c r="U64" i="191"/>
  <c r="U83" i="191"/>
  <c r="U80" i="191"/>
  <c r="U92" i="191"/>
  <c r="U72" i="191"/>
  <c r="U65" i="191"/>
  <c r="U76" i="191"/>
  <c r="U77" i="191"/>
  <c r="U66" i="191"/>
  <c r="U93" i="191"/>
  <c r="U79" i="191"/>
  <c r="U74" i="191"/>
  <c r="U71" i="191"/>
  <c r="U81" i="191"/>
  <c r="U99" i="191"/>
  <c r="U68" i="191"/>
  <c r="U78" i="191"/>
  <c r="U87" i="191"/>
  <c r="U84" i="191"/>
  <c r="U88" i="191"/>
  <c r="E54" i="190"/>
  <c r="U54" i="190"/>
  <c r="U43" i="190"/>
  <c r="AI54" i="190"/>
  <c r="X47" i="190"/>
  <c r="AD62" i="190"/>
  <c r="O93" i="191"/>
  <c r="O98" i="191"/>
  <c r="O103" i="191"/>
  <c r="O108" i="191"/>
  <c r="O92" i="191"/>
  <c r="O102" i="191"/>
  <c r="O97" i="191"/>
  <c r="O88" i="191"/>
  <c r="O106" i="191"/>
  <c r="O104" i="191"/>
  <c r="O101" i="191"/>
  <c r="O96" i="191"/>
  <c r="O105" i="191"/>
  <c r="O90" i="191"/>
  <c r="O75" i="191"/>
  <c r="O94" i="191"/>
  <c r="O76" i="191"/>
  <c r="O74" i="191"/>
  <c r="O65" i="191"/>
  <c r="O100" i="191"/>
  <c r="O107" i="191"/>
  <c r="O110" i="191"/>
  <c r="O85" i="191"/>
  <c r="O95" i="191"/>
  <c r="O68" i="191"/>
  <c r="O77" i="191"/>
  <c r="O71" i="191"/>
  <c r="O84" i="191"/>
  <c r="O91" i="191"/>
  <c r="O78" i="191"/>
  <c r="O79" i="191"/>
  <c r="O83" i="191"/>
  <c r="O66" i="191"/>
  <c r="O64" i="191"/>
  <c r="O73" i="191"/>
  <c r="O99" i="191"/>
  <c r="O89" i="191"/>
  <c r="O69" i="191"/>
  <c r="O72" i="191"/>
  <c r="O81" i="191"/>
  <c r="O87" i="191"/>
  <c r="O67" i="191"/>
  <c r="J46" i="190"/>
  <c r="T43" i="190"/>
  <c r="AV53" i="190"/>
  <c r="AK44" i="190"/>
  <c r="BR79" i="191"/>
  <c r="X51" i="190"/>
  <c r="I28" i="190"/>
  <c r="I27" i="190"/>
  <c r="I45" i="190"/>
  <c r="I43" i="190"/>
  <c r="H37" i="190"/>
  <c r="U39" i="190"/>
  <c r="U52" i="190"/>
  <c r="T39" i="190"/>
  <c r="V27" i="190"/>
  <c r="V28" i="190"/>
  <c r="V52" i="190"/>
  <c r="Z52" i="190"/>
  <c r="S28" i="190"/>
  <c r="S27" i="190"/>
  <c r="S41" i="190"/>
  <c r="AV54" i="190"/>
  <c r="F27" i="190"/>
  <c r="F28" i="190"/>
  <c r="BL47" i="189"/>
  <c r="BS16" i="189"/>
  <c r="E37" i="190"/>
  <c r="BT10" i="190"/>
  <c r="BV8" i="190" s="1"/>
  <c r="I42" i="190"/>
  <c r="T47" i="190"/>
  <c r="BU46" i="189" a="1"/>
  <c r="BV46" i="189" s="1" a="1"/>
  <c r="T44" i="190"/>
  <c r="S44" i="190"/>
  <c r="AY9" i="189"/>
  <c r="AY29" i="189" s="1"/>
  <c r="AY30" i="189" s="1"/>
  <c r="AN52" i="189"/>
  <c r="Q62" i="189"/>
  <c r="AT76" i="189"/>
  <c r="BF44" i="189"/>
  <c r="BS13" i="189"/>
  <c r="AD11" i="189"/>
  <c r="AD42" i="189" s="1"/>
  <c r="BN25" i="190"/>
  <c r="BT58" i="189"/>
  <c r="X63" i="189"/>
  <c r="X40" i="189"/>
  <c r="BA9" i="189"/>
  <c r="BA29" i="189" s="1"/>
  <c r="BA30" i="189" s="1"/>
  <c r="BO81" i="189"/>
  <c r="BE59" i="189"/>
  <c r="AF9" i="189"/>
  <c r="AF29" i="189" s="1"/>
  <c r="AF30" i="189" s="1"/>
  <c r="Q59" i="189"/>
  <c r="BK52" i="189"/>
  <c r="BU49" i="189" a="1"/>
  <c r="BV49" i="189" s="1" a="1"/>
  <c r="BV48" i="189" a="1"/>
  <c r="AW28" i="190"/>
  <c r="AW27" i="190"/>
  <c r="AW54" i="190"/>
  <c r="AW47" i="190"/>
  <c r="AU49" i="190"/>
  <c r="AU44" i="190"/>
  <c r="I78" i="190"/>
  <c r="AU55" i="190"/>
  <c r="S37" i="190"/>
  <c r="AZ38" i="190"/>
  <c r="F37" i="190"/>
  <c r="F10" i="86"/>
  <c r="Z41" i="190"/>
  <c r="AP41" i="190"/>
  <c r="AC22" i="189"/>
  <c r="AZ43" i="190"/>
  <c r="BO76" i="189"/>
  <c r="L9" i="189"/>
  <c r="L29" i="189" s="1"/>
  <c r="L30" i="189" s="1"/>
  <c r="AW37" i="190"/>
  <c r="AV41" i="189"/>
  <c r="AV9" i="189"/>
  <c r="AV29" i="189" s="1"/>
  <c r="AV30" i="189" s="1"/>
  <c r="E52" i="189"/>
  <c r="BI43" i="189"/>
  <c r="BI9" i="189"/>
  <c r="BI29" i="189" s="1"/>
  <c r="BI30" i="189" s="1"/>
  <c r="BU58" i="189" a="1"/>
  <c r="BV58" i="189" s="1" a="1"/>
  <c r="BO80" i="189"/>
  <c r="R29" i="189"/>
  <c r="R30" i="189" s="1"/>
  <c r="BE15" i="189"/>
  <c r="BE46" i="189" s="1"/>
  <c r="AG97" i="191"/>
  <c r="AG79" i="191"/>
  <c r="AG105" i="191"/>
  <c r="AG72" i="191"/>
  <c r="AR21" i="189"/>
  <c r="BM94" i="191"/>
  <c r="BM99" i="191"/>
  <c r="BM104" i="191"/>
  <c r="BM88" i="191"/>
  <c r="BM93" i="191"/>
  <c r="BM103" i="191"/>
  <c r="BM106" i="191"/>
  <c r="BM101" i="191"/>
  <c r="BM97" i="191"/>
  <c r="BM84" i="191"/>
  <c r="BM96" i="191"/>
  <c r="BM92" i="191"/>
  <c r="BM91" i="191"/>
  <c r="BM98" i="191"/>
  <c r="BM105" i="191"/>
  <c r="BM100" i="191"/>
  <c r="BM95" i="191"/>
  <c r="BM90" i="191"/>
  <c r="BM102" i="191"/>
  <c r="BM83" i="191"/>
  <c r="BM71" i="191"/>
  <c r="BM109" i="191"/>
  <c r="BM76" i="191"/>
  <c r="BM68" i="191"/>
  <c r="BM75" i="191"/>
  <c r="BM89" i="191"/>
  <c r="BM73" i="191"/>
  <c r="BM80" i="191"/>
  <c r="BM107" i="191"/>
  <c r="BM74" i="191"/>
  <c r="BM81" i="191"/>
  <c r="BM87" i="191"/>
  <c r="BM86" i="191"/>
  <c r="BM72" i="191"/>
  <c r="BM67" i="191"/>
  <c r="BM85" i="191"/>
  <c r="BM64" i="191"/>
  <c r="BM108" i="191"/>
  <c r="BM65" i="191"/>
  <c r="BM78" i="191"/>
  <c r="BA63" i="189"/>
  <c r="Z52" i="189"/>
  <c r="BJ52" i="189"/>
  <c r="AC9" i="189"/>
  <c r="I40" i="189"/>
  <c r="BK29" i="93"/>
  <c r="BK28" i="93"/>
  <c r="BK35" i="93"/>
  <c r="AC46" i="190" l="1"/>
  <c r="AC51" i="190"/>
  <c r="AC44" i="190"/>
  <c r="AC53" i="190"/>
  <c r="AC50" i="190"/>
  <c r="AC54" i="190"/>
  <c r="AC55" i="190"/>
  <c r="AC40" i="190"/>
  <c r="AC38" i="190"/>
  <c r="AC52" i="190"/>
  <c r="AC42" i="190"/>
  <c r="AC37" i="190"/>
  <c r="E37" i="139"/>
  <c r="BS62" i="189"/>
  <c r="AR38" i="190"/>
  <c r="J56" i="190"/>
  <c r="BE43" i="189"/>
  <c r="M88" i="189"/>
  <c r="AM60" i="189"/>
  <c r="K60" i="189"/>
  <c r="BM72" i="189"/>
  <c r="BT56" i="189"/>
  <c r="AO60" i="189"/>
  <c r="AF95" i="191"/>
  <c r="AE41" i="190"/>
  <c r="AE49" i="190"/>
  <c r="AR46" i="190"/>
  <c r="M85" i="189"/>
  <c r="M86" i="189"/>
  <c r="BO89" i="189"/>
  <c r="J72" i="189"/>
  <c r="L60" i="189"/>
  <c r="AG60" i="189"/>
  <c r="BM84" i="189"/>
  <c r="BM88" i="189"/>
  <c r="BO84" i="189"/>
  <c r="AR45" i="190"/>
  <c r="AD47" i="190"/>
  <c r="AD49" i="190"/>
  <c r="Q52" i="190"/>
  <c r="M80" i="189"/>
  <c r="O56" i="190"/>
  <c r="AC28" i="190"/>
  <c r="AC27" i="190"/>
  <c r="AC47" i="190"/>
  <c r="AC45" i="190"/>
  <c r="AC43" i="190"/>
  <c r="AC39" i="190"/>
  <c r="Q38" i="190"/>
  <c r="M75" i="189"/>
  <c r="BO88" i="189"/>
  <c r="BH60" i="189"/>
  <c r="Z60" i="189"/>
  <c r="E60" i="189"/>
  <c r="V60" i="189"/>
  <c r="J86" i="189"/>
  <c r="BO71" i="189"/>
  <c r="BT25" i="190"/>
  <c r="AE44" i="190"/>
  <c r="AE43" i="190"/>
  <c r="N56" i="190"/>
  <c r="AR9" i="189"/>
  <c r="BV44" i="189" a="1"/>
  <c r="AD54" i="190"/>
  <c r="AD44" i="190"/>
  <c r="R60" i="189"/>
  <c r="AT81" i="189"/>
  <c r="AE40" i="190"/>
  <c r="U60" i="189"/>
  <c r="U89" i="189" s="1"/>
  <c r="AH60" i="189"/>
  <c r="H75" i="189"/>
  <c r="J83" i="189"/>
  <c r="M84" i="189"/>
  <c r="AF101" i="191"/>
  <c r="AF84" i="191"/>
  <c r="AE55" i="190"/>
  <c r="AR49" i="190"/>
  <c r="G56" i="190"/>
  <c r="Y56" i="190"/>
  <c r="BE51" i="190"/>
  <c r="AR37" i="190"/>
  <c r="Q37" i="190"/>
  <c r="AA56" i="190"/>
  <c r="K56" i="190"/>
  <c r="G60" i="189"/>
  <c r="AT79" i="189"/>
  <c r="BF40" i="189"/>
  <c r="BF60" i="189" s="1"/>
  <c r="J71" i="189"/>
  <c r="BQ60" i="189"/>
  <c r="Q54" i="190"/>
  <c r="AE45" i="190"/>
  <c r="BF56" i="190"/>
  <c r="BM81" i="189"/>
  <c r="M87" i="189"/>
  <c r="BT57" i="189"/>
  <c r="AK60" i="189"/>
  <c r="BV59" i="189" a="1"/>
  <c r="AZ60" i="189"/>
  <c r="AZ89" i="189" s="1"/>
  <c r="AD53" i="190"/>
  <c r="AR53" i="190"/>
  <c r="BM76" i="189"/>
  <c r="AY110" i="191"/>
  <c r="BB60" i="189"/>
  <c r="AR62" i="189"/>
  <c r="BG40" i="189"/>
  <c r="BG60" i="189" s="1"/>
  <c r="AE52" i="190"/>
  <c r="AD50" i="190"/>
  <c r="H56" i="190"/>
  <c r="T56" i="190"/>
  <c r="M72" i="189"/>
  <c r="BC60" i="189"/>
  <c r="BC85" i="189" s="1"/>
  <c r="BS9" i="189"/>
  <c r="AC41" i="190"/>
  <c r="X60" i="189"/>
  <c r="X71" i="189" s="1"/>
  <c r="H85" i="189"/>
  <c r="AD46" i="189"/>
  <c r="AC63" i="189"/>
  <c r="AC40" i="189"/>
  <c r="V56" i="190"/>
  <c r="AR54" i="190"/>
  <c r="AR39" i="190"/>
  <c r="F56" i="190"/>
  <c r="AE50" i="190"/>
  <c r="AC49" i="190"/>
  <c r="M78" i="189"/>
  <c r="AG110" i="191"/>
  <c r="M74" i="189"/>
  <c r="AF63" i="189"/>
  <c r="AF40" i="189"/>
  <c r="AF60" i="189" s="1"/>
  <c r="I60" i="189"/>
  <c r="I75" i="189" s="1"/>
  <c r="BD60" i="189"/>
  <c r="AD51" i="190"/>
  <c r="AR47" i="190"/>
  <c r="M56" i="190"/>
  <c r="AE51" i="190"/>
  <c r="AR51" i="190"/>
  <c r="AR52" i="190"/>
  <c r="AB56" i="190"/>
  <c r="AD42" i="190"/>
  <c r="M76" i="189"/>
  <c r="M77" i="189"/>
  <c r="AE40" i="189"/>
  <c r="AE60" i="189" s="1"/>
  <c r="Y71" i="189"/>
  <c r="F71" i="189"/>
  <c r="AE54" i="190"/>
  <c r="AH64" i="189"/>
  <c r="AH80" i="189"/>
  <c r="AH61" i="189"/>
  <c r="AH88" i="189"/>
  <c r="AH85" i="189"/>
  <c r="AH77" i="189"/>
  <c r="AH86" i="189"/>
  <c r="AH89" i="189"/>
  <c r="AH75" i="189"/>
  <c r="AH73" i="189"/>
  <c r="AH78" i="189"/>
  <c r="AH79" i="189"/>
  <c r="AH71" i="189"/>
  <c r="AH76" i="189"/>
  <c r="AH81" i="189"/>
  <c r="AH83" i="189"/>
  <c r="AH87" i="189"/>
  <c r="AH84" i="189"/>
  <c r="AH74" i="189"/>
  <c r="AH72" i="189"/>
  <c r="BS29" i="189"/>
  <c r="BU15" i="189" s="1"/>
  <c r="AX61" i="189"/>
  <c r="AX64" i="189"/>
  <c r="AX78" i="189"/>
  <c r="AX86" i="189"/>
  <c r="AX87" i="189"/>
  <c r="AX85" i="189"/>
  <c r="AX75" i="189"/>
  <c r="AX89" i="189"/>
  <c r="AX83" i="189"/>
  <c r="AX72" i="189"/>
  <c r="AX74" i="189"/>
  <c r="AX88" i="189"/>
  <c r="AX80" i="189"/>
  <c r="AX76" i="189"/>
  <c r="AX71" i="189"/>
  <c r="AX77" i="189"/>
  <c r="AX81" i="189"/>
  <c r="AX79" i="189"/>
  <c r="AX84" i="189"/>
  <c r="AK61" i="189"/>
  <c r="AK64" i="189"/>
  <c r="AK87" i="189"/>
  <c r="AK80" i="189"/>
  <c r="AK78" i="189"/>
  <c r="AK71" i="189"/>
  <c r="AK84" i="189"/>
  <c r="AK76" i="189"/>
  <c r="AK86" i="189"/>
  <c r="AK72" i="189"/>
  <c r="AK81" i="189"/>
  <c r="AK85" i="189"/>
  <c r="AK75" i="189"/>
  <c r="AK77" i="189"/>
  <c r="AK79" i="189"/>
  <c r="AK73" i="189"/>
  <c r="AK74" i="189"/>
  <c r="AK88" i="189"/>
  <c r="AK89" i="189"/>
  <c r="AK83" i="189"/>
  <c r="AP64" i="189"/>
  <c r="AP61" i="189"/>
  <c r="AP78" i="189"/>
  <c r="AP81" i="189"/>
  <c r="AP88" i="189"/>
  <c r="AP76" i="189"/>
  <c r="AP86" i="189"/>
  <c r="AP75" i="189"/>
  <c r="AP77" i="189"/>
  <c r="AP79" i="189"/>
  <c r="AP80" i="189"/>
  <c r="AP85" i="189"/>
  <c r="AP71" i="189"/>
  <c r="AP74" i="189"/>
  <c r="AP73" i="189"/>
  <c r="AP87" i="189"/>
  <c r="AP84" i="189"/>
  <c r="AP83" i="189"/>
  <c r="AP72" i="189"/>
  <c r="AP89" i="189"/>
  <c r="BH64" i="189"/>
  <c r="BH86" i="189"/>
  <c r="BH83" i="189"/>
  <c r="BH61" i="189"/>
  <c r="BH85" i="189"/>
  <c r="BH89" i="189"/>
  <c r="BH87" i="189"/>
  <c r="BH84" i="189"/>
  <c r="BH88" i="189"/>
  <c r="BH79" i="189"/>
  <c r="BH72" i="189"/>
  <c r="BH73" i="189"/>
  <c r="BH77" i="189"/>
  <c r="BH75" i="189"/>
  <c r="BH80" i="189"/>
  <c r="BH76" i="189"/>
  <c r="BH78" i="189"/>
  <c r="BH81" i="189"/>
  <c r="AO64" i="189"/>
  <c r="AO83" i="189"/>
  <c r="AO61" i="189"/>
  <c r="AO85" i="189"/>
  <c r="AO72" i="189"/>
  <c r="AO87" i="189"/>
  <c r="AO75" i="189"/>
  <c r="AO81" i="189"/>
  <c r="AO77" i="189"/>
  <c r="AO74" i="189"/>
  <c r="AO78" i="189"/>
  <c r="AO71" i="189"/>
  <c r="AO79" i="189"/>
  <c r="AO86" i="189"/>
  <c r="AO76" i="189"/>
  <c r="AO73" i="189"/>
  <c r="AO88" i="189"/>
  <c r="AO80" i="189"/>
  <c r="AF81" i="189"/>
  <c r="BP110" i="191"/>
  <c r="S60" i="189"/>
  <c r="AR28" i="190"/>
  <c r="BE55" i="190"/>
  <c r="BE52" i="190"/>
  <c r="Q47" i="190"/>
  <c r="BE40" i="190"/>
  <c r="BE52" i="189"/>
  <c r="BT53" i="189"/>
  <c r="AF85" i="189"/>
  <c r="BE50" i="190"/>
  <c r="BA64" i="189"/>
  <c r="BA61" i="189"/>
  <c r="BA71" i="189"/>
  <c r="BA75" i="189"/>
  <c r="BA81" i="189"/>
  <c r="BA83" i="189"/>
  <c r="BA78" i="189"/>
  <c r="BA73" i="189"/>
  <c r="BA77" i="189"/>
  <c r="BA74" i="189"/>
  <c r="BA72" i="189"/>
  <c r="E6" i="86"/>
  <c r="BI40" i="189"/>
  <c r="BI60" i="189" s="1"/>
  <c r="AC53" i="189"/>
  <c r="AC21" i="189"/>
  <c r="AC1" i="189"/>
  <c r="AD22" i="189"/>
  <c r="X64" i="189"/>
  <c r="X61" i="189"/>
  <c r="X87" i="189"/>
  <c r="X73" i="189"/>
  <c r="X77" i="189"/>
  <c r="X78" i="189"/>
  <c r="X88" i="189"/>
  <c r="X75" i="189"/>
  <c r="X79" i="189"/>
  <c r="X86" i="189"/>
  <c r="X72" i="189"/>
  <c r="X74" i="189"/>
  <c r="X83" i="189"/>
  <c r="X76" i="189"/>
  <c r="X80" i="189"/>
  <c r="X89" i="189"/>
  <c r="X81" i="189"/>
  <c r="X85" i="189"/>
  <c r="BF74" i="189"/>
  <c r="BB61" i="189"/>
  <c r="BB64" i="189"/>
  <c r="BB74" i="189"/>
  <c r="BB81" i="189"/>
  <c r="BB88" i="189"/>
  <c r="BB71" i="189"/>
  <c r="BB83" i="189"/>
  <c r="BB80" i="189"/>
  <c r="BB77" i="189"/>
  <c r="BB72" i="189"/>
  <c r="BB78" i="189"/>
  <c r="BB76" i="189"/>
  <c r="BB75" i="189"/>
  <c r="BH71" i="189"/>
  <c r="BR110" i="191"/>
  <c r="BF79" i="189"/>
  <c r="AM61" i="189"/>
  <c r="AM64" i="189"/>
  <c r="AM80" i="189"/>
  <c r="AM88" i="189"/>
  <c r="AM85" i="189"/>
  <c r="AM72" i="189"/>
  <c r="AM81" i="189"/>
  <c r="AM87" i="189"/>
  <c r="AM78" i="189"/>
  <c r="AM74" i="189"/>
  <c r="AM79" i="189"/>
  <c r="AM73" i="189"/>
  <c r="AM89" i="189"/>
  <c r="AM71" i="189"/>
  <c r="AM77" i="189"/>
  <c r="AM76" i="189"/>
  <c r="AM75" i="189"/>
  <c r="AM83" i="189"/>
  <c r="AM86" i="189"/>
  <c r="AM84" i="189"/>
  <c r="BL60" i="189"/>
  <c r="AF79" i="189"/>
  <c r="BX69" i="191"/>
  <c r="BX66" i="191"/>
  <c r="BX77" i="191"/>
  <c r="AC29" i="189"/>
  <c r="AC30" i="189" s="1"/>
  <c r="AF86" i="189"/>
  <c r="BA89" i="189"/>
  <c r="AT80" i="189"/>
  <c r="BB89" i="189"/>
  <c r="AO84" i="189"/>
  <c r="AF83" i="189"/>
  <c r="R86" i="189"/>
  <c r="P60" i="189"/>
  <c r="BE28" i="190"/>
  <c r="BL110" i="191"/>
  <c r="BB84" i="189"/>
  <c r="N63" i="189"/>
  <c r="N40" i="189"/>
  <c r="N60" i="189" s="1"/>
  <c r="AE47" i="190"/>
  <c r="BR34" i="189"/>
  <c r="P56" i="190"/>
  <c r="BF61" i="189"/>
  <c r="BF76" i="189"/>
  <c r="BF73" i="189"/>
  <c r="BF87" i="189"/>
  <c r="BF72" i="189"/>
  <c r="BF78" i="189"/>
  <c r="BF88" i="189"/>
  <c r="BF83" i="189"/>
  <c r="BF77" i="189"/>
  <c r="BF80" i="189"/>
  <c r="BT27" i="190"/>
  <c r="BT28" i="190"/>
  <c r="BJ29" i="189"/>
  <c r="BR19" i="189" s="1"/>
  <c r="BT9" i="189"/>
  <c r="BP61" i="189"/>
  <c r="BP64" i="189"/>
  <c r="BP81" i="189"/>
  <c r="BP74" i="189"/>
  <c r="BP85" i="189"/>
  <c r="BP72" i="189"/>
  <c r="BP80" i="189"/>
  <c r="BP83" i="189"/>
  <c r="BP77" i="189"/>
  <c r="BP73" i="189"/>
  <c r="BP76" i="189"/>
  <c r="BP87" i="189"/>
  <c r="BP88" i="189"/>
  <c r="BR27" i="189"/>
  <c r="E34" i="139" s="1"/>
  <c r="BF85" i="189"/>
  <c r="BP84" i="189"/>
  <c r="BF71" i="189"/>
  <c r="AD9" i="189"/>
  <c r="AD41" i="189"/>
  <c r="Q41" i="189"/>
  <c r="Q9" i="189"/>
  <c r="Q29" i="189" s="1"/>
  <c r="Q30" i="189" s="1"/>
  <c r="BB85" i="189"/>
  <c r="AS60" i="189"/>
  <c r="F64" i="189"/>
  <c r="F61" i="189"/>
  <c r="F86" i="189"/>
  <c r="F89" i="189"/>
  <c r="F75" i="189"/>
  <c r="F74" i="189"/>
  <c r="F81" i="189"/>
  <c r="F73" i="189"/>
  <c r="F76" i="189"/>
  <c r="F88" i="189"/>
  <c r="F72" i="189"/>
  <c r="F77" i="189"/>
  <c r="F84" i="189"/>
  <c r="F80" i="189"/>
  <c r="F85" i="189"/>
  <c r="F78" i="189"/>
  <c r="F79" i="189"/>
  <c r="F87" i="189"/>
  <c r="F83" i="189"/>
  <c r="BE27" i="190"/>
  <c r="BV42" i="189" a="1"/>
  <c r="BJ40" i="189"/>
  <c r="BG73" i="189"/>
  <c r="BA80" i="189"/>
  <c r="AW63" i="189"/>
  <c r="BU41" i="189" a="1"/>
  <c r="AW40" i="189"/>
  <c r="AW60" i="189" s="1"/>
  <c r="AD55" i="190"/>
  <c r="BF63" i="189"/>
  <c r="BF64" i="189" s="1"/>
  <c r="R64" i="189"/>
  <c r="R61" i="189"/>
  <c r="R81" i="189"/>
  <c r="R85" i="189"/>
  <c r="R73" i="189"/>
  <c r="R89" i="189"/>
  <c r="R87" i="189"/>
  <c r="R78" i="189"/>
  <c r="BR12" i="189"/>
  <c r="BR43" i="189" s="1"/>
  <c r="E6" i="139" s="1"/>
  <c r="AF72" i="189"/>
  <c r="BA86" i="189"/>
  <c r="R71" i="189"/>
  <c r="Q52" i="189"/>
  <c r="AG74" i="189"/>
  <c r="BE45" i="190"/>
  <c r="BX74" i="191"/>
  <c r="BX65" i="191"/>
  <c r="BX91" i="191"/>
  <c r="BX84" i="191"/>
  <c r="BX92" i="191"/>
  <c r="BX99" i="191"/>
  <c r="BX98" i="191"/>
  <c r="BX73" i="191"/>
  <c r="BX97" i="191"/>
  <c r="BX83" i="191"/>
  <c r="BX80" i="191"/>
  <c r="BX72" i="191"/>
  <c r="BX81" i="191"/>
  <c r="BX100" i="191"/>
  <c r="BX93" i="191"/>
  <c r="BX95" i="191"/>
  <c r="BX104" i="191"/>
  <c r="BX106" i="191"/>
  <c r="BX105" i="191"/>
  <c r="BX86" i="191"/>
  <c r="BX71" i="191"/>
  <c r="BX102" i="191"/>
  <c r="BX88" i="191"/>
  <c r="BX103" i="191"/>
  <c r="BX76" i="191"/>
  <c r="BX89" i="191"/>
  <c r="BX101" i="191"/>
  <c r="BX64" i="191"/>
  <c r="BX78" i="191"/>
  <c r="BX109" i="191"/>
  <c r="BX108" i="191"/>
  <c r="BX85" i="191"/>
  <c r="BX67" i="191"/>
  <c r="BX87" i="191"/>
  <c r="BX90" i="191"/>
  <c r="BX107" i="191"/>
  <c r="BX94" i="191"/>
  <c r="BX75" i="191"/>
  <c r="BX68" i="191"/>
  <c r="AE64" i="189"/>
  <c r="AE61" i="189"/>
  <c r="AE79" i="189"/>
  <c r="AE81" i="189"/>
  <c r="AE84" i="189"/>
  <c r="Q45" i="190"/>
  <c r="BX96" i="191"/>
  <c r="AO89" i="189"/>
  <c r="BP71" i="189"/>
  <c r="BK60" i="189"/>
  <c r="BI68" i="191"/>
  <c r="BI90" i="191"/>
  <c r="BI75" i="191"/>
  <c r="BI87" i="191"/>
  <c r="BI80" i="191"/>
  <c r="BI83" i="191"/>
  <c r="BI65" i="191"/>
  <c r="BI102" i="191"/>
  <c r="BI85" i="191"/>
  <c r="BI79" i="191"/>
  <c r="BI86" i="191"/>
  <c r="BI74" i="191"/>
  <c r="BI103" i="191"/>
  <c r="BI84" i="191"/>
  <c r="BI94" i="191"/>
  <c r="BI93" i="191"/>
  <c r="BI64" i="191"/>
  <c r="BI100" i="191"/>
  <c r="BI101" i="191"/>
  <c r="BI72" i="191"/>
  <c r="BI73" i="191"/>
  <c r="BI76" i="191"/>
  <c r="BI78" i="191"/>
  <c r="BI91" i="191"/>
  <c r="BI95" i="191"/>
  <c r="BI67" i="191"/>
  <c r="BI104" i="191"/>
  <c r="BI81" i="191"/>
  <c r="BI106" i="191"/>
  <c r="BI105" i="191"/>
  <c r="BI96" i="191"/>
  <c r="BI71" i="191"/>
  <c r="BI109" i="191"/>
  <c r="BI89" i="191"/>
  <c r="BI92" i="191"/>
  <c r="BI107" i="191"/>
  <c r="BI97" i="191"/>
  <c r="BI88" i="191"/>
  <c r="BI108" i="191"/>
  <c r="BI98" i="191"/>
  <c r="BI99" i="191"/>
  <c r="BT59" i="189"/>
  <c r="E56" i="190"/>
  <c r="Z56" i="190"/>
  <c r="AZ61" i="189"/>
  <c r="AZ64" i="189"/>
  <c r="AZ85" i="189"/>
  <c r="AZ81" i="189"/>
  <c r="AZ88" i="189"/>
  <c r="AZ84" i="189"/>
  <c r="AZ71" i="189"/>
  <c r="AZ74" i="189"/>
  <c r="AZ75" i="189"/>
  <c r="AZ77" i="189"/>
  <c r="AZ87" i="189"/>
  <c r="AZ72" i="189"/>
  <c r="AZ86" i="189"/>
  <c r="AZ83" i="189"/>
  <c r="AZ76" i="189"/>
  <c r="AZ80" i="189"/>
  <c r="AZ79" i="189"/>
  <c r="AZ78" i="189"/>
  <c r="AZ73" i="189"/>
  <c r="R83" i="189"/>
  <c r="V61" i="189"/>
  <c r="V64" i="189"/>
  <c r="V87" i="189"/>
  <c r="V77" i="189"/>
  <c r="V85" i="189"/>
  <c r="V83" i="189"/>
  <c r="V79" i="189"/>
  <c r="V89" i="189"/>
  <c r="V86" i="189"/>
  <c r="V72" i="189"/>
  <c r="V71" i="189"/>
  <c r="V74" i="189"/>
  <c r="V88" i="189"/>
  <c r="V78" i="189"/>
  <c r="V81" i="189"/>
  <c r="V84" i="189"/>
  <c r="V80" i="189"/>
  <c r="V75" i="189"/>
  <c r="V73" i="189"/>
  <c r="V76" i="189"/>
  <c r="X56" i="190"/>
  <c r="Q40" i="190"/>
  <c r="BE9" i="189"/>
  <c r="BE29" i="189" s="1"/>
  <c r="BE30" i="189" s="1"/>
  <c r="BE41" i="189"/>
  <c r="BU52" i="189"/>
  <c r="BV52" i="189" s="1" a="1"/>
  <c r="BV53" i="189" a="1"/>
  <c r="AE71" i="189"/>
  <c r="BB86" i="189"/>
  <c r="AE83" i="189"/>
  <c r="BM83" i="189"/>
  <c r="BR26" i="189"/>
  <c r="E33" i="139" s="1"/>
  <c r="R56" i="190"/>
  <c r="F4" i="86"/>
  <c r="AV63" i="189"/>
  <c r="AV40" i="189"/>
  <c r="AV60" i="189" s="1"/>
  <c r="BF86" i="189"/>
  <c r="BG64" i="189"/>
  <c r="BG61" i="189"/>
  <c r="BG88" i="189"/>
  <c r="BG81" i="189"/>
  <c r="BG76" i="189"/>
  <c r="BG87" i="189"/>
  <c r="BG77" i="189"/>
  <c r="BG84" i="189"/>
  <c r="BG86" i="189"/>
  <c r="BG79" i="189"/>
  <c r="BG78" i="189"/>
  <c r="BG80" i="189"/>
  <c r="BG72" i="189"/>
  <c r="BG83" i="189"/>
  <c r="BT46" i="189"/>
  <c r="AF76" i="189"/>
  <c r="BR16" i="189"/>
  <c r="BQ110" i="191"/>
  <c r="AT61" i="189"/>
  <c r="AT64" i="189"/>
  <c r="AT74" i="189"/>
  <c r="AT72" i="189"/>
  <c r="AT83" i="189"/>
  <c r="AT86" i="189"/>
  <c r="AT85" i="189"/>
  <c r="AT78" i="189"/>
  <c r="AT89" i="189"/>
  <c r="X84" i="189"/>
  <c r="BT110" i="191"/>
  <c r="AR29" i="189"/>
  <c r="AR30" i="189" s="1"/>
  <c r="E61" i="189"/>
  <c r="E64" i="189"/>
  <c r="E79" i="189"/>
  <c r="E86" i="189"/>
  <c r="E75" i="189"/>
  <c r="E88" i="189"/>
  <c r="E87" i="189"/>
  <c r="E84" i="189"/>
  <c r="E73" i="189"/>
  <c r="E89" i="189"/>
  <c r="E78" i="189"/>
  <c r="E77" i="189"/>
  <c r="E83" i="189"/>
  <c r="BB87" i="189"/>
  <c r="AI60" i="189"/>
  <c r="M73" i="189"/>
  <c r="AF75" i="189"/>
  <c r="BF89" i="189"/>
  <c r="BX79" i="191"/>
  <c r="BE44" i="190"/>
  <c r="BA88" i="189"/>
  <c r="BC61" i="189"/>
  <c r="BC64" i="189"/>
  <c r="BC71" i="189"/>
  <c r="BC76" i="189"/>
  <c r="BC83" i="189"/>
  <c r="BC77" i="189"/>
  <c r="BC88" i="189"/>
  <c r="BC72" i="189"/>
  <c r="BC75" i="189"/>
  <c r="BC80" i="189"/>
  <c r="BC87" i="189"/>
  <c r="BC78" i="189"/>
  <c r="BC74" i="189"/>
  <c r="BC89" i="189"/>
  <c r="BC81" i="189"/>
  <c r="BC73" i="189"/>
  <c r="BC86" i="189"/>
  <c r="BC84" i="189"/>
  <c r="BC79" i="189"/>
  <c r="BU16" i="189"/>
  <c r="BL76" i="189"/>
  <c r="BN60" i="189"/>
  <c r="E71" i="189"/>
  <c r="BU12" i="189"/>
  <c r="AT87" i="189"/>
  <c r="BT43" i="189"/>
  <c r="AE85" i="189"/>
  <c r="R76" i="189"/>
  <c r="BG89" i="189"/>
  <c r="R74" i="189"/>
  <c r="BO87" i="189"/>
  <c r="BO86" i="189"/>
  <c r="AA63" i="189"/>
  <c r="AA40" i="189"/>
  <c r="AA60" i="189" s="1"/>
  <c r="AF88" i="189"/>
  <c r="BR10" i="189"/>
  <c r="BB79" i="189"/>
  <c r="E81" i="189"/>
  <c r="BL77" i="189"/>
  <c r="AT71" i="189"/>
  <c r="BE42" i="190"/>
  <c r="BA76" i="189"/>
  <c r="BB73" i="189"/>
  <c r="BE38" i="190"/>
  <c r="BH74" i="189"/>
  <c r="BP86" i="189"/>
  <c r="BS110" i="191"/>
  <c r="AV110" i="191"/>
  <c r="AL60" i="189"/>
  <c r="T60" i="189"/>
  <c r="AD37" i="190"/>
  <c r="R88" i="189"/>
  <c r="BP75" i="189"/>
  <c r="BE46" i="190"/>
  <c r="AD38" i="190"/>
  <c r="BR25" i="189"/>
  <c r="E32" i="139" s="1"/>
  <c r="Q41" i="190"/>
  <c r="BX70" i="191"/>
  <c r="BT45" i="189"/>
  <c r="AT75" i="189"/>
  <c r="AG61" i="189"/>
  <c r="AG64" i="189"/>
  <c r="AG72" i="189"/>
  <c r="AG79" i="189"/>
  <c r="AG86" i="189"/>
  <c r="AG89" i="189"/>
  <c r="AG81" i="189"/>
  <c r="AG80" i="189"/>
  <c r="AG73" i="189"/>
  <c r="AG78" i="189"/>
  <c r="AG85" i="189"/>
  <c r="AE30" i="189"/>
  <c r="AQ28" i="189"/>
  <c r="F35" i="139" s="1"/>
  <c r="AQ12" i="189"/>
  <c r="AQ43" i="189" s="1"/>
  <c r="F6" i="139" s="1"/>
  <c r="AQ25" i="189"/>
  <c r="F32" i="139" s="1"/>
  <c r="AQ10" i="189"/>
  <c r="AQ23" i="189"/>
  <c r="F30" i="139" s="1"/>
  <c r="AQ15" i="189"/>
  <c r="AQ17" i="189"/>
  <c r="AQ19" i="189"/>
  <c r="AQ20" i="189"/>
  <c r="AQ16" i="189"/>
  <c r="AQ31" i="189"/>
  <c r="AQ26" i="189"/>
  <c r="F33" i="139" s="1"/>
  <c r="AQ24" i="189"/>
  <c r="F31" i="139" s="1"/>
  <c r="AQ18" i="189"/>
  <c r="AQ22" i="189"/>
  <c r="F29" i="139" s="1"/>
  <c r="AQ27" i="189"/>
  <c r="F34" i="139" s="1"/>
  <c r="AQ14" i="189"/>
  <c r="R77" i="189"/>
  <c r="AG84" i="189"/>
  <c r="AD28" i="190"/>
  <c r="AD27" i="190"/>
  <c r="AD40" i="190"/>
  <c r="AD45" i="190"/>
  <c r="AD39" i="190"/>
  <c r="AD41" i="190"/>
  <c r="BE37" i="190"/>
  <c r="AD43" i="190"/>
  <c r="AF87" i="189"/>
  <c r="Q53" i="190"/>
  <c r="BE53" i="190"/>
  <c r="AF110" i="191"/>
  <c r="AF99" i="191"/>
  <c r="AF77" i="191"/>
  <c r="AF75" i="191"/>
  <c r="AF79" i="191"/>
  <c r="AF105" i="191"/>
  <c r="AF69" i="191"/>
  <c r="AF83" i="191"/>
  <c r="AF64" i="191"/>
  <c r="AF106" i="191"/>
  <c r="AF78" i="191"/>
  <c r="AF91" i="191"/>
  <c r="AF71" i="191"/>
  <c r="AF103" i="191"/>
  <c r="AF88" i="191"/>
  <c r="AF90" i="191"/>
  <c r="AF92" i="191"/>
  <c r="AF89" i="191"/>
  <c r="AF80" i="191"/>
  <c r="AF72" i="191"/>
  <c r="AF93" i="191"/>
  <c r="AF74" i="191"/>
  <c r="AF102" i="191"/>
  <c r="AF73" i="191"/>
  <c r="AF76" i="191"/>
  <c r="AF94" i="191"/>
  <c r="AF81" i="191"/>
  <c r="AF96" i="191"/>
  <c r="AF107" i="191"/>
  <c r="AF98" i="191"/>
  <c r="AF85" i="191"/>
  <c r="AF86" i="191"/>
  <c r="AF104" i="191"/>
  <c r="AF100" i="191"/>
  <c r="AF68" i="191"/>
  <c r="AF97" i="191"/>
  <c r="AF65" i="191"/>
  <c r="AF87" i="191"/>
  <c r="AF66" i="191"/>
  <c r="BA87" i="189"/>
  <c r="BU13" i="189"/>
  <c r="BM110" i="191"/>
  <c r="BA85" i="189"/>
  <c r="BN28" i="190"/>
  <c r="BN27" i="190"/>
  <c r="AU63" i="189"/>
  <c r="AU40" i="189"/>
  <c r="AU60" i="189" s="1"/>
  <c r="BG85" i="189"/>
  <c r="Z90" i="189"/>
  <c r="Z61" i="189"/>
  <c r="Z64" i="189"/>
  <c r="Z79" i="189"/>
  <c r="Z73" i="189"/>
  <c r="Z78" i="189"/>
  <c r="Z77" i="189"/>
  <c r="Z89" i="189"/>
  <c r="Z87" i="189"/>
  <c r="Z76" i="189"/>
  <c r="Z84" i="189"/>
  <c r="Z80" i="189"/>
  <c r="Z81" i="189"/>
  <c r="Z86" i="189"/>
  <c r="Z74" i="189"/>
  <c r="Z75" i="189"/>
  <c r="Z83" i="189"/>
  <c r="Z85" i="189"/>
  <c r="AW110" i="191"/>
  <c r="AQ11" i="189"/>
  <c r="AQ42" i="189" s="1"/>
  <c r="F5" i="139" s="1"/>
  <c r="BF84" i="189"/>
  <c r="AQ13" i="189"/>
  <c r="AQ44" i="189" s="1"/>
  <c r="F7" i="139" s="1"/>
  <c r="AD78" i="190"/>
  <c r="BN110" i="191"/>
  <c r="BE43" i="190"/>
  <c r="BQ61" i="189"/>
  <c r="BQ64" i="189"/>
  <c r="BQ72" i="189"/>
  <c r="BQ73" i="189"/>
  <c r="BQ85" i="189"/>
  <c r="BQ76" i="189"/>
  <c r="BQ71" i="189"/>
  <c r="BQ74" i="189"/>
  <c r="BQ88" i="189"/>
  <c r="BQ77" i="189"/>
  <c r="BQ84" i="189"/>
  <c r="BQ79" i="189"/>
  <c r="BQ83" i="189"/>
  <c r="BQ80" i="189"/>
  <c r="BQ75" i="189"/>
  <c r="BQ86" i="189"/>
  <c r="BQ87" i="189"/>
  <c r="U56" i="190"/>
  <c r="Q55" i="190"/>
  <c r="U64" i="189"/>
  <c r="U61" i="189"/>
  <c r="U77" i="189"/>
  <c r="U87" i="189"/>
  <c r="U86" i="189"/>
  <c r="U79" i="189"/>
  <c r="U72" i="189"/>
  <c r="U71" i="189"/>
  <c r="U78" i="189"/>
  <c r="U76" i="189"/>
  <c r="U88" i="189"/>
  <c r="U75" i="189"/>
  <c r="U73" i="189"/>
  <c r="U74" i="189"/>
  <c r="U80" i="189"/>
  <c r="U81" i="189"/>
  <c r="U83" i="189"/>
  <c r="U84" i="189"/>
  <c r="W64" i="189"/>
  <c r="W61" i="189"/>
  <c r="W84" i="189"/>
  <c r="W77" i="189"/>
  <c r="W87" i="189"/>
  <c r="W86" i="189"/>
  <c r="W80" i="189"/>
  <c r="W81" i="189"/>
  <c r="W73" i="189"/>
  <c r="W74" i="189"/>
  <c r="W78" i="189"/>
  <c r="W72" i="189"/>
  <c r="W79" i="189"/>
  <c r="W89" i="189"/>
  <c r="W75" i="189"/>
  <c r="W76" i="189"/>
  <c r="W83" i="189"/>
  <c r="W88" i="189"/>
  <c r="W85" i="189"/>
  <c r="BO61" i="189"/>
  <c r="BO64" i="189"/>
  <c r="BO77" i="189"/>
  <c r="BO78" i="189"/>
  <c r="BO73" i="189"/>
  <c r="BO70" i="189" s="1"/>
  <c r="BO74" i="189"/>
  <c r="Z71" i="189"/>
  <c r="BA84" i="189"/>
  <c r="BA79" i="189"/>
  <c r="Q50" i="190"/>
  <c r="R80" i="189"/>
  <c r="BH78" i="191"/>
  <c r="BH76" i="191"/>
  <c r="BH99" i="191"/>
  <c r="BH65" i="191"/>
  <c r="BH68" i="191"/>
  <c r="BH75" i="191"/>
  <c r="BH87" i="191"/>
  <c r="BH64" i="191"/>
  <c r="BH109" i="191"/>
  <c r="BH83" i="191"/>
  <c r="BH85" i="191"/>
  <c r="BH106" i="191"/>
  <c r="BH71" i="191"/>
  <c r="BH104" i="191"/>
  <c r="BH92" i="191"/>
  <c r="BH102" i="191"/>
  <c r="BH86" i="191"/>
  <c r="BH93" i="191"/>
  <c r="BH103" i="191"/>
  <c r="BH108" i="191"/>
  <c r="BH91" i="191"/>
  <c r="BH95" i="191"/>
  <c r="BH105" i="191"/>
  <c r="BH89" i="191"/>
  <c r="BH74" i="191"/>
  <c r="BH80" i="191"/>
  <c r="BH90" i="191"/>
  <c r="BH81" i="191"/>
  <c r="BH67" i="191"/>
  <c r="BH84" i="191"/>
  <c r="BH94" i="191"/>
  <c r="BH101" i="191"/>
  <c r="BH88" i="191"/>
  <c r="BH107" i="191"/>
  <c r="BH73" i="191"/>
  <c r="BH96" i="191"/>
  <c r="BH100" i="191"/>
  <c r="BH79" i="191"/>
  <c r="BH98" i="191"/>
  <c r="BH97" i="191"/>
  <c r="BH72" i="191"/>
  <c r="BM61" i="189"/>
  <c r="BM64" i="189"/>
  <c r="BM73" i="189"/>
  <c r="BM79" i="189"/>
  <c r="BM77" i="189"/>
  <c r="BM80" i="189"/>
  <c r="BM87" i="189"/>
  <c r="BM86" i="189"/>
  <c r="BM78" i="189"/>
  <c r="BM89" i="189"/>
  <c r="BM85" i="189"/>
  <c r="AF89" i="189"/>
  <c r="BP89" i="189"/>
  <c r="AF74" i="189"/>
  <c r="M61" i="189"/>
  <c r="M64" i="189"/>
  <c r="M89" i="189"/>
  <c r="M82" i="189" s="1"/>
  <c r="M79" i="189"/>
  <c r="AE28" i="190"/>
  <c r="AE27" i="190"/>
  <c r="AE53" i="190"/>
  <c r="BR20" i="189"/>
  <c r="BL63" i="189"/>
  <c r="AF67" i="191"/>
  <c r="AE46" i="190"/>
  <c r="I61" i="189"/>
  <c r="I76" i="189"/>
  <c r="I64" i="189"/>
  <c r="I78" i="189"/>
  <c r="I87" i="189"/>
  <c r="I88" i="189"/>
  <c r="I84" i="189"/>
  <c r="I72" i="189"/>
  <c r="I81" i="189"/>
  <c r="I86" i="189"/>
  <c r="I80" i="189"/>
  <c r="I73" i="189"/>
  <c r="I79" i="189"/>
  <c r="I77" i="189"/>
  <c r="I89" i="189"/>
  <c r="I85" i="189"/>
  <c r="I74" i="189"/>
  <c r="I83" i="189"/>
  <c r="I82" i="189" s="1"/>
  <c r="I71" i="189"/>
  <c r="BP78" i="189"/>
  <c r="Q28" i="190"/>
  <c r="Q27" i="190"/>
  <c r="Q46" i="190"/>
  <c r="Q49" i="190"/>
  <c r="BE47" i="190"/>
  <c r="G61" i="189"/>
  <c r="G85" i="189"/>
  <c r="G64" i="189"/>
  <c r="G72" i="189"/>
  <c r="G79" i="189"/>
  <c r="G80" i="189"/>
  <c r="G73" i="189"/>
  <c r="G87" i="189"/>
  <c r="G88" i="189"/>
  <c r="G71" i="189"/>
  <c r="G89" i="189"/>
  <c r="G77" i="189"/>
  <c r="G83" i="189"/>
  <c r="G76" i="189"/>
  <c r="G81" i="189"/>
  <c r="G74" i="189"/>
  <c r="G84" i="189"/>
  <c r="G78" i="189"/>
  <c r="G75" i="189"/>
  <c r="G86" i="189"/>
  <c r="W71" i="189"/>
  <c r="W70" i="189" s="1"/>
  <c r="BM74" i="189"/>
  <c r="U85" i="189"/>
  <c r="AT84" i="189"/>
  <c r="L61" i="189"/>
  <c r="L73" i="189"/>
  <c r="L64" i="189"/>
  <c r="L89" i="189"/>
  <c r="L88" i="189"/>
  <c r="L84" i="189"/>
  <c r="L79" i="189"/>
  <c r="L87" i="189"/>
  <c r="L72" i="189"/>
  <c r="L77" i="189"/>
  <c r="L86" i="189"/>
  <c r="L81" i="189"/>
  <c r="L71" i="189"/>
  <c r="L80" i="189"/>
  <c r="L78" i="189"/>
  <c r="L76" i="189"/>
  <c r="L85" i="189"/>
  <c r="BO83" i="189"/>
  <c r="BO82" i="189" s="1"/>
  <c r="AE72" i="189"/>
  <c r="AF84" i="189"/>
  <c r="BM71" i="189"/>
  <c r="Q44" i="190"/>
  <c r="H64" i="189"/>
  <c r="H61" i="189"/>
  <c r="H81" i="189"/>
  <c r="H87" i="189"/>
  <c r="H79" i="189"/>
  <c r="H72" i="189"/>
  <c r="H88" i="189"/>
  <c r="H77" i="189"/>
  <c r="H74" i="189"/>
  <c r="H89" i="189"/>
  <c r="H80" i="189"/>
  <c r="H78" i="189"/>
  <c r="H86" i="189"/>
  <c r="H76" i="189"/>
  <c r="H84" i="189"/>
  <c r="H71" i="189"/>
  <c r="H83" i="189"/>
  <c r="H73" i="189"/>
  <c r="E85" i="189"/>
  <c r="AG87" i="189"/>
  <c r="BR28" i="189"/>
  <c r="E35" i="139" s="1"/>
  <c r="AR27" i="190"/>
  <c r="AE39" i="190"/>
  <c r="AF64" i="189"/>
  <c r="AF61" i="189"/>
  <c r="AF73" i="189"/>
  <c r="AF78" i="189"/>
  <c r="S56" i="190"/>
  <c r="BR13" i="189"/>
  <c r="BO110" i="191"/>
  <c r="R72" i="189"/>
  <c r="J61" i="189"/>
  <c r="J64" i="189"/>
  <c r="J73" i="189"/>
  <c r="J78" i="189"/>
  <c r="J75" i="189"/>
  <c r="J80" i="189"/>
  <c r="J76" i="189"/>
  <c r="J87" i="189"/>
  <c r="J77" i="189"/>
  <c r="J84" i="189"/>
  <c r="J79" i="189"/>
  <c r="J85" i="189"/>
  <c r="J74" i="189"/>
  <c r="J81" i="189"/>
  <c r="J89" i="189"/>
  <c r="AX73" i="189"/>
  <c r="BV110" i="191"/>
  <c r="AT77" i="189"/>
  <c r="R84" i="189"/>
  <c r="AN60" i="189"/>
  <c r="O63" i="189"/>
  <c r="O40" i="189"/>
  <c r="O60" i="189" s="1"/>
  <c r="K64" i="189"/>
  <c r="K88" i="189"/>
  <c r="K61" i="189"/>
  <c r="K73" i="189"/>
  <c r="K77" i="189"/>
  <c r="K86" i="189"/>
  <c r="K81" i="189"/>
  <c r="K85" i="189"/>
  <c r="K74" i="189"/>
  <c r="K78" i="189"/>
  <c r="K80" i="189"/>
  <c r="K79" i="189"/>
  <c r="K76" i="189"/>
  <c r="K87" i="189"/>
  <c r="K84" i="189"/>
  <c r="BQ78" i="189"/>
  <c r="BE41" i="190"/>
  <c r="BE54" i="190"/>
  <c r="Y61" i="189"/>
  <c r="Y64" i="189"/>
  <c r="Y84" i="189"/>
  <c r="Y88" i="189"/>
  <c r="Y74" i="189"/>
  <c r="Y78" i="189"/>
  <c r="Y87" i="189"/>
  <c r="Y89" i="189"/>
  <c r="Y77" i="189"/>
  <c r="Y79" i="189"/>
  <c r="Y75" i="189"/>
  <c r="Y76" i="189"/>
  <c r="Y73" i="189"/>
  <c r="Y81" i="189"/>
  <c r="Y72" i="189"/>
  <c r="Y70" i="189" s="1"/>
  <c r="Y85" i="189"/>
  <c r="Y80" i="189"/>
  <c r="Y86" i="189"/>
  <c r="Y83" i="189"/>
  <c r="M71" i="189"/>
  <c r="AB60" i="189"/>
  <c r="BE49" i="190"/>
  <c r="BR23" i="189"/>
  <c r="E30" i="139" s="1"/>
  <c r="L56" i="190"/>
  <c r="AY40" i="189"/>
  <c r="AY60" i="189" s="1"/>
  <c r="AR40" i="190"/>
  <c r="AR50" i="190"/>
  <c r="AR55" i="190"/>
  <c r="AD46" i="190"/>
  <c r="AJ60" i="189"/>
  <c r="BT99" i="93"/>
  <c r="BS99" i="93"/>
  <c r="BR99" i="93"/>
  <c r="BQ99" i="93"/>
  <c r="BP99" i="93"/>
  <c r="BO99" i="93"/>
  <c r="BN99" i="93"/>
  <c r="BM99" i="93"/>
  <c r="BL99" i="93"/>
  <c r="BK99" i="93"/>
  <c r="BJ99" i="93"/>
  <c r="BI99" i="93"/>
  <c r="BH99" i="93"/>
  <c r="BT98" i="93"/>
  <c r="BS98" i="93"/>
  <c r="BR98" i="93"/>
  <c r="BQ98" i="93"/>
  <c r="BP98" i="93"/>
  <c r="BO98" i="93"/>
  <c r="BN98" i="93"/>
  <c r="BM98" i="93"/>
  <c r="BL98" i="93"/>
  <c r="BK98" i="93"/>
  <c r="BJ98" i="93"/>
  <c r="BI98" i="93"/>
  <c r="BH98" i="93"/>
  <c r="BT97" i="93"/>
  <c r="BS97" i="93"/>
  <c r="BR97" i="93"/>
  <c r="BQ97" i="93"/>
  <c r="BP97" i="93"/>
  <c r="BO97" i="93"/>
  <c r="BN97" i="93"/>
  <c r="BM97" i="93"/>
  <c r="BL97" i="93"/>
  <c r="BK97" i="93"/>
  <c r="BJ97" i="93"/>
  <c r="BI97" i="93"/>
  <c r="BH97" i="93"/>
  <c r="BT96" i="93"/>
  <c r="BS96" i="93"/>
  <c r="BR96" i="93"/>
  <c r="BQ96" i="93"/>
  <c r="BP96" i="93"/>
  <c r="BO96" i="93"/>
  <c r="BN96" i="93"/>
  <c r="BM96" i="93"/>
  <c r="BL96" i="93"/>
  <c r="BK96" i="93"/>
  <c r="BJ96" i="93"/>
  <c r="BI96" i="93"/>
  <c r="BH96" i="93"/>
  <c r="AR99" i="93"/>
  <c r="AQ99" i="93"/>
  <c r="AP99" i="93"/>
  <c r="AO99" i="93"/>
  <c r="AN99" i="93"/>
  <c r="AM99" i="93"/>
  <c r="AL99" i="93"/>
  <c r="AK99" i="93"/>
  <c r="AJ99" i="93"/>
  <c r="AI99" i="93"/>
  <c r="AH99" i="93"/>
  <c r="AG99" i="93"/>
  <c r="AF99" i="93"/>
  <c r="AR98" i="93"/>
  <c r="AQ98" i="93"/>
  <c r="AP98" i="93"/>
  <c r="AO98" i="93"/>
  <c r="AN98" i="93"/>
  <c r="AM98" i="93"/>
  <c r="AL98" i="93"/>
  <c r="AK98" i="93"/>
  <c r="AJ98" i="93"/>
  <c r="AI98" i="93"/>
  <c r="AH98" i="93"/>
  <c r="AG98" i="93"/>
  <c r="AF98" i="93"/>
  <c r="AR97" i="93"/>
  <c r="AQ97" i="93"/>
  <c r="AP97" i="93"/>
  <c r="AO97" i="93"/>
  <c r="AN97" i="93"/>
  <c r="AM97" i="93"/>
  <c r="AL97" i="93"/>
  <c r="AK97" i="93"/>
  <c r="AJ97" i="93"/>
  <c r="AI97" i="93"/>
  <c r="AH97" i="93"/>
  <c r="AG97" i="93"/>
  <c r="AF97" i="93"/>
  <c r="AR96" i="93"/>
  <c r="AQ96" i="93"/>
  <c r="AP96" i="93"/>
  <c r="AO96" i="93"/>
  <c r="AN96" i="93"/>
  <c r="AM96" i="93"/>
  <c r="AL96" i="93"/>
  <c r="AK96" i="93"/>
  <c r="AJ96" i="93"/>
  <c r="AI96" i="93"/>
  <c r="AH96" i="93"/>
  <c r="AG96" i="93"/>
  <c r="AF96" i="93"/>
  <c r="P96" i="93"/>
  <c r="O96" i="93"/>
  <c r="N96" i="93"/>
  <c r="M96" i="93"/>
  <c r="L96" i="93"/>
  <c r="K96" i="93"/>
  <c r="J96" i="93"/>
  <c r="I96" i="93"/>
  <c r="H96" i="93"/>
  <c r="G96" i="93"/>
  <c r="F96" i="93"/>
  <c r="E96" i="93"/>
  <c r="D96" i="93"/>
  <c r="BS94" i="93"/>
  <c r="BR94" i="93"/>
  <c r="BQ94" i="93"/>
  <c r="BP94" i="93"/>
  <c r="BO94" i="93"/>
  <c r="BN94" i="93"/>
  <c r="BM94" i="93"/>
  <c r="BL94" i="93"/>
  <c r="BK94" i="93"/>
  <c r="BJ94" i="93"/>
  <c r="BI94" i="93"/>
  <c r="BH94" i="93"/>
  <c r="BT94" i="93" s="1"/>
  <c r="BS93" i="93"/>
  <c r="BS91" i="93" s="1"/>
  <c r="BR93" i="93"/>
  <c r="BQ93" i="93"/>
  <c r="BP93" i="93"/>
  <c r="BO93" i="93"/>
  <c r="BN93" i="93"/>
  <c r="BM93" i="93"/>
  <c r="BL93" i="93"/>
  <c r="BK93" i="93"/>
  <c r="BJ93" i="93"/>
  <c r="BJ91" i="93" s="1"/>
  <c r="BI93" i="93"/>
  <c r="BH93" i="93"/>
  <c r="BT93" i="93" s="1"/>
  <c r="BS92" i="93"/>
  <c r="BR92" i="93"/>
  <c r="BR91" i="93" s="1"/>
  <c r="BQ92" i="93"/>
  <c r="BQ91" i="93" s="1"/>
  <c r="BP92" i="93"/>
  <c r="BP91" i="93" s="1"/>
  <c r="BO92" i="93"/>
  <c r="BT92" i="93" s="1"/>
  <c r="BT91" i="93" s="1"/>
  <c r="BN92" i="93"/>
  <c r="BM92" i="93"/>
  <c r="BL92" i="93"/>
  <c r="BK92" i="93"/>
  <c r="BK91" i="93" s="1"/>
  <c r="BJ92" i="93"/>
  <c r="BI92" i="93"/>
  <c r="BI91" i="93" s="1"/>
  <c r="BH92" i="93"/>
  <c r="BH91" i="93" s="1"/>
  <c r="BN91" i="93"/>
  <c r="BM91" i="93"/>
  <c r="BL91" i="93"/>
  <c r="AQ94" i="93"/>
  <c r="AP94" i="93"/>
  <c r="AO94" i="93"/>
  <c r="AN94" i="93"/>
  <c r="AM94" i="93"/>
  <c r="AL94" i="93"/>
  <c r="AK94" i="93"/>
  <c r="AJ94" i="93"/>
  <c r="AI94" i="93"/>
  <c r="AH94" i="93"/>
  <c r="AG94" i="93"/>
  <c r="AF94" i="93"/>
  <c r="AR94" i="93" s="1"/>
  <c r="AQ93" i="93"/>
  <c r="AQ91" i="93" s="1"/>
  <c r="AP93" i="93"/>
  <c r="AP91" i="93" s="1"/>
  <c r="AO93" i="93"/>
  <c r="AN93" i="93"/>
  <c r="AM93" i="93"/>
  <c r="AL93" i="93"/>
  <c r="AK93" i="93"/>
  <c r="AJ93" i="93"/>
  <c r="AI93" i="93"/>
  <c r="AH93" i="93"/>
  <c r="AH91" i="93" s="1"/>
  <c r="AG93" i="93"/>
  <c r="AF93" i="93"/>
  <c r="AR93" i="93" s="1"/>
  <c r="AQ92" i="93"/>
  <c r="AP92" i="93"/>
  <c r="AO92" i="93"/>
  <c r="AN92" i="93"/>
  <c r="AN91" i="93" s="1"/>
  <c r="AM92" i="93"/>
  <c r="AR92" i="93" s="1"/>
  <c r="AR91" i="93" s="1"/>
  <c r="AL92" i="93"/>
  <c r="AK92" i="93"/>
  <c r="AJ92" i="93"/>
  <c r="AI92" i="93"/>
  <c r="AI91" i="93" s="1"/>
  <c r="AH92" i="93"/>
  <c r="AG92" i="93"/>
  <c r="AG91" i="93" s="1"/>
  <c r="AF92" i="93"/>
  <c r="AF91" i="93" s="1"/>
  <c r="AO91" i="93"/>
  <c r="AL91" i="93"/>
  <c r="AK91" i="93"/>
  <c r="AJ91" i="93"/>
  <c r="O94" i="93"/>
  <c r="O99" i="93" s="1"/>
  <c r="N94" i="93"/>
  <c r="N99" i="93" s="1"/>
  <c r="M94" i="93"/>
  <c r="M99" i="93" s="1"/>
  <c r="L94" i="93"/>
  <c r="K94" i="93"/>
  <c r="K99" i="93" s="1"/>
  <c r="J94" i="93"/>
  <c r="J99" i="93" s="1"/>
  <c r="I94" i="93"/>
  <c r="I99" i="93" s="1"/>
  <c r="H94" i="93"/>
  <c r="H99" i="93" s="1"/>
  <c r="G94" i="93"/>
  <c r="G99" i="93" s="1"/>
  <c r="F94" i="93"/>
  <c r="F99" i="93" s="1"/>
  <c r="E94" i="93"/>
  <c r="E99" i="93" s="1"/>
  <c r="L99" i="93"/>
  <c r="D99" i="93"/>
  <c r="P98" i="93"/>
  <c r="O98" i="93"/>
  <c r="N98" i="93"/>
  <c r="M98" i="93"/>
  <c r="L98" i="93"/>
  <c r="K98" i="93"/>
  <c r="J98" i="93"/>
  <c r="I98" i="93"/>
  <c r="H98" i="93"/>
  <c r="G98" i="93"/>
  <c r="F98" i="93"/>
  <c r="E98" i="93"/>
  <c r="D98" i="93"/>
  <c r="P97" i="93"/>
  <c r="O97" i="93"/>
  <c r="N97" i="93"/>
  <c r="M97" i="93"/>
  <c r="L97" i="93"/>
  <c r="K97" i="93"/>
  <c r="J97" i="93"/>
  <c r="I97" i="93"/>
  <c r="H97" i="93"/>
  <c r="G97" i="93"/>
  <c r="F97" i="93"/>
  <c r="E97" i="93"/>
  <c r="D97" i="93"/>
  <c r="D94" i="93"/>
  <c r="O93" i="93"/>
  <c r="O91" i="93" s="1"/>
  <c r="N93" i="93"/>
  <c r="N91" i="93" s="1"/>
  <c r="M93" i="93"/>
  <c r="M91" i="93" s="1"/>
  <c r="L93" i="93"/>
  <c r="K93" i="93"/>
  <c r="J93" i="93"/>
  <c r="J91" i="93" s="1"/>
  <c r="I93" i="93"/>
  <c r="H93" i="93"/>
  <c r="G93" i="93"/>
  <c r="F93" i="93"/>
  <c r="E93" i="93"/>
  <c r="P93" i="93" s="1"/>
  <c r="D93" i="93"/>
  <c r="O92" i="93"/>
  <c r="N92" i="93"/>
  <c r="M92" i="93"/>
  <c r="L92" i="93"/>
  <c r="K92" i="93"/>
  <c r="J92" i="93"/>
  <c r="I92" i="93"/>
  <c r="H92" i="93"/>
  <c r="G92" i="93"/>
  <c r="F92" i="93"/>
  <c r="E92" i="93"/>
  <c r="D92" i="93"/>
  <c r="K91" i="93"/>
  <c r="BT89" i="93"/>
  <c r="BT88" i="93"/>
  <c r="BT87" i="93"/>
  <c r="BT86" i="93" s="1"/>
  <c r="AR89" i="93"/>
  <c r="AR88" i="93"/>
  <c r="AR87" i="93"/>
  <c r="AR86" i="93"/>
  <c r="P89" i="93"/>
  <c r="P88" i="93"/>
  <c r="P87" i="93"/>
  <c r="P86" i="93"/>
  <c r="O89" i="93"/>
  <c r="N89" i="93"/>
  <c r="M89" i="93"/>
  <c r="L89" i="93"/>
  <c r="K89" i="93"/>
  <c r="J89" i="93"/>
  <c r="I89" i="93"/>
  <c r="H89" i="93"/>
  <c r="G89" i="93"/>
  <c r="F89" i="93"/>
  <c r="E89" i="93"/>
  <c r="D89" i="93"/>
  <c r="O88" i="93"/>
  <c r="N88" i="93"/>
  <c r="M88" i="93"/>
  <c r="L88" i="93"/>
  <c r="L86" i="93" s="1"/>
  <c r="K88" i="93"/>
  <c r="J88" i="93"/>
  <c r="I88" i="93"/>
  <c r="H88" i="93"/>
  <c r="G88" i="93"/>
  <c r="F88" i="93"/>
  <c r="E88" i="93"/>
  <c r="D88" i="93"/>
  <c r="O87" i="93"/>
  <c r="O86" i="93" s="1"/>
  <c r="N87" i="93"/>
  <c r="N86" i="93" s="1"/>
  <c r="M87" i="93"/>
  <c r="M86" i="93" s="1"/>
  <c r="L87" i="93"/>
  <c r="K87" i="93"/>
  <c r="K86" i="93" s="1"/>
  <c r="J87" i="93"/>
  <c r="J86" i="93" s="1"/>
  <c r="I87" i="93"/>
  <c r="I86" i="93" s="1"/>
  <c r="H87" i="93"/>
  <c r="H86" i="93" s="1"/>
  <c r="G87" i="93"/>
  <c r="F87" i="93"/>
  <c r="E87" i="93"/>
  <c r="D87" i="93"/>
  <c r="G86" i="93"/>
  <c r="F86" i="93"/>
  <c r="E86" i="93"/>
  <c r="D86" i="93"/>
  <c r="AQ89" i="93"/>
  <c r="AP89" i="93"/>
  <c r="AO89" i="93"/>
  <c r="AN89" i="93"/>
  <c r="AM89" i="93"/>
  <c r="AL89" i="93"/>
  <c r="AK89" i="93"/>
  <c r="AJ89" i="93"/>
  <c r="AI89" i="93"/>
  <c r="AH89" i="93"/>
  <c r="AG89" i="93"/>
  <c r="AF89" i="93"/>
  <c r="AQ88" i="93"/>
  <c r="AP88" i="93"/>
  <c r="AO88" i="93"/>
  <c r="AN88" i="93"/>
  <c r="AM88" i="93"/>
  <c r="AL88" i="93"/>
  <c r="AK88" i="93"/>
  <c r="AJ88" i="93"/>
  <c r="AI88" i="93"/>
  <c r="AH88" i="93"/>
  <c r="AG88" i="93"/>
  <c r="AF88" i="93"/>
  <c r="AQ87" i="93"/>
  <c r="AQ86" i="93" s="1"/>
  <c r="AP87" i="93"/>
  <c r="AP86" i="93" s="1"/>
  <c r="AO87" i="93"/>
  <c r="AO86" i="93" s="1"/>
  <c r="AN87" i="93"/>
  <c r="AN86" i="93" s="1"/>
  <c r="AM87" i="93"/>
  <c r="AM86" i="93" s="1"/>
  <c r="AL87" i="93"/>
  <c r="AL86" i="93" s="1"/>
  <c r="AK87" i="93"/>
  <c r="AK86" i="93" s="1"/>
  <c r="AJ87" i="93"/>
  <c r="AJ86" i="93" s="1"/>
  <c r="AI87" i="93"/>
  <c r="AH87" i="93"/>
  <c r="AG87" i="93"/>
  <c r="AF87" i="93"/>
  <c r="AI86" i="93"/>
  <c r="AH86" i="93"/>
  <c r="AG86" i="93"/>
  <c r="AF86" i="93"/>
  <c r="BS89" i="93"/>
  <c r="BR89" i="93"/>
  <c r="BQ89" i="93"/>
  <c r="BP89" i="93"/>
  <c r="BO89" i="93"/>
  <c r="BN89" i="93"/>
  <c r="BM89" i="93"/>
  <c r="BL89" i="93"/>
  <c r="BK89" i="93"/>
  <c r="BJ89" i="93"/>
  <c r="BI89" i="93"/>
  <c r="BH89" i="93"/>
  <c r="BS88" i="93"/>
  <c r="BR88" i="93"/>
  <c r="BQ88" i="93"/>
  <c r="BQ86" i="93" s="1"/>
  <c r="BP88" i="93"/>
  <c r="BO88" i="93"/>
  <c r="BO86" i="93" s="1"/>
  <c r="BN88" i="93"/>
  <c r="BN86" i="93" s="1"/>
  <c r="BM88" i="93"/>
  <c r="BL88" i="93"/>
  <c r="BK88" i="93"/>
  <c r="BJ88" i="93"/>
  <c r="BI88" i="93"/>
  <c r="BH88" i="93"/>
  <c r="BP86" i="93"/>
  <c r="BS87" i="93"/>
  <c r="BS86" i="93" s="1"/>
  <c r="BR87" i="93"/>
  <c r="BQ87" i="93"/>
  <c r="BP87" i="93"/>
  <c r="BO87" i="93"/>
  <c r="BN87" i="93"/>
  <c r="BM87" i="93"/>
  <c r="BL87" i="93"/>
  <c r="BK87" i="93"/>
  <c r="BJ87" i="93"/>
  <c r="BI87" i="93"/>
  <c r="BH87" i="93"/>
  <c r="J458" i="185"/>
  <c r="J457" i="185"/>
  <c r="J456" i="185"/>
  <c r="J455" i="185"/>
  <c r="J454" i="185"/>
  <c r="J453" i="185"/>
  <c r="J452" i="185"/>
  <c r="J451" i="185"/>
  <c r="J450" i="185"/>
  <c r="J449" i="185"/>
  <c r="J448" i="185"/>
  <c r="J447" i="185"/>
  <c r="J446" i="185"/>
  <c r="J445" i="185"/>
  <c r="J444" i="185"/>
  <c r="J443" i="185"/>
  <c r="J442" i="185"/>
  <c r="J441" i="185"/>
  <c r="J440" i="185"/>
  <c r="J439" i="185"/>
  <c r="J438" i="185"/>
  <c r="J437" i="185"/>
  <c r="J436" i="185"/>
  <c r="J435" i="185"/>
  <c r="J434" i="185"/>
  <c r="J433" i="185"/>
  <c r="J432" i="185"/>
  <c r="J431" i="185"/>
  <c r="J430" i="185"/>
  <c r="J429" i="185"/>
  <c r="J428" i="185"/>
  <c r="J427" i="185"/>
  <c r="J426" i="185"/>
  <c r="J425" i="185"/>
  <c r="J424" i="185"/>
  <c r="J423" i="185"/>
  <c r="J422" i="185"/>
  <c r="J421" i="185"/>
  <c r="J420" i="185"/>
  <c r="J419" i="185"/>
  <c r="J418" i="185"/>
  <c r="J417" i="185"/>
  <c r="J416" i="185"/>
  <c r="J415" i="185"/>
  <c r="J414" i="185"/>
  <c r="J413" i="185"/>
  <c r="J412" i="185"/>
  <c r="J411" i="185"/>
  <c r="J410" i="185"/>
  <c r="J409" i="185"/>
  <c r="J408" i="185"/>
  <c r="J407" i="185"/>
  <c r="J406" i="185"/>
  <c r="J405" i="185"/>
  <c r="J404" i="185"/>
  <c r="J403" i="185"/>
  <c r="J402" i="185"/>
  <c r="J401" i="185"/>
  <c r="J400" i="185"/>
  <c r="J399" i="185"/>
  <c r="J398" i="185"/>
  <c r="J397" i="185"/>
  <c r="J396" i="185"/>
  <c r="J395" i="185"/>
  <c r="J394" i="185"/>
  <c r="J393" i="185"/>
  <c r="J392" i="185"/>
  <c r="J391" i="185"/>
  <c r="J390" i="185"/>
  <c r="J389" i="185"/>
  <c r="J388" i="185"/>
  <c r="J387" i="185"/>
  <c r="J386" i="185"/>
  <c r="J385" i="185"/>
  <c r="J384" i="185"/>
  <c r="J383" i="185"/>
  <c r="J382" i="185"/>
  <c r="J381" i="185"/>
  <c r="J380" i="185"/>
  <c r="J379" i="185"/>
  <c r="J378" i="185"/>
  <c r="J377" i="185"/>
  <c r="J376" i="185"/>
  <c r="J375" i="185"/>
  <c r="J374" i="185"/>
  <c r="J373" i="185"/>
  <c r="J372" i="185"/>
  <c r="J371" i="185"/>
  <c r="J370" i="185"/>
  <c r="J369" i="185"/>
  <c r="J368" i="185"/>
  <c r="J367" i="185"/>
  <c r="J366" i="185"/>
  <c r="J365" i="185"/>
  <c r="J364" i="185"/>
  <c r="J363" i="185"/>
  <c r="J362" i="185"/>
  <c r="J361" i="185"/>
  <c r="J360" i="185"/>
  <c r="J359" i="185"/>
  <c r="J358" i="185"/>
  <c r="J357" i="185"/>
  <c r="J356" i="185"/>
  <c r="J355" i="185"/>
  <c r="J354" i="185"/>
  <c r="J353" i="185"/>
  <c r="J352" i="185"/>
  <c r="J351" i="185"/>
  <c r="J350" i="185"/>
  <c r="J349" i="185"/>
  <c r="J348" i="185"/>
  <c r="J347" i="185"/>
  <c r="J346" i="185"/>
  <c r="J345" i="185"/>
  <c r="J344" i="185"/>
  <c r="J343" i="185"/>
  <c r="J342" i="185"/>
  <c r="J341" i="185"/>
  <c r="J340" i="185"/>
  <c r="J339" i="185"/>
  <c r="J338" i="185"/>
  <c r="J337" i="185"/>
  <c r="J336" i="185"/>
  <c r="J335" i="185"/>
  <c r="J334" i="185"/>
  <c r="J333" i="185"/>
  <c r="J332" i="185"/>
  <c r="J331" i="185"/>
  <c r="J330" i="185"/>
  <c r="J329" i="185"/>
  <c r="J328" i="185"/>
  <c r="J327" i="185"/>
  <c r="J326" i="185"/>
  <c r="J325" i="185"/>
  <c r="J324" i="185"/>
  <c r="J323" i="185"/>
  <c r="J322" i="185"/>
  <c r="J321" i="185"/>
  <c r="J320" i="185"/>
  <c r="J319" i="185"/>
  <c r="J318" i="185"/>
  <c r="J317" i="185"/>
  <c r="J316" i="185"/>
  <c r="J315" i="185"/>
  <c r="J314" i="185"/>
  <c r="J313" i="185"/>
  <c r="J312" i="185"/>
  <c r="J311" i="185"/>
  <c r="J310" i="185"/>
  <c r="J309" i="185"/>
  <c r="J308" i="185"/>
  <c r="J307" i="185"/>
  <c r="J306" i="185"/>
  <c r="J305" i="185"/>
  <c r="J304" i="185"/>
  <c r="J303" i="185"/>
  <c r="J302" i="185"/>
  <c r="J301" i="185"/>
  <c r="J300" i="185"/>
  <c r="J299" i="185"/>
  <c r="J298" i="185"/>
  <c r="J297" i="185"/>
  <c r="J296" i="185"/>
  <c r="J295" i="185"/>
  <c r="J294" i="185"/>
  <c r="J293" i="185"/>
  <c r="J292" i="185"/>
  <c r="J291" i="185"/>
  <c r="J290" i="185"/>
  <c r="J289" i="185"/>
  <c r="J288" i="185"/>
  <c r="J287" i="185"/>
  <c r="J286" i="185"/>
  <c r="J285" i="185"/>
  <c r="J284" i="185"/>
  <c r="J283" i="185"/>
  <c r="J282" i="185"/>
  <c r="J281" i="185"/>
  <c r="J280" i="185"/>
  <c r="J279" i="185"/>
  <c r="J278" i="185"/>
  <c r="J277" i="185"/>
  <c r="J276" i="185"/>
  <c r="J275" i="185"/>
  <c r="J274" i="185"/>
  <c r="J273" i="185"/>
  <c r="J272" i="185"/>
  <c r="J271" i="185"/>
  <c r="J270" i="185"/>
  <c r="J269" i="185"/>
  <c r="J268" i="185"/>
  <c r="J267" i="185"/>
  <c r="J266" i="185"/>
  <c r="J265" i="185"/>
  <c r="J264" i="185"/>
  <c r="J263" i="185"/>
  <c r="J262" i="185"/>
  <c r="J261" i="185"/>
  <c r="J260" i="185"/>
  <c r="J259" i="185"/>
  <c r="J258" i="185"/>
  <c r="J257" i="185"/>
  <c r="J256" i="185"/>
  <c r="J255" i="185"/>
  <c r="J254" i="185"/>
  <c r="J253" i="185"/>
  <c r="J252" i="185"/>
  <c r="J251" i="185"/>
  <c r="J250" i="185"/>
  <c r="J249" i="185"/>
  <c r="J248" i="185"/>
  <c r="J247" i="185"/>
  <c r="J246" i="185"/>
  <c r="J245" i="185"/>
  <c r="J244" i="185"/>
  <c r="J243" i="185"/>
  <c r="J242" i="185"/>
  <c r="J241" i="185"/>
  <c r="J240" i="185"/>
  <c r="J239" i="185"/>
  <c r="J238" i="185"/>
  <c r="J237" i="185"/>
  <c r="J236" i="185"/>
  <c r="J235" i="185"/>
  <c r="J234" i="185"/>
  <c r="J233" i="185"/>
  <c r="J232" i="185"/>
  <c r="J231" i="185"/>
  <c r="J230" i="185"/>
  <c r="J229" i="185"/>
  <c r="J228" i="185"/>
  <c r="J227" i="185"/>
  <c r="J226" i="185"/>
  <c r="J225" i="185"/>
  <c r="J224" i="185"/>
  <c r="J223" i="185"/>
  <c r="J222" i="185"/>
  <c r="J221" i="185"/>
  <c r="J220" i="185"/>
  <c r="J219" i="185"/>
  <c r="J218" i="185"/>
  <c r="J217" i="185"/>
  <c r="J216" i="185"/>
  <c r="J215" i="185"/>
  <c r="J214" i="185"/>
  <c r="J213" i="185"/>
  <c r="J212" i="185"/>
  <c r="J211" i="185"/>
  <c r="J210" i="185"/>
  <c r="J209" i="185"/>
  <c r="J208" i="185"/>
  <c r="J207" i="185"/>
  <c r="J206" i="185"/>
  <c r="J205" i="185"/>
  <c r="J204" i="185"/>
  <c r="J203" i="185"/>
  <c r="J202" i="185"/>
  <c r="J201" i="185"/>
  <c r="J200" i="185"/>
  <c r="J199" i="185"/>
  <c r="J198" i="185"/>
  <c r="J197" i="185"/>
  <c r="J196" i="185"/>
  <c r="J195" i="185"/>
  <c r="J194" i="185"/>
  <c r="J193" i="185"/>
  <c r="J192" i="185"/>
  <c r="J191" i="185"/>
  <c r="J190" i="185"/>
  <c r="J189" i="185"/>
  <c r="J188" i="185"/>
  <c r="J187" i="185"/>
  <c r="J186" i="185"/>
  <c r="J185" i="185"/>
  <c r="J184" i="185"/>
  <c r="J183" i="185"/>
  <c r="J182" i="185"/>
  <c r="J181" i="185"/>
  <c r="J180" i="185"/>
  <c r="J179" i="185"/>
  <c r="J178" i="185"/>
  <c r="J177" i="185"/>
  <c r="J176" i="185"/>
  <c r="J175" i="185"/>
  <c r="J174" i="185"/>
  <c r="J173" i="185"/>
  <c r="J172" i="185"/>
  <c r="J171" i="185"/>
  <c r="J170" i="185"/>
  <c r="J169" i="185"/>
  <c r="J168" i="185"/>
  <c r="J167" i="185"/>
  <c r="J166" i="185"/>
  <c r="J165" i="185"/>
  <c r="J164" i="185"/>
  <c r="J163" i="185"/>
  <c r="J162" i="185"/>
  <c r="J161" i="185"/>
  <c r="J160" i="185"/>
  <c r="J159" i="185"/>
  <c r="J158" i="185"/>
  <c r="J157" i="185"/>
  <c r="J156" i="185"/>
  <c r="J155" i="185"/>
  <c r="J154" i="185"/>
  <c r="J153" i="185"/>
  <c r="J152" i="185"/>
  <c r="J151" i="185"/>
  <c r="J150" i="185"/>
  <c r="J149" i="185"/>
  <c r="J148" i="185"/>
  <c r="J147" i="185"/>
  <c r="J146" i="185"/>
  <c r="J145" i="185"/>
  <c r="J144" i="185"/>
  <c r="J143" i="185"/>
  <c r="J142" i="185"/>
  <c r="J141" i="185"/>
  <c r="J140" i="185"/>
  <c r="J139" i="185"/>
  <c r="J138" i="185"/>
  <c r="J137" i="185"/>
  <c r="J136" i="185"/>
  <c r="J135" i="185"/>
  <c r="J134" i="185"/>
  <c r="J133" i="185"/>
  <c r="J132" i="185"/>
  <c r="J131" i="185"/>
  <c r="J130" i="185"/>
  <c r="J129" i="185"/>
  <c r="J128" i="185"/>
  <c r="J127" i="185"/>
  <c r="J126" i="185"/>
  <c r="J125" i="185"/>
  <c r="J124" i="185"/>
  <c r="J123" i="185"/>
  <c r="J122" i="185"/>
  <c r="J121" i="185"/>
  <c r="J120" i="185"/>
  <c r="J119" i="185"/>
  <c r="J118" i="185"/>
  <c r="J117" i="185"/>
  <c r="J116" i="185"/>
  <c r="J115" i="185"/>
  <c r="J114" i="185"/>
  <c r="J113" i="185"/>
  <c r="J112" i="185"/>
  <c r="J111" i="185"/>
  <c r="J110" i="185"/>
  <c r="J109" i="185"/>
  <c r="J108" i="185"/>
  <c r="J107" i="185"/>
  <c r="J106" i="185"/>
  <c r="J105" i="185"/>
  <c r="J104" i="185"/>
  <c r="J103" i="185"/>
  <c r="J102" i="185"/>
  <c r="J101" i="185"/>
  <c r="J100" i="185"/>
  <c r="J99" i="185"/>
  <c r="J98" i="185"/>
  <c r="J97" i="185"/>
  <c r="J96" i="185"/>
  <c r="J95" i="185"/>
  <c r="J94" i="185"/>
  <c r="J93" i="185"/>
  <c r="J92" i="185"/>
  <c r="J91" i="185"/>
  <c r="J90" i="185"/>
  <c r="J89" i="185"/>
  <c r="J88" i="185"/>
  <c r="J87" i="185"/>
  <c r="J86" i="185"/>
  <c r="J85" i="185"/>
  <c r="J84" i="185"/>
  <c r="J83" i="185"/>
  <c r="J82" i="185"/>
  <c r="J81" i="185"/>
  <c r="J80" i="185"/>
  <c r="J79" i="185"/>
  <c r="J78" i="185"/>
  <c r="J77" i="185"/>
  <c r="J76" i="185"/>
  <c r="J75" i="185"/>
  <c r="J74" i="185"/>
  <c r="J73" i="185"/>
  <c r="J72" i="185"/>
  <c r="J71" i="185"/>
  <c r="J70" i="185"/>
  <c r="J69" i="185"/>
  <c r="J68" i="185"/>
  <c r="J67" i="185"/>
  <c r="J66" i="185"/>
  <c r="J65" i="185"/>
  <c r="J64" i="185"/>
  <c r="J63" i="185"/>
  <c r="J62" i="185"/>
  <c r="J61" i="185"/>
  <c r="J60" i="185"/>
  <c r="J59" i="185"/>
  <c r="J58" i="185"/>
  <c r="J57" i="185"/>
  <c r="J56" i="185"/>
  <c r="J55" i="185"/>
  <c r="J54" i="185"/>
  <c r="J53" i="185"/>
  <c r="J52" i="185"/>
  <c r="J51" i="185"/>
  <c r="J50" i="185"/>
  <c r="J49" i="185"/>
  <c r="J48" i="185"/>
  <c r="J47" i="185"/>
  <c r="J46" i="185"/>
  <c r="J45" i="185"/>
  <c r="J44" i="185"/>
  <c r="J43" i="185"/>
  <c r="J42" i="185"/>
  <c r="J41" i="185"/>
  <c r="J40" i="185"/>
  <c r="J39" i="185"/>
  <c r="J38" i="185"/>
  <c r="J37" i="185"/>
  <c r="J36" i="185"/>
  <c r="J35" i="185"/>
  <c r="J34" i="185"/>
  <c r="J33" i="185"/>
  <c r="J32" i="185"/>
  <c r="J31" i="185"/>
  <c r="J30" i="185"/>
  <c r="J29" i="185"/>
  <c r="J28" i="185"/>
  <c r="J27" i="185"/>
  <c r="J26" i="185"/>
  <c r="J25" i="185"/>
  <c r="J24" i="185"/>
  <c r="J23" i="185"/>
  <c r="J22" i="185"/>
  <c r="J21" i="185"/>
  <c r="J20" i="185"/>
  <c r="J19" i="185"/>
  <c r="J18" i="185"/>
  <c r="J17" i="185"/>
  <c r="J16" i="185"/>
  <c r="J15" i="185"/>
  <c r="J14" i="185"/>
  <c r="J13" i="185"/>
  <c r="J12" i="185"/>
  <c r="J11" i="185"/>
  <c r="J10" i="185"/>
  <c r="J9" i="185"/>
  <c r="J8" i="185"/>
  <c r="J7" i="185"/>
  <c r="J6" i="185"/>
  <c r="J5" i="185"/>
  <c r="J4" i="185"/>
  <c r="J3" i="185"/>
  <c r="BR86" i="93"/>
  <c r="K75" i="189" l="1"/>
  <c r="K83" i="189"/>
  <c r="K89" i="189"/>
  <c r="K72" i="189"/>
  <c r="K71" i="189"/>
  <c r="K70" i="189" s="1"/>
  <c r="L74" i="189"/>
  <c r="L83" i="189"/>
  <c r="L82" i="189" s="1"/>
  <c r="L75" i="189"/>
  <c r="AG71" i="189"/>
  <c r="AG76" i="189"/>
  <c r="AG77" i="189"/>
  <c r="AG88" i="189"/>
  <c r="AG83" i="189"/>
  <c r="AG82" i="189" s="1"/>
  <c r="AG75" i="189"/>
  <c r="Z88" i="189"/>
  <c r="Z72" i="189"/>
  <c r="E76" i="189"/>
  <c r="E74" i="189"/>
  <c r="E80" i="189"/>
  <c r="E72" i="189"/>
  <c r="E70" i="189" s="1"/>
  <c r="R75" i="189"/>
  <c r="R79" i="189"/>
  <c r="BF81" i="189"/>
  <c r="BF75" i="189"/>
  <c r="BQ81" i="189"/>
  <c r="BQ89" i="189"/>
  <c r="BG74" i="189"/>
  <c r="BG71" i="189"/>
  <c r="BG75" i="189"/>
  <c r="AF71" i="189"/>
  <c r="AF80" i="189"/>
  <c r="AF77" i="189"/>
  <c r="BD78" i="189"/>
  <c r="BD83" i="189"/>
  <c r="BD80" i="189"/>
  <c r="BD85" i="189"/>
  <c r="BD73" i="189"/>
  <c r="BD87" i="189"/>
  <c r="BD72" i="189"/>
  <c r="BD84" i="189"/>
  <c r="BD88" i="189"/>
  <c r="BD75" i="189"/>
  <c r="BD76" i="189"/>
  <c r="BD79" i="189"/>
  <c r="BD71" i="189"/>
  <c r="BD86" i="189"/>
  <c r="BD74" i="189"/>
  <c r="BD89" i="189"/>
  <c r="BD61" i="189"/>
  <c r="BD64" i="189"/>
  <c r="BD81" i="189"/>
  <c r="BD77" i="189"/>
  <c r="AE77" i="189"/>
  <c r="AE88" i="189"/>
  <c r="AE73" i="189"/>
  <c r="AE86" i="189"/>
  <c r="AE80" i="189"/>
  <c r="AE89" i="189"/>
  <c r="AE78" i="189"/>
  <c r="AE76" i="189"/>
  <c r="AE87" i="189"/>
  <c r="AE74" i="189"/>
  <c r="AE75" i="189"/>
  <c r="AC56" i="190"/>
  <c r="BT52" i="189"/>
  <c r="BI73" i="189"/>
  <c r="X70" i="189"/>
  <c r="BP70" i="189"/>
  <c r="AE70" i="189"/>
  <c r="AA71" i="189"/>
  <c r="AT70" i="189"/>
  <c r="BQ82" i="189"/>
  <c r="J70" i="189"/>
  <c r="BA70" i="189"/>
  <c r="N71" i="189"/>
  <c r="F70" i="189"/>
  <c r="AW71" i="189"/>
  <c r="Q56" i="190"/>
  <c r="AD56" i="190"/>
  <c r="AQ46" i="189"/>
  <c r="F9" i="139" s="1"/>
  <c r="BO90" i="189"/>
  <c r="J82" i="189"/>
  <c r="O71" i="189"/>
  <c r="AU55" i="191"/>
  <c r="F37" i="139"/>
  <c r="G82" i="189"/>
  <c r="AQ57" i="189"/>
  <c r="AZ70" i="189"/>
  <c r="BU11" i="189"/>
  <c r="AP82" i="189"/>
  <c r="AH82" i="189"/>
  <c r="AU92" i="191"/>
  <c r="AU85" i="191"/>
  <c r="AU73" i="191"/>
  <c r="AU81" i="191"/>
  <c r="AU67" i="191"/>
  <c r="AU86" i="191"/>
  <c r="AU88" i="191"/>
  <c r="AU96" i="191"/>
  <c r="AU68" i="191"/>
  <c r="AU94" i="191"/>
  <c r="AU93" i="191"/>
  <c r="AU91" i="191"/>
  <c r="AU72" i="191"/>
  <c r="AU98" i="191"/>
  <c r="AU102" i="191"/>
  <c r="AU83" i="191"/>
  <c r="AU95" i="191"/>
  <c r="AU80" i="191"/>
  <c r="AU103" i="191"/>
  <c r="AU101" i="191"/>
  <c r="AU78" i="191"/>
  <c r="AU65" i="191"/>
  <c r="AU90" i="191"/>
  <c r="AU109" i="191"/>
  <c r="AU75" i="191"/>
  <c r="AU107" i="191"/>
  <c r="AU108" i="191"/>
  <c r="AU97" i="191"/>
  <c r="AU100" i="191"/>
  <c r="AU106" i="191"/>
  <c r="AU105" i="191"/>
  <c r="AU76" i="191"/>
  <c r="AU64" i="191"/>
  <c r="AU99" i="191"/>
  <c r="AU87" i="191"/>
  <c r="AU71" i="191"/>
  <c r="AU89" i="191"/>
  <c r="AU79" i="191"/>
  <c r="AU104" i="191"/>
  <c r="AU74" i="191"/>
  <c r="AU84" i="191"/>
  <c r="BM82" i="189"/>
  <c r="BS43" i="189"/>
  <c r="AF82" i="189"/>
  <c r="BA82" i="189"/>
  <c r="AK70" i="189"/>
  <c r="AX82" i="189"/>
  <c r="AQ47" i="189"/>
  <c r="F10" i="139" s="1"/>
  <c r="BF70" i="189"/>
  <c r="AR44" i="189"/>
  <c r="AJ61" i="189"/>
  <c r="AJ64" i="189"/>
  <c r="AJ81" i="189"/>
  <c r="AJ88" i="189"/>
  <c r="AJ74" i="189"/>
  <c r="AJ85" i="189"/>
  <c r="AJ73" i="189"/>
  <c r="AJ75" i="189"/>
  <c r="AJ77" i="189"/>
  <c r="AJ72" i="189"/>
  <c r="AJ79" i="189"/>
  <c r="AJ84" i="189"/>
  <c r="AJ76" i="189"/>
  <c r="AJ87" i="189"/>
  <c r="AJ86" i="189"/>
  <c r="AJ83" i="189"/>
  <c r="AJ78" i="189"/>
  <c r="AJ71" i="189"/>
  <c r="AJ89" i="189"/>
  <c r="AJ80" i="189"/>
  <c r="O64" i="189"/>
  <c r="O61" i="189"/>
  <c r="O73" i="189"/>
  <c r="O79" i="189"/>
  <c r="O78" i="189"/>
  <c r="O77" i="189"/>
  <c r="O86" i="189"/>
  <c r="O88" i="189"/>
  <c r="O74" i="189"/>
  <c r="O81" i="189"/>
  <c r="O85" i="189"/>
  <c r="O80" i="189"/>
  <c r="O76" i="189"/>
  <c r="O89" i="189"/>
  <c r="O83" i="189"/>
  <c r="O87" i="189"/>
  <c r="O84" i="189"/>
  <c r="O75" i="189"/>
  <c r="O72" i="189"/>
  <c r="O70" i="189" s="1"/>
  <c r="G70" i="189"/>
  <c r="G90" i="189" s="1"/>
  <c r="BH110" i="191"/>
  <c r="U70" i="189"/>
  <c r="AQ51" i="189"/>
  <c r="F14" i="139" s="1"/>
  <c r="AE82" i="189"/>
  <c r="R82" i="189"/>
  <c r="AM70" i="189"/>
  <c r="BH70" i="189"/>
  <c r="AK82" i="189"/>
  <c r="AH70" i="189"/>
  <c r="AH90" i="189" s="1"/>
  <c r="AQ50" i="189"/>
  <c r="F13" i="139" s="1"/>
  <c r="BI110" i="191"/>
  <c r="BJ60" i="189"/>
  <c r="BJ30" i="189"/>
  <c r="BT30" i="189" s="1"/>
  <c r="BT29" i="189"/>
  <c r="BR15" i="189"/>
  <c r="BA90" i="189"/>
  <c r="BR14" i="189"/>
  <c r="I70" i="189"/>
  <c r="I90" i="189" s="1"/>
  <c r="AR42" i="189"/>
  <c r="AQ48" i="189"/>
  <c r="F11" i="139" s="1"/>
  <c r="AE90" i="189"/>
  <c r="BK64" i="189"/>
  <c r="BK61" i="189"/>
  <c r="BK89" i="189"/>
  <c r="BK75" i="189"/>
  <c r="BK84" i="189"/>
  <c r="BK72" i="189"/>
  <c r="BK87" i="189"/>
  <c r="BK81" i="189"/>
  <c r="BK71" i="189"/>
  <c r="BK74" i="189"/>
  <c r="BK77" i="189"/>
  <c r="BK76" i="189"/>
  <c r="BK86" i="189"/>
  <c r="BK78" i="189"/>
  <c r="BK83" i="189"/>
  <c r="BK85" i="189"/>
  <c r="BK79" i="189"/>
  <c r="BK80" i="189"/>
  <c r="BK88" i="189"/>
  <c r="AD53" i="189"/>
  <c r="AD21" i="189"/>
  <c r="S61" i="189"/>
  <c r="S64" i="189"/>
  <c r="S84" i="189"/>
  <c r="S73" i="189"/>
  <c r="S75" i="189"/>
  <c r="S76" i="189"/>
  <c r="S78" i="189"/>
  <c r="S80" i="189"/>
  <c r="S89" i="189"/>
  <c r="S77" i="189"/>
  <c r="S88" i="189"/>
  <c r="S85" i="189"/>
  <c r="S79" i="189"/>
  <c r="S83" i="189"/>
  <c r="S87" i="189"/>
  <c r="S74" i="189"/>
  <c r="S72" i="189"/>
  <c r="S81" i="189"/>
  <c r="S71" i="189"/>
  <c r="S86" i="189"/>
  <c r="AP70" i="189"/>
  <c r="AN64" i="189"/>
  <c r="AN61" i="189"/>
  <c r="AN83" i="189"/>
  <c r="AN81" i="189"/>
  <c r="AN85" i="189"/>
  <c r="AN74" i="189"/>
  <c r="AN89" i="189"/>
  <c r="AN79" i="189"/>
  <c r="AN88" i="189"/>
  <c r="AN78" i="189"/>
  <c r="AN73" i="189"/>
  <c r="AN76" i="189"/>
  <c r="AN77" i="189"/>
  <c r="AN80" i="189"/>
  <c r="AN75" i="189"/>
  <c r="AN72" i="189"/>
  <c r="AN86" i="189"/>
  <c r="AN84" i="189"/>
  <c r="AN87" i="189"/>
  <c r="AN71" i="189"/>
  <c r="BQ70" i="189"/>
  <c r="BQ90" i="189" s="1"/>
  <c r="AQ54" i="189"/>
  <c r="T61" i="189"/>
  <c r="T64" i="189"/>
  <c r="T74" i="189"/>
  <c r="T76" i="189"/>
  <c r="T77" i="189"/>
  <c r="T86" i="189"/>
  <c r="T73" i="189"/>
  <c r="T75" i="189"/>
  <c r="T89" i="189"/>
  <c r="T71" i="189"/>
  <c r="T87" i="189"/>
  <c r="T80" i="189"/>
  <c r="T85" i="189"/>
  <c r="T72" i="189"/>
  <c r="T78" i="189"/>
  <c r="T84" i="189"/>
  <c r="T83" i="189"/>
  <c r="T88" i="189"/>
  <c r="T79" i="189"/>
  <c r="T81" i="189"/>
  <c r="BN61" i="189"/>
  <c r="BN64" i="189"/>
  <c r="BN72" i="189"/>
  <c r="BN79" i="189"/>
  <c r="BN77" i="189"/>
  <c r="BN73" i="189"/>
  <c r="BN75" i="189"/>
  <c r="BN80" i="189"/>
  <c r="BN78" i="189"/>
  <c r="BN76" i="189"/>
  <c r="BN86" i="189"/>
  <c r="BN71" i="189"/>
  <c r="BN81" i="189"/>
  <c r="BN88" i="189"/>
  <c r="BN85" i="189"/>
  <c r="BN87" i="189"/>
  <c r="BN83" i="189"/>
  <c r="BN89" i="189"/>
  <c r="BN84" i="189"/>
  <c r="BN74" i="189"/>
  <c r="AI64" i="189"/>
  <c r="AI61" i="189"/>
  <c r="AI77" i="189"/>
  <c r="AI81" i="189"/>
  <c r="AI76" i="189"/>
  <c r="AI73" i="189"/>
  <c r="AI75" i="189"/>
  <c r="AI72" i="189"/>
  <c r="AI79" i="189"/>
  <c r="AI87" i="189"/>
  <c r="AI89" i="189"/>
  <c r="AI78" i="189"/>
  <c r="AI80" i="189"/>
  <c r="AI84" i="189"/>
  <c r="AI71" i="189"/>
  <c r="AI86" i="189"/>
  <c r="AI85" i="189"/>
  <c r="AI74" i="189"/>
  <c r="AI88" i="189"/>
  <c r="AI83" i="189"/>
  <c r="V70" i="189"/>
  <c r="BR18" i="189"/>
  <c r="AR46" i="189"/>
  <c r="AY61" i="189"/>
  <c r="AY64" i="189"/>
  <c r="AY88" i="189"/>
  <c r="AY87" i="189"/>
  <c r="AY71" i="189"/>
  <c r="AY77" i="189"/>
  <c r="AY76" i="189"/>
  <c r="AY72" i="189"/>
  <c r="AY78" i="189"/>
  <c r="AY79" i="189"/>
  <c r="AY74" i="189"/>
  <c r="AY83" i="189"/>
  <c r="AY89" i="189"/>
  <c r="AY81" i="189"/>
  <c r="AY85" i="189"/>
  <c r="AY80" i="189"/>
  <c r="AY73" i="189"/>
  <c r="AY86" i="189"/>
  <c r="AY84" i="189"/>
  <c r="W82" i="189"/>
  <c r="AQ41" i="189"/>
  <c r="F4" i="139" s="1"/>
  <c r="AQ9" i="189"/>
  <c r="AQ29" i="189" s="1"/>
  <c r="AQ30" i="189" s="1"/>
  <c r="AL64" i="189"/>
  <c r="AL87" i="189"/>
  <c r="AL61" i="189"/>
  <c r="AL76" i="189"/>
  <c r="AL84" i="189"/>
  <c r="AL89" i="189"/>
  <c r="AL80" i="189"/>
  <c r="AL74" i="189"/>
  <c r="AL85" i="189"/>
  <c r="AL75" i="189"/>
  <c r="AL81" i="189"/>
  <c r="AL88" i="189"/>
  <c r="AL73" i="189"/>
  <c r="AL79" i="189"/>
  <c r="AL86" i="189"/>
  <c r="AL72" i="189"/>
  <c r="AL77" i="189"/>
  <c r="AL78" i="189"/>
  <c r="AL71" i="189"/>
  <c r="AL83" i="189"/>
  <c r="AA90" i="189"/>
  <c r="AA61" i="189"/>
  <c r="AA64" i="189"/>
  <c r="AA88" i="189"/>
  <c r="AA87" i="189"/>
  <c r="AA79" i="189"/>
  <c r="AA75" i="189"/>
  <c r="AA78" i="189"/>
  <c r="AA86" i="189"/>
  <c r="AA80" i="189"/>
  <c r="AA74" i="189"/>
  <c r="AA84" i="189"/>
  <c r="AA73" i="189"/>
  <c r="AA85" i="189"/>
  <c r="AA81" i="189"/>
  <c r="AA76" i="189"/>
  <c r="AA89" i="189"/>
  <c r="AA77" i="189"/>
  <c r="AA83" i="189"/>
  <c r="AA72" i="189"/>
  <c r="BE40" i="189"/>
  <c r="BT41" i="189"/>
  <c r="BE63" i="189"/>
  <c r="F82" i="189"/>
  <c r="F90" i="189" s="1"/>
  <c r="N64" i="189"/>
  <c r="N61" i="189"/>
  <c r="N81" i="189"/>
  <c r="N78" i="189"/>
  <c r="N83" i="189"/>
  <c r="N76" i="189"/>
  <c r="N86" i="189"/>
  <c r="N85" i="189"/>
  <c r="N84" i="189"/>
  <c r="N79" i="189"/>
  <c r="N89" i="189"/>
  <c r="N73" i="189"/>
  <c r="N80" i="189"/>
  <c r="N72" i="189"/>
  <c r="N77" i="189"/>
  <c r="N88" i="189"/>
  <c r="N75" i="189"/>
  <c r="N74" i="189"/>
  <c r="N87" i="189"/>
  <c r="X82" i="189"/>
  <c r="X90" i="189" s="1"/>
  <c r="AC52" i="189"/>
  <c r="AC60" i="189" s="1"/>
  <c r="AO82" i="189"/>
  <c r="Z82" i="189"/>
  <c r="AQ56" i="189"/>
  <c r="E82" i="189"/>
  <c r="AZ82" i="189"/>
  <c r="BR17" i="189"/>
  <c r="BF82" i="189"/>
  <c r="BI64" i="189"/>
  <c r="BI61" i="189"/>
  <c r="BI85" i="189"/>
  <c r="BI78" i="189"/>
  <c r="BI71" i="189"/>
  <c r="BI88" i="189"/>
  <c r="BI76" i="189"/>
  <c r="BI80" i="189"/>
  <c r="BI77" i="189"/>
  <c r="BI79" i="189"/>
  <c r="BI75" i="189"/>
  <c r="BI81" i="189"/>
  <c r="BI74" i="189"/>
  <c r="BI72" i="189"/>
  <c r="BI87" i="189"/>
  <c r="BI86" i="189"/>
  <c r="BI83" i="189"/>
  <c r="BI89" i="189"/>
  <c r="BI84" i="189"/>
  <c r="BH82" i="189"/>
  <c r="H82" i="189"/>
  <c r="U82" i="189"/>
  <c r="AR43" i="189"/>
  <c r="N70" i="189"/>
  <c r="BS30" i="189"/>
  <c r="BU19" i="189"/>
  <c r="BU22" i="189"/>
  <c r="BU23" i="189"/>
  <c r="BU24" i="189"/>
  <c r="BU27" i="189"/>
  <c r="BU10" i="189"/>
  <c r="BU26" i="189"/>
  <c r="BU20" i="189"/>
  <c r="BU25" i="189"/>
  <c r="BU18" i="189"/>
  <c r="BU28" i="189"/>
  <c r="BU17" i="189"/>
  <c r="BU14" i="189"/>
  <c r="H70" i="189"/>
  <c r="AU61" i="189"/>
  <c r="AU64" i="189"/>
  <c r="AU75" i="189"/>
  <c r="AU73" i="189"/>
  <c r="AU72" i="189"/>
  <c r="AU74" i="189"/>
  <c r="AU78" i="189"/>
  <c r="AU84" i="189"/>
  <c r="AU87" i="189"/>
  <c r="AU77" i="189"/>
  <c r="AU83" i="189"/>
  <c r="AU81" i="189"/>
  <c r="AU86" i="189"/>
  <c r="AU79" i="189"/>
  <c r="AU89" i="189"/>
  <c r="AU76" i="189"/>
  <c r="AU80" i="189"/>
  <c r="AU85" i="189"/>
  <c r="AU88" i="189"/>
  <c r="AQ45" i="189"/>
  <c r="F8" i="139" s="1"/>
  <c r="AQ59" i="189"/>
  <c r="BC82" i="189"/>
  <c r="AV61" i="189"/>
  <c r="AV64" i="189"/>
  <c r="AV72" i="189"/>
  <c r="AV79" i="189"/>
  <c r="AV74" i="189"/>
  <c r="AV80" i="189"/>
  <c r="AV78" i="189"/>
  <c r="AV73" i="189"/>
  <c r="AV87" i="189"/>
  <c r="AV84" i="189"/>
  <c r="AV85" i="189"/>
  <c r="AV83" i="189"/>
  <c r="AV81" i="189"/>
  <c r="AV76" i="189"/>
  <c r="AV77" i="189"/>
  <c r="AV75" i="189"/>
  <c r="AV86" i="189"/>
  <c r="AV89" i="189"/>
  <c r="AV88" i="189"/>
  <c r="BX110" i="191"/>
  <c r="AS61" i="189"/>
  <c r="AS64" i="189"/>
  <c r="AS75" i="189"/>
  <c r="AS77" i="189"/>
  <c r="AS76" i="189"/>
  <c r="AS73" i="189"/>
  <c r="AS72" i="189"/>
  <c r="AS87" i="189"/>
  <c r="AS88" i="189"/>
  <c r="AS80" i="189"/>
  <c r="AS85" i="189"/>
  <c r="AS86" i="189"/>
  <c r="AS83" i="189"/>
  <c r="AS81" i="189"/>
  <c r="AS74" i="189"/>
  <c r="AS78" i="189"/>
  <c r="AS89" i="189"/>
  <c r="AS84" i="189"/>
  <c r="AS79" i="189"/>
  <c r="AS71" i="189"/>
  <c r="BP82" i="189"/>
  <c r="BP90" i="189" s="1"/>
  <c r="BB82" i="189"/>
  <c r="AX70" i="189"/>
  <c r="BU9" i="189"/>
  <c r="AB90" i="189"/>
  <c r="AB61" i="189"/>
  <c r="AB64" i="189"/>
  <c r="AB85" i="189"/>
  <c r="AB84" i="189"/>
  <c r="AB80" i="189"/>
  <c r="AB76" i="189"/>
  <c r="AB89" i="189"/>
  <c r="AB87" i="189"/>
  <c r="AB77" i="189"/>
  <c r="AB86" i="189"/>
  <c r="AB73" i="189"/>
  <c r="AB79" i="189"/>
  <c r="AB88" i="189"/>
  <c r="AB78" i="189"/>
  <c r="AB81" i="189"/>
  <c r="AB72" i="189"/>
  <c r="AB74" i="189"/>
  <c r="AB83" i="189"/>
  <c r="AB75" i="189"/>
  <c r="AB71" i="189"/>
  <c r="AQ58" i="189"/>
  <c r="BG82" i="189"/>
  <c r="V82" i="189"/>
  <c r="BR31" i="189"/>
  <c r="BR50" i="189" s="1"/>
  <c r="E13" i="139" s="1"/>
  <c r="BL64" i="189"/>
  <c r="BL61" i="189"/>
  <c r="BL85" i="189"/>
  <c r="BL78" i="189"/>
  <c r="BL84" i="189"/>
  <c r="BL83" i="189"/>
  <c r="BL73" i="189"/>
  <c r="BL71" i="189"/>
  <c r="BL89" i="189"/>
  <c r="BL86" i="189"/>
  <c r="BL87" i="189"/>
  <c r="BL80" i="189"/>
  <c r="BL72" i="189"/>
  <c r="BL74" i="189"/>
  <c r="BL88" i="189"/>
  <c r="BL81" i="189"/>
  <c r="BL79" i="189"/>
  <c r="BL75" i="189"/>
  <c r="BB70" i="189"/>
  <c r="AU71" i="189"/>
  <c r="AU70" i="189" s="1"/>
  <c r="BR22" i="189"/>
  <c r="E29" i="139" s="1"/>
  <c r="AQ53" i="189"/>
  <c r="AQ21" i="189"/>
  <c r="BU21" i="189"/>
  <c r="BC70" i="189"/>
  <c r="AV71" i="189"/>
  <c r="BR11" i="189"/>
  <c r="M70" i="189"/>
  <c r="M90" i="189" s="1"/>
  <c r="BM70" i="189"/>
  <c r="BM90" i="189" s="1"/>
  <c r="Y82" i="189"/>
  <c r="Y90" i="189" s="1"/>
  <c r="AY75" i="189"/>
  <c r="AQ49" i="189"/>
  <c r="F12" i="139" s="1"/>
  <c r="BK73" i="189"/>
  <c r="R70" i="189"/>
  <c r="AW61" i="189"/>
  <c r="AW64" i="189"/>
  <c r="AW73" i="189"/>
  <c r="AW74" i="189"/>
  <c r="AW78" i="189"/>
  <c r="AW81" i="189"/>
  <c r="AW72" i="189"/>
  <c r="AW75" i="189"/>
  <c r="AW88" i="189"/>
  <c r="AW86" i="189"/>
  <c r="AW85" i="189"/>
  <c r="AW83" i="189"/>
  <c r="AW84" i="189"/>
  <c r="AW80" i="189"/>
  <c r="AW89" i="189"/>
  <c r="AW77" i="189"/>
  <c r="AW79" i="189"/>
  <c r="AW87" i="189"/>
  <c r="AW76" i="189"/>
  <c r="Q63" i="189"/>
  <c r="Q40" i="189"/>
  <c r="Q60" i="189" s="1"/>
  <c r="AO70" i="189"/>
  <c r="Z70" i="189"/>
  <c r="BR24" i="189"/>
  <c r="E31" i="139" s="1"/>
  <c r="AQ55" i="189"/>
  <c r="AT82" i="189"/>
  <c r="BU40" i="189"/>
  <c r="BU60" i="189" s="1"/>
  <c r="BU63" i="189"/>
  <c r="BV63" i="189" s="1" a="1"/>
  <c r="BV41" i="189" a="1"/>
  <c r="AD63" i="189"/>
  <c r="AD40" i="189"/>
  <c r="P61" i="189"/>
  <c r="P64" i="189"/>
  <c r="P79" i="189"/>
  <c r="P73" i="189"/>
  <c r="P78" i="189"/>
  <c r="P86" i="189"/>
  <c r="P87" i="189"/>
  <c r="P80" i="189"/>
  <c r="P72" i="189"/>
  <c r="P84" i="189"/>
  <c r="P81" i="189"/>
  <c r="P85" i="189"/>
  <c r="P75" i="189"/>
  <c r="P89" i="189"/>
  <c r="P71" i="189"/>
  <c r="P77" i="189"/>
  <c r="P74" i="189"/>
  <c r="P76" i="189"/>
  <c r="P88" i="189"/>
  <c r="P83" i="189"/>
  <c r="AM82" i="189"/>
  <c r="BO91" i="93"/>
  <c r="AM91" i="93"/>
  <c r="P94" i="93"/>
  <c r="P99" i="93" s="1"/>
  <c r="L91" i="93"/>
  <c r="D91" i="93"/>
  <c r="E91" i="93"/>
  <c r="F91" i="93"/>
  <c r="G91" i="93"/>
  <c r="H91" i="93"/>
  <c r="P92" i="93"/>
  <c r="P91" i="93"/>
  <c r="I91" i="93"/>
  <c r="BI86" i="93"/>
  <c r="BK86" i="93"/>
  <c r="BM86" i="93"/>
  <c r="BH86" i="93"/>
  <c r="BJ86" i="93"/>
  <c r="BL86" i="93"/>
  <c r="K82" i="189" l="1"/>
  <c r="K90" i="189" s="1"/>
  <c r="L70" i="189"/>
  <c r="L90" i="189" s="1"/>
  <c r="AG70" i="189"/>
  <c r="AG90" i="189" s="1"/>
  <c r="BG70" i="189"/>
  <c r="BG90" i="189" s="1"/>
  <c r="AF70" i="189"/>
  <c r="AF90" i="189" s="1"/>
  <c r="BD82" i="189"/>
  <c r="BD70" i="189"/>
  <c r="BD90" i="189" s="1"/>
  <c r="J90" i="189"/>
  <c r="AD29" i="189"/>
  <c r="AD30" i="189" s="1"/>
  <c r="AT90" i="189"/>
  <c r="BN70" i="189"/>
  <c r="BR9" i="189"/>
  <c r="H90" i="189"/>
  <c r="BR51" i="189"/>
  <c r="E14" i="139" s="1"/>
  <c r="AX90" i="189"/>
  <c r="W90" i="189"/>
  <c r="R90" i="189"/>
  <c r="AW82" i="189"/>
  <c r="AW70" i="189"/>
  <c r="AW90" i="189" s="1"/>
  <c r="E90" i="189"/>
  <c r="AA70" i="189"/>
  <c r="AC83" i="189"/>
  <c r="BS50" i="189"/>
  <c r="AU110" i="191"/>
  <c r="BB90" i="189"/>
  <c r="S82" i="189"/>
  <c r="BR58" i="189"/>
  <c r="BV40" i="189" a="1"/>
  <c r="BS51" i="189"/>
  <c r="BR41" i="189"/>
  <c r="E4" i="139" s="1"/>
  <c r="T82" i="189"/>
  <c r="AR56" i="189"/>
  <c r="AU82" i="189"/>
  <c r="BR59" i="189"/>
  <c r="AY82" i="189"/>
  <c r="O82" i="189"/>
  <c r="O90" i="189" s="1"/>
  <c r="AZ90" i="189"/>
  <c r="AA82" i="189"/>
  <c r="BR44" i="189"/>
  <c r="E7" i="139" s="1"/>
  <c r="G7" i="139" s="1"/>
  <c r="BK82" i="189"/>
  <c r="AJ70" i="189"/>
  <c r="BR57" i="189"/>
  <c r="BR55" i="189"/>
  <c r="AR58" i="189"/>
  <c r="BR54" i="189"/>
  <c r="BI70" i="189"/>
  <c r="AC90" i="189"/>
  <c r="AC61" i="189"/>
  <c r="AC64" i="189"/>
  <c r="AC89" i="189"/>
  <c r="AC84" i="189"/>
  <c r="AC78" i="189"/>
  <c r="AC88" i="189"/>
  <c r="AC74" i="189"/>
  <c r="AC71" i="189"/>
  <c r="AC72" i="189"/>
  <c r="AC75" i="189"/>
  <c r="AC76" i="189"/>
  <c r="AC86" i="189"/>
  <c r="AC81" i="189"/>
  <c r="AC80" i="189"/>
  <c r="AC79" i="189"/>
  <c r="AC85" i="189"/>
  <c r="AC77" i="189"/>
  <c r="AC87" i="189"/>
  <c r="AC73" i="189"/>
  <c r="AL82" i="189"/>
  <c r="V90" i="189"/>
  <c r="AN82" i="189"/>
  <c r="AR48" i="189"/>
  <c r="BR56" i="189"/>
  <c r="AR57" i="189"/>
  <c r="AU90" i="189"/>
  <c r="AS70" i="189"/>
  <c r="AN70" i="189"/>
  <c r="BR47" i="189"/>
  <c r="E10" i="139" s="1"/>
  <c r="AB70" i="189"/>
  <c r="N82" i="189"/>
  <c r="N90" i="189" s="1"/>
  <c r="AL70" i="189"/>
  <c r="AL90" i="189" s="1"/>
  <c r="AI82" i="189"/>
  <c r="BH90" i="189"/>
  <c r="AJ82" i="189"/>
  <c r="AR49" i="189"/>
  <c r="AR55" i="189"/>
  <c r="BR49" i="189"/>
  <c r="E12" i="139" s="1"/>
  <c r="AO90" i="189"/>
  <c r="BR42" i="189"/>
  <c r="E5" i="139" s="1"/>
  <c r="AS82" i="189"/>
  <c r="AM90" i="189"/>
  <c r="Q64" i="189"/>
  <c r="Q61" i="189"/>
  <c r="Q78" i="189"/>
  <c r="Q76" i="189"/>
  <c r="Q86" i="189"/>
  <c r="Q85" i="189"/>
  <c r="Q87" i="189"/>
  <c r="Q80" i="189"/>
  <c r="Q88" i="189"/>
  <c r="Q84" i="189"/>
  <c r="Q81" i="189"/>
  <c r="Q77" i="189"/>
  <c r="Q79" i="189"/>
  <c r="Q83" i="189"/>
  <c r="Q89" i="189"/>
  <c r="Q74" i="189"/>
  <c r="Q72" i="189"/>
  <c r="Q75" i="189"/>
  <c r="Q73" i="189"/>
  <c r="AV70" i="189"/>
  <c r="T70" i="189"/>
  <c r="AP90" i="189"/>
  <c r="AB82" i="189"/>
  <c r="BC90" i="189"/>
  <c r="AR59" i="189"/>
  <c r="BI82" i="189"/>
  <c r="BF90" i="189"/>
  <c r="AD52" i="189"/>
  <c r="Q71" i="189"/>
  <c r="Q70" i="189" s="1"/>
  <c r="BU29" i="189"/>
  <c r="BL70" i="189"/>
  <c r="AR45" i="189"/>
  <c r="AR41" i="189"/>
  <c r="AQ63" i="189"/>
  <c r="AQ40" i="189"/>
  <c r="AY70" i="189"/>
  <c r="AY90" i="189" s="1"/>
  <c r="S70" i="189"/>
  <c r="BK70" i="189"/>
  <c r="BR45" i="189"/>
  <c r="E8" i="139" s="1"/>
  <c r="AR51" i="189"/>
  <c r="AR47" i="189"/>
  <c r="BJ64" i="189"/>
  <c r="BJ61" i="189"/>
  <c r="BV60" i="189" a="1"/>
  <c r="BJ85" i="189"/>
  <c r="BJ76" i="189"/>
  <c r="BJ80" i="189"/>
  <c r="BJ77" i="189"/>
  <c r="BJ88" i="189"/>
  <c r="BJ87" i="189"/>
  <c r="BJ75" i="189"/>
  <c r="BJ71" i="189"/>
  <c r="BJ86" i="189"/>
  <c r="BJ79" i="189"/>
  <c r="BJ84" i="189"/>
  <c r="BJ83" i="189"/>
  <c r="BJ73" i="189"/>
  <c r="BJ89" i="189"/>
  <c r="BJ78" i="189"/>
  <c r="BJ81" i="189"/>
  <c r="BJ74" i="189"/>
  <c r="BJ72" i="189"/>
  <c r="BU64" i="189"/>
  <c r="BU61" i="189"/>
  <c r="AR54" i="189"/>
  <c r="P82" i="189"/>
  <c r="BR48" i="189"/>
  <c r="E11" i="139" s="1"/>
  <c r="G11" i="139" s="1"/>
  <c r="AI70" i="189"/>
  <c r="AI90" i="189" s="1"/>
  <c r="BE60" i="189"/>
  <c r="BY40" i="189"/>
  <c r="AR50" i="189"/>
  <c r="AD60" i="189"/>
  <c r="BW40" i="189" s="1"/>
  <c r="AQ52" i="189"/>
  <c r="AR53" i="189"/>
  <c r="BL82" i="189"/>
  <c r="AV82" i="189"/>
  <c r="BR46" i="189"/>
  <c r="E9" i="139" s="1"/>
  <c r="U90" i="189"/>
  <c r="AK90" i="189"/>
  <c r="P70" i="189"/>
  <c r="P90" i="189" s="1"/>
  <c r="BR53" i="189"/>
  <c r="BR21" i="189"/>
  <c r="BR29" i="189" s="1"/>
  <c r="BR30" i="189" s="1"/>
  <c r="BT63" i="189"/>
  <c r="BT40" i="189"/>
  <c r="BT60" i="189" s="1"/>
  <c r="BN82" i="189"/>
  <c r="BJ29" i="93"/>
  <c r="BJ28" i="93"/>
  <c r="AV90" i="189" l="1"/>
  <c r="BV64" i="189" a="1"/>
  <c r="AC82" i="189"/>
  <c r="BN90" i="189"/>
  <c r="BL90" i="189"/>
  <c r="BV61" i="189" a="1"/>
  <c r="AR40" i="189"/>
  <c r="BR52" i="189"/>
  <c r="BS53" i="189"/>
  <c r="BR63" i="189"/>
  <c r="BS41" i="189"/>
  <c r="BR40" i="189"/>
  <c r="BJ82" i="189"/>
  <c r="BS56" i="189"/>
  <c r="BS55" i="189"/>
  <c r="BE64" i="189"/>
  <c r="BY64" i="189" s="1"/>
  <c r="BE61" i="189"/>
  <c r="BT61" i="189" s="1"/>
  <c r="BY60" i="189"/>
  <c r="BY51" i="189"/>
  <c r="BY54" i="189"/>
  <c r="BE79" i="189"/>
  <c r="BS79" i="189" s="1"/>
  <c r="BE78" i="189"/>
  <c r="BS78" i="189" s="1"/>
  <c r="BY49" i="189"/>
  <c r="BY44" i="189"/>
  <c r="BE74" i="189"/>
  <c r="BS74" i="189" s="1"/>
  <c r="BY48" i="189"/>
  <c r="BY57" i="189"/>
  <c r="BE72" i="189"/>
  <c r="BS72" i="189" s="1"/>
  <c r="BE87" i="189"/>
  <c r="BS87" i="189" s="1"/>
  <c r="BY50" i="189"/>
  <c r="BY42" i="189"/>
  <c r="BE85" i="189"/>
  <c r="BS85" i="189" s="1"/>
  <c r="BE88" i="189"/>
  <c r="BS88" i="189" s="1"/>
  <c r="BY55" i="189"/>
  <c r="BY58" i="189"/>
  <c r="BE86" i="189"/>
  <c r="BS86" i="189" s="1"/>
  <c r="BE80" i="189"/>
  <c r="BS80" i="189" s="1"/>
  <c r="BE77" i="189"/>
  <c r="BS77" i="189" s="1"/>
  <c r="BY56" i="189"/>
  <c r="BY47" i="189"/>
  <c r="BE81" i="189"/>
  <c r="BS81" i="189" s="1"/>
  <c r="BE84" i="189"/>
  <c r="BS84" i="189" s="1"/>
  <c r="BE83" i="189"/>
  <c r="BY53" i="189"/>
  <c r="BE75" i="189"/>
  <c r="BS75" i="189" s="1"/>
  <c r="BY59" i="189"/>
  <c r="BE76" i="189"/>
  <c r="BS76" i="189" s="1"/>
  <c r="BE89" i="189"/>
  <c r="BS89" i="189" s="1"/>
  <c r="BY46" i="189"/>
  <c r="BY45" i="189"/>
  <c r="BE73" i="189"/>
  <c r="BS73" i="189" s="1"/>
  <c r="BY43" i="189"/>
  <c r="BY52" i="189"/>
  <c r="BE71" i="189"/>
  <c r="BY41" i="189"/>
  <c r="T90" i="189"/>
  <c r="BS57" i="189"/>
  <c r="AC70" i="189"/>
  <c r="AJ90" i="189"/>
  <c r="BY63" i="189"/>
  <c r="BJ70" i="189"/>
  <c r="BJ90" i="189" s="1"/>
  <c r="AD83" i="189"/>
  <c r="BS44" i="189"/>
  <c r="BS45" i="189"/>
  <c r="BW53" i="189"/>
  <c r="BS58" i="189"/>
  <c r="BK90" i="189"/>
  <c r="BW52" i="189"/>
  <c r="AR52" i="189"/>
  <c r="S90" i="189"/>
  <c r="BW63" i="189"/>
  <c r="Q82" i="189"/>
  <c r="BS42" i="189"/>
  <c r="BS47" i="189"/>
  <c r="BS59" i="189"/>
  <c r="AQ60" i="189"/>
  <c r="BX63" i="189" s="1"/>
  <c r="BS49" i="189"/>
  <c r="AN90" i="189"/>
  <c r="BS46" i="189"/>
  <c r="BS48" i="189"/>
  <c r="AS90" i="189"/>
  <c r="BI90" i="189"/>
  <c r="BT64" i="189"/>
  <c r="BW60" i="189"/>
  <c r="AD64" i="189"/>
  <c r="BW64" i="189" s="1"/>
  <c r="AD61" i="189"/>
  <c r="BW57" i="189"/>
  <c r="AD87" i="189"/>
  <c r="AD88" i="189"/>
  <c r="BW47" i="189"/>
  <c r="BW55" i="189"/>
  <c r="AD81" i="189"/>
  <c r="BW45" i="189"/>
  <c r="BW58" i="189"/>
  <c r="AD77" i="189"/>
  <c r="BW56" i="189"/>
  <c r="AD85" i="189"/>
  <c r="BW59" i="189"/>
  <c r="BW51" i="189"/>
  <c r="AD86" i="189"/>
  <c r="AD89" i="189"/>
  <c r="BW49" i="189"/>
  <c r="AD79" i="189"/>
  <c r="AD80" i="189"/>
  <c r="AD78" i="189"/>
  <c r="AD75" i="189"/>
  <c r="BW50" i="189"/>
  <c r="BW48" i="189"/>
  <c r="AD73" i="189"/>
  <c r="AD84" i="189"/>
  <c r="BW43" i="189"/>
  <c r="AD76" i="189"/>
  <c r="BW54" i="189"/>
  <c r="BW44" i="189"/>
  <c r="BW46" i="189"/>
  <c r="AD74" i="189"/>
  <c r="AD72" i="189"/>
  <c r="BW42" i="189"/>
  <c r="BW41" i="189"/>
  <c r="AD71" i="189"/>
  <c r="AR63" i="189"/>
  <c r="BS54" i="189"/>
  <c r="BI29" i="93"/>
  <c r="BI28" i="93"/>
  <c r="Q90" i="189" l="1"/>
  <c r="BX40" i="189"/>
  <c r="BE82" i="189"/>
  <c r="BS83" i="189"/>
  <c r="BS82" i="189" s="1"/>
  <c r="BR60" i="189"/>
  <c r="BS40" i="189"/>
  <c r="BE70" i="189"/>
  <c r="BE90" i="189" s="1"/>
  <c r="BS71" i="189"/>
  <c r="BS70" i="189" s="1"/>
  <c r="BS90" i="189" s="1"/>
  <c r="BS63" i="189"/>
  <c r="BX52" i="189"/>
  <c r="BS52" i="189"/>
  <c r="AQ64" i="189"/>
  <c r="AQ61" i="189"/>
  <c r="AR61" i="189" s="1"/>
  <c r="BX60" i="189"/>
  <c r="AQ74" i="189"/>
  <c r="BX42" i="189"/>
  <c r="AQ73" i="189"/>
  <c r="BX44" i="189"/>
  <c r="AQ72" i="189"/>
  <c r="BX43" i="189"/>
  <c r="AQ76" i="189"/>
  <c r="BX46" i="189"/>
  <c r="BX55" i="189"/>
  <c r="BX59" i="189"/>
  <c r="BX56" i="189"/>
  <c r="BX41" i="189"/>
  <c r="AQ78" i="189"/>
  <c r="AQ83" i="189"/>
  <c r="AQ71" i="189"/>
  <c r="BX53" i="189"/>
  <c r="AQ84" i="189"/>
  <c r="BX54" i="189"/>
  <c r="AQ81" i="189"/>
  <c r="BX51" i="189"/>
  <c r="BX48" i="189"/>
  <c r="AQ79" i="189"/>
  <c r="AQ77" i="189"/>
  <c r="BX50" i="189"/>
  <c r="BX49" i="189"/>
  <c r="AQ75" i="189"/>
  <c r="BX58" i="189"/>
  <c r="AQ87" i="189"/>
  <c r="BX45" i="189"/>
  <c r="BX47" i="189"/>
  <c r="AQ80" i="189"/>
  <c r="AQ88" i="189"/>
  <c r="AQ86" i="189"/>
  <c r="BX57" i="189"/>
  <c r="AQ85" i="189"/>
  <c r="AQ89" i="189"/>
  <c r="AD82" i="189"/>
  <c r="AD70" i="189"/>
  <c r="AR60" i="189"/>
  <c r="BZ63" i="189" l="1"/>
  <c r="BZ52" i="189"/>
  <c r="AQ82" i="189"/>
  <c r="CB63" i="189"/>
  <c r="CA63" i="189"/>
  <c r="AQ70" i="189"/>
  <c r="AQ90" i="189" s="1"/>
  <c r="BX64" i="189"/>
  <c r="AR64" i="189"/>
  <c r="AD90" i="189"/>
  <c r="BS60" i="189"/>
  <c r="CA52" i="189"/>
  <c r="CB52" i="189"/>
  <c r="BZ60" i="189"/>
  <c r="BR61" i="189"/>
  <c r="BS61" i="189" s="1"/>
  <c r="BR64" i="189"/>
  <c r="BR73" i="189"/>
  <c r="BZ43" i="189"/>
  <c r="BR80" i="189"/>
  <c r="BZ50" i="189"/>
  <c r="BR81" i="189"/>
  <c r="BZ51" i="189"/>
  <c r="BZ49" i="189"/>
  <c r="BZ53" i="189"/>
  <c r="BR72" i="189"/>
  <c r="BR83" i="189"/>
  <c r="BZ44" i="189"/>
  <c r="BR76" i="189"/>
  <c r="BR84" i="189"/>
  <c r="BR74" i="189"/>
  <c r="BZ46" i="189"/>
  <c r="BR71" i="189"/>
  <c r="BZ42" i="189"/>
  <c r="BZ54" i="189"/>
  <c r="BR75" i="189"/>
  <c r="BZ47" i="189"/>
  <c r="BZ58" i="189"/>
  <c r="BZ41" i="189"/>
  <c r="BZ45" i="189"/>
  <c r="BR78" i="189"/>
  <c r="BR89" i="189"/>
  <c r="BZ56" i="189"/>
  <c r="BR77" i="189"/>
  <c r="BZ48" i="189"/>
  <c r="BR87" i="189"/>
  <c r="BR86" i="189"/>
  <c r="BZ59" i="189"/>
  <c r="BZ57" i="189"/>
  <c r="BR88" i="189"/>
  <c r="BR85" i="189"/>
  <c r="BZ55" i="189"/>
  <c r="BR79" i="189"/>
  <c r="BZ40" i="189"/>
  <c r="CA55" i="189" l="1"/>
  <c r="CB55" i="189"/>
  <c r="CB43" i="189"/>
  <c r="CA43" i="189"/>
  <c r="BR70" i="189"/>
  <c r="BR90" i="189" s="1"/>
  <c r="CB60" i="189"/>
  <c r="CA60" i="189"/>
  <c r="CA44" i="189"/>
  <c r="CB44" i="189"/>
  <c r="CB56" i="189"/>
  <c r="CA56" i="189"/>
  <c r="CA41" i="189"/>
  <c r="CB41" i="189"/>
  <c r="CB51" i="189"/>
  <c r="CA51" i="189"/>
  <c r="CA42" i="189"/>
  <c r="CB42" i="189"/>
  <c r="CB57" i="189"/>
  <c r="CA57" i="189"/>
  <c r="CA46" i="189"/>
  <c r="CB46" i="189"/>
  <c r="CA48" i="189"/>
  <c r="CB48" i="189"/>
  <c r="CA49" i="189"/>
  <c r="CB49" i="189"/>
  <c r="CB40" i="189"/>
  <c r="CA40" i="189"/>
  <c r="CB58" i="189"/>
  <c r="CA58" i="189"/>
  <c r="CB54" i="189"/>
  <c r="CA54" i="189"/>
  <c r="BS64" i="189"/>
  <c r="BZ64" i="189"/>
  <c r="CA59" i="189"/>
  <c r="CB59" i="189"/>
  <c r="BR82" i="189"/>
  <c r="CA53" i="189"/>
  <c r="CB53" i="189"/>
  <c r="CB45" i="189"/>
  <c r="CA45" i="189"/>
  <c r="CB47" i="189"/>
  <c r="CA47" i="189"/>
  <c r="CA50" i="189"/>
  <c r="CB50" i="189"/>
  <c r="CB64" i="189" l="1"/>
  <c r="CA64" i="189"/>
  <c r="B87" i="139" l="1"/>
  <c r="F23" i="139" l="1"/>
  <c r="F22" i="139"/>
  <c r="F21" i="139"/>
  <c r="F20" i="139"/>
  <c r="F19" i="139"/>
  <c r="F18" i="139"/>
  <c r="F17" i="139"/>
  <c r="B84" i="86"/>
  <c r="B68" i="86"/>
  <c r="B64" i="86"/>
  <c r="B48" i="86"/>
  <c r="B89" i="86" l="1"/>
  <c r="BH60" i="93"/>
  <c r="C40" i="92"/>
  <c r="B40" i="92"/>
  <c r="F2" i="86" l="1"/>
  <c r="E2" i="86"/>
  <c r="E21" i="86" l="1"/>
  <c r="BF63" i="93" l="1"/>
  <c r="BE63" i="93"/>
  <c r="BD63" i="93"/>
  <c r="BC63" i="93"/>
  <c r="BB63" i="93"/>
  <c r="BA63" i="93"/>
  <c r="AZ63" i="93"/>
  <c r="AY63" i="93"/>
  <c r="AX63" i="93"/>
  <c r="AW63" i="93"/>
  <c r="AV63" i="93"/>
  <c r="AU63" i="93"/>
  <c r="AT63" i="93"/>
  <c r="BE61" i="93"/>
  <c r="BE62" i="93" s="1"/>
  <c r="BD61" i="93"/>
  <c r="BD62" i="93" s="1"/>
  <c r="BF60" i="93"/>
  <c r="BE60" i="93"/>
  <c r="BD60" i="93"/>
  <c r="BC60" i="93"/>
  <c r="BB60" i="93"/>
  <c r="BA60" i="93"/>
  <c r="AZ60" i="93"/>
  <c r="AY60" i="93"/>
  <c r="AX60" i="93"/>
  <c r="AW60" i="93"/>
  <c r="AV60" i="93"/>
  <c r="AU60" i="93"/>
  <c r="AT60" i="93"/>
  <c r="BF59" i="93"/>
  <c r="BE59" i="93"/>
  <c r="BD59" i="93"/>
  <c r="BC59" i="93"/>
  <c r="BC61" i="93" s="1"/>
  <c r="BC62" i="93" s="1"/>
  <c r="BB59" i="93"/>
  <c r="BA59" i="93"/>
  <c r="AZ59" i="93"/>
  <c r="AY59" i="93"/>
  <c r="AX59" i="93"/>
  <c r="AW59" i="93"/>
  <c r="AV59" i="93"/>
  <c r="AU59" i="93"/>
  <c r="AT59" i="93"/>
  <c r="BF29" i="93"/>
  <c r="BE29" i="93"/>
  <c r="BD29" i="93"/>
  <c r="BC29" i="93"/>
  <c r="BB29" i="93"/>
  <c r="BA29" i="93"/>
  <c r="AZ29" i="93"/>
  <c r="AY29" i="93"/>
  <c r="AX29" i="93"/>
  <c r="AW29" i="93"/>
  <c r="AV29" i="93"/>
  <c r="AU29" i="93"/>
  <c r="AT29" i="93"/>
  <c r="BF28" i="93"/>
  <c r="BE28" i="93"/>
  <c r="BD28" i="93"/>
  <c r="BC28" i="93"/>
  <c r="BB28" i="93"/>
  <c r="BA28" i="93"/>
  <c r="AZ28" i="93"/>
  <c r="AY28" i="93"/>
  <c r="AX28" i="93"/>
  <c r="AW28" i="93"/>
  <c r="AV28" i="93"/>
  <c r="AU28" i="93"/>
  <c r="AT28" i="93"/>
  <c r="AU61" i="93" l="1"/>
  <c r="AU62" i="93" s="1"/>
  <c r="AT61" i="93"/>
  <c r="AT62" i="93" s="1"/>
  <c r="AZ61" i="93"/>
  <c r="AZ62" i="93" s="1"/>
  <c r="BA61" i="93"/>
  <c r="BA62" i="93" s="1"/>
  <c r="BB61" i="93"/>
  <c r="BB62" i="93" s="1"/>
  <c r="AV61" i="93"/>
  <c r="AV62" i="93" s="1"/>
  <c r="AW61" i="93"/>
  <c r="AW62" i="93" s="1"/>
  <c r="AX61" i="93"/>
  <c r="AX62" i="93" s="1"/>
  <c r="AY61" i="93"/>
  <c r="AY62" i="93" s="1"/>
  <c r="BH29" i="93"/>
  <c r="BQ40" i="93"/>
  <c r="BR40" i="93"/>
  <c r="BS75" i="93"/>
  <c r="BR75" i="93"/>
  <c r="BQ75" i="93"/>
  <c r="BP75" i="93"/>
  <c r="BO75" i="93"/>
  <c r="BN75" i="93"/>
  <c r="BM75" i="93"/>
  <c r="BL75" i="93"/>
  <c r="BK75" i="93"/>
  <c r="BJ75" i="93"/>
  <c r="BI75" i="93"/>
  <c r="BH75" i="93"/>
  <c r="BS74" i="93"/>
  <c r="BR74" i="93"/>
  <c r="BQ74" i="93"/>
  <c r="BP74" i="93"/>
  <c r="BO74" i="93"/>
  <c r="BN74" i="93"/>
  <c r="BM74" i="93"/>
  <c r="BL74" i="93"/>
  <c r="BK74" i="93"/>
  <c r="BJ74" i="93"/>
  <c r="BI74" i="93"/>
  <c r="BH74" i="93"/>
  <c r="BS73" i="93"/>
  <c r="BR73" i="93"/>
  <c r="BQ73" i="93"/>
  <c r="BP73" i="93"/>
  <c r="BO73" i="93"/>
  <c r="BN73" i="93"/>
  <c r="BM73" i="93"/>
  <c r="BL73" i="93"/>
  <c r="BK73" i="93"/>
  <c r="BJ73" i="93"/>
  <c r="BI73" i="93"/>
  <c r="BH73" i="93"/>
  <c r="BS72" i="93"/>
  <c r="BR72" i="93"/>
  <c r="BQ72" i="93"/>
  <c r="BP72" i="93"/>
  <c r="BO72" i="93"/>
  <c r="BN72" i="93"/>
  <c r="BM72" i="93"/>
  <c r="BL72" i="93"/>
  <c r="BK72" i="93"/>
  <c r="BJ72" i="93"/>
  <c r="BI72" i="93"/>
  <c r="BH72" i="93"/>
  <c r="BS69" i="93"/>
  <c r="BR69" i="93"/>
  <c r="BQ69" i="93"/>
  <c r="BP69" i="93"/>
  <c r="BO69" i="93"/>
  <c r="BN69" i="93"/>
  <c r="BM69" i="93"/>
  <c r="BL69" i="93"/>
  <c r="BK69" i="93"/>
  <c r="BJ69" i="93"/>
  <c r="BI69" i="93"/>
  <c r="BH69" i="93"/>
  <c r="BS68" i="93"/>
  <c r="BR68" i="93"/>
  <c r="BQ68" i="93"/>
  <c r="BP68" i="93"/>
  <c r="BO68" i="93"/>
  <c r="BN68" i="93"/>
  <c r="BM68" i="93"/>
  <c r="BL68" i="93"/>
  <c r="BK68" i="93"/>
  <c r="BJ68" i="93"/>
  <c r="BI68" i="93"/>
  <c r="BH68" i="93"/>
  <c r="BS67" i="93"/>
  <c r="BR67" i="93"/>
  <c r="BQ67" i="93"/>
  <c r="BP67" i="93"/>
  <c r="BO67" i="93"/>
  <c r="BN67" i="93"/>
  <c r="BM67" i="93"/>
  <c r="BL67" i="93"/>
  <c r="BK67" i="93"/>
  <c r="BJ67" i="93"/>
  <c r="BI67" i="93"/>
  <c r="BH67" i="93"/>
  <c r="BS66" i="93"/>
  <c r="BR66" i="93"/>
  <c r="BQ66" i="93"/>
  <c r="BP66" i="93"/>
  <c r="BO66" i="93"/>
  <c r="BN66" i="93"/>
  <c r="BM66" i="93"/>
  <c r="BL66" i="93"/>
  <c r="BK66" i="93"/>
  <c r="BJ66" i="93"/>
  <c r="BI66" i="93"/>
  <c r="BH66" i="93"/>
  <c r="BS40" i="93"/>
  <c r="BO40" i="93"/>
  <c r="BN40" i="93"/>
  <c r="BM40" i="93"/>
  <c r="BL40" i="93"/>
  <c r="BH28" i="93"/>
  <c r="BS63" i="93"/>
  <c r="BR63" i="93"/>
  <c r="BQ63" i="93"/>
  <c r="BP63" i="93"/>
  <c r="BO63" i="93"/>
  <c r="BN63" i="93"/>
  <c r="BM63" i="93"/>
  <c r="BL63" i="93"/>
  <c r="BK63" i="93"/>
  <c r="BJ63" i="93"/>
  <c r="BI63" i="93"/>
  <c r="BH63" i="93"/>
  <c r="BS62" i="93"/>
  <c r="BR62" i="93"/>
  <c r="BQ62" i="93"/>
  <c r="BP62" i="93"/>
  <c r="BO62" i="93"/>
  <c r="BN62" i="93"/>
  <c r="BM62" i="93"/>
  <c r="BL62" i="93"/>
  <c r="BK62" i="93"/>
  <c r="BJ62" i="93"/>
  <c r="BI62" i="93"/>
  <c r="BH62" i="93"/>
  <c r="BS60" i="93"/>
  <c r="BR60" i="93"/>
  <c r="BQ60" i="93"/>
  <c r="BP60" i="93"/>
  <c r="BO60" i="93"/>
  <c r="BN60" i="93"/>
  <c r="BM60" i="93"/>
  <c r="BL60" i="93"/>
  <c r="BK60" i="93"/>
  <c r="BJ60" i="93"/>
  <c r="BI60" i="93"/>
  <c r="BS59" i="93"/>
  <c r="BR59" i="93"/>
  <c r="BQ59" i="93"/>
  <c r="BP59" i="93"/>
  <c r="BO59" i="93"/>
  <c r="BN59" i="93"/>
  <c r="BM59" i="93"/>
  <c r="BL59" i="93"/>
  <c r="BK59" i="93"/>
  <c r="BJ59" i="93"/>
  <c r="BI59" i="93"/>
  <c r="BH59" i="93"/>
  <c r="BH61" i="93" s="1"/>
  <c r="BT56" i="93"/>
  <c r="BT55" i="93"/>
  <c r="BT54" i="93"/>
  <c r="BT53" i="93"/>
  <c r="BT50" i="93"/>
  <c r="BT49" i="93"/>
  <c r="BT48" i="93"/>
  <c r="BT47" i="93"/>
  <c r="BS25" i="93"/>
  <c r="BR25" i="93"/>
  <c r="BQ25" i="93"/>
  <c r="BP25" i="93"/>
  <c r="BO25" i="93"/>
  <c r="BN25" i="93"/>
  <c r="BM25" i="93"/>
  <c r="BL25" i="93"/>
  <c r="BK25" i="93"/>
  <c r="BJ25" i="93"/>
  <c r="BI25" i="93"/>
  <c r="BH25" i="93"/>
  <c r="BS24" i="93"/>
  <c r="BR24" i="93"/>
  <c r="BQ24" i="93"/>
  <c r="BP24" i="93"/>
  <c r="BO24" i="93"/>
  <c r="BN24" i="93"/>
  <c r="BM24" i="93"/>
  <c r="BL24" i="93"/>
  <c r="BK24" i="93"/>
  <c r="BJ24" i="93"/>
  <c r="BI24" i="93"/>
  <c r="BH24" i="93"/>
  <c r="BS23" i="93"/>
  <c r="BR23" i="93"/>
  <c r="BQ23" i="93"/>
  <c r="BP23" i="93"/>
  <c r="BO23" i="93"/>
  <c r="BN23" i="93"/>
  <c r="BM23" i="93"/>
  <c r="BL23" i="93"/>
  <c r="BK23" i="93"/>
  <c r="BJ23" i="93"/>
  <c r="BI23" i="93"/>
  <c r="BH23" i="93"/>
  <c r="BS22" i="93"/>
  <c r="BR22" i="93"/>
  <c r="BQ22" i="93"/>
  <c r="BP22" i="93"/>
  <c r="BO22" i="93"/>
  <c r="BN22" i="93"/>
  <c r="BM22" i="93"/>
  <c r="BL22" i="93"/>
  <c r="BK22" i="93"/>
  <c r="BJ22" i="93"/>
  <c r="BI22" i="93"/>
  <c r="BH22" i="93"/>
  <c r="BT19" i="93"/>
  <c r="BT18" i="93"/>
  <c r="BT17" i="93"/>
  <c r="BT16" i="93"/>
  <c r="BS15" i="93"/>
  <c r="BR15" i="93"/>
  <c r="BQ15" i="93"/>
  <c r="BP15" i="93"/>
  <c r="BO15" i="93"/>
  <c r="BN15" i="93"/>
  <c r="BM15" i="93"/>
  <c r="BL15" i="93"/>
  <c r="BK15" i="93"/>
  <c r="BJ15" i="93"/>
  <c r="BI15" i="93"/>
  <c r="BH15" i="93"/>
  <c r="BT13" i="93"/>
  <c r="BT12" i="93"/>
  <c r="BT11" i="93"/>
  <c r="BT10" i="93"/>
  <c r="BT5" i="93" s="1"/>
  <c r="BS9" i="93"/>
  <c r="BR9" i="93"/>
  <c r="BQ9" i="93"/>
  <c r="BP9" i="93"/>
  <c r="BO9" i="93"/>
  <c r="BN9" i="93"/>
  <c r="BM9" i="93"/>
  <c r="BL9" i="93"/>
  <c r="BK9" i="93"/>
  <c r="BJ9" i="93"/>
  <c r="BI9" i="93"/>
  <c r="BH9" i="93"/>
  <c r="BE25" i="93"/>
  <c r="BD25" i="93"/>
  <c r="BC25" i="93"/>
  <c r="BB25" i="93"/>
  <c r="BA25" i="93"/>
  <c r="AZ25" i="93"/>
  <c r="AY25" i="93"/>
  <c r="AX25" i="93"/>
  <c r="AW25" i="93"/>
  <c r="AV25" i="93"/>
  <c r="AU25" i="93"/>
  <c r="AT25" i="93"/>
  <c r="BE24" i="93"/>
  <c r="BD24" i="93"/>
  <c r="BC24" i="93"/>
  <c r="BB24" i="93"/>
  <c r="BA24" i="93"/>
  <c r="AZ24" i="93"/>
  <c r="AY24" i="93"/>
  <c r="AX24" i="93"/>
  <c r="AW24" i="93"/>
  <c r="AV24" i="93"/>
  <c r="AU24" i="93"/>
  <c r="AT24" i="93"/>
  <c r="BE23" i="93"/>
  <c r="BD23" i="93"/>
  <c r="BC23" i="93"/>
  <c r="BB23" i="93"/>
  <c r="BA23" i="93"/>
  <c r="AZ23" i="93"/>
  <c r="AY23" i="93"/>
  <c r="AX23" i="93"/>
  <c r="AW23" i="93"/>
  <c r="AV23" i="93"/>
  <c r="AU23" i="93"/>
  <c r="AT23" i="93"/>
  <c r="BE22" i="93"/>
  <c r="BD22" i="93"/>
  <c r="BC22" i="93"/>
  <c r="BB22" i="93"/>
  <c r="BA22" i="93"/>
  <c r="AZ22" i="93"/>
  <c r="AY22" i="93"/>
  <c r="AX22" i="93"/>
  <c r="AW22" i="93"/>
  <c r="AV22" i="93"/>
  <c r="AU22" i="93"/>
  <c r="AT22" i="93"/>
  <c r="BF19" i="93"/>
  <c r="BF18" i="93"/>
  <c r="BF17" i="93"/>
  <c r="BF16" i="93"/>
  <c r="BF13" i="93"/>
  <c r="BF12" i="93"/>
  <c r="BF11" i="93"/>
  <c r="BF10" i="93"/>
  <c r="BE40" i="93"/>
  <c r="BD40" i="93"/>
  <c r="BC40" i="93"/>
  <c r="BB40" i="93"/>
  <c r="BA40" i="93"/>
  <c r="AZ40" i="93"/>
  <c r="AY40" i="93"/>
  <c r="AX40" i="93"/>
  <c r="AW40" i="93"/>
  <c r="AV40" i="93"/>
  <c r="AU40" i="93"/>
  <c r="AT40" i="93"/>
  <c r="BF56" i="93"/>
  <c r="BF55" i="93"/>
  <c r="BF54" i="93"/>
  <c r="BF53" i="93"/>
  <c r="BF61" i="93" s="1"/>
  <c r="BF62" i="93" s="1"/>
  <c r="BF50" i="93"/>
  <c r="BF49" i="93"/>
  <c r="BF48" i="93"/>
  <c r="BF47" i="93"/>
  <c r="BE15" i="93"/>
  <c r="BD15" i="93"/>
  <c r="BC15" i="93"/>
  <c r="BB15" i="93"/>
  <c r="BA15" i="93"/>
  <c r="AZ15" i="93"/>
  <c r="AY15" i="93"/>
  <c r="AX15" i="93"/>
  <c r="AW15" i="93"/>
  <c r="AV15" i="93"/>
  <c r="AU15" i="93"/>
  <c r="AT15" i="93"/>
  <c r="BE9" i="93"/>
  <c r="BD9" i="93"/>
  <c r="BC9" i="93"/>
  <c r="BB9" i="93"/>
  <c r="BA9" i="93"/>
  <c r="AZ9" i="93"/>
  <c r="AY9" i="93"/>
  <c r="AX9" i="93"/>
  <c r="AW9" i="93"/>
  <c r="AV9" i="93"/>
  <c r="AU9" i="93"/>
  <c r="AT9" i="93"/>
  <c r="AG143" i="5"/>
  <c r="AF143" i="5"/>
  <c r="AE143" i="5"/>
  <c r="AD143" i="5"/>
  <c r="AC143" i="5"/>
  <c r="AB143" i="5"/>
  <c r="AA143" i="5"/>
  <c r="Z143" i="5"/>
  <c r="Y143" i="5"/>
  <c r="X143" i="5"/>
  <c r="W143" i="5"/>
  <c r="V143" i="5"/>
  <c r="AH138" i="5"/>
  <c r="AH137" i="5"/>
  <c r="AH136" i="5"/>
  <c r="AH135" i="5"/>
  <c r="AH134" i="5"/>
  <c r="AH133" i="5"/>
  <c r="AH132" i="5"/>
  <c r="AH131" i="5"/>
  <c r="AH130" i="5"/>
  <c r="AH129" i="5"/>
  <c r="AH128" i="5"/>
  <c r="AH127" i="5"/>
  <c r="AH126" i="5"/>
  <c r="AH125" i="5"/>
  <c r="AH124" i="5"/>
  <c r="AH123" i="5"/>
  <c r="AH122" i="5"/>
  <c r="AH121" i="5"/>
  <c r="AH120" i="5"/>
  <c r="AH119" i="5"/>
  <c r="AH118" i="5"/>
  <c r="AH117" i="5"/>
  <c r="AH116" i="5"/>
  <c r="AH115" i="5"/>
  <c r="AH114" i="5"/>
  <c r="AH113" i="5"/>
  <c r="AH112" i="5"/>
  <c r="AH111" i="5"/>
  <c r="AH110" i="5"/>
  <c r="AH109" i="5"/>
  <c r="AH108" i="5"/>
  <c r="AH107" i="5"/>
  <c r="AH106" i="5"/>
  <c r="AH105" i="5"/>
  <c r="AH104" i="5"/>
  <c r="AH103" i="5"/>
  <c r="AH102" i="5"/>
  <c r="AH101" i="5"/>
  <c r="AH100" i="5"/>
  <c r="AH99" i="5"/>
  <c r="AH98" i="5"/>
  <c r="AH97" i="5"/>
  <c r="AH96" i="5"/>
  <c r="AH95" i="5"/>
  <c r="AH94" i="5"/>
  <c r="AH93" i="5"/>
  <c r="AH92" i="5"/>
  <c r="AH91" i="5"/>
  <c r="AH90" i="5"/>
  <c r="AH89" i="5"/>
  <c r="AH88" i="5"/>
  <c r="AH87" i="5"/>
  <c r="AH86" i="5"/>
  <c r="AH85" i="5"/>
  <c r="AH84" i="5"/>
  <c r="AH83" i="5"/>
  <c r="AH82" i="5"/>
  <c r="AH81" i="5"/>
  <c r="AH80" i="5"/>
  <c r="AH79" i="5"/>
  <c r="AH78" i="5"/>
  <c r="AH77" i="5"/>
  <c r="AH76" i="5"/>
  <c r="AH75" i="5"/>
  <c r="AH74" i="5"/>
  <c r="AH73" i="5"/>
  <c r="AH72" i="5"/>
  <c r="AH71" i="5"/>
  <c r="AH70" i="5"/>
  <c r="AH69" i="5"/>
  <c r="AH68" i="5"/>
  <c r="AH67" i="5"/>
  <c r="AH66" i="5"/>
  <c r="AH65" i="5"/>
  <c r="AH64" i="5"/>
  <c r="AH63" i="5"/>
  <c r="AH62" i="5"/>
  <c r="AH61" i="5"/>
  <c r="AH60" i="5"/>
  <c r="AH59" i="5"/>
  <c r="AH58" i="5"/>
  <c r="AH57" i="5"/>
  <c r="AH56" i="5"/>
  <c r="AH55" i="5"/>
  <c r="AH54" i="5"/>
  <c r="AH53" i="5"/>
  <c r="AH52" i="5"/>
  <c r="AH51" i="5"/>
  <c r="AH50" i="5"/>
  <c r="AH49" i="5"/>
  <c r="AH48" i="5"/>
  <c r="AH47" i="5"/>
  <c r="AH46" i="5"/>
  <c r="AH45" i="5"/>
  <c r="AH44" i="5"/>
  <c r="AH43" i="5"/>
  <c r="AH42" i="5"/>
  <c r="AH41" i="5"/>
  <c r="AH40"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H8" i="5"/>
  <c r="AH7" i="5"/>
  <c r="AH6" i="5"/>
  <c r="AH5" i="5"/>
  <c r="AH4" i="5"/>
  <c r="AQ29" i="93"/>
  <c r="AQ28" i="93"/>
  <c r="AQ75" i="93"/>
  <c r="AQ74" i="93"/>
  <c r="AQ73" i="93"/>
  <c r="AQ72" i="93"/>
  <c r="AQ69" i="93"/>
  <c r="AQ68" i="93"/>
  <c r="AQ67" i="93"/>
  <c r="AQ66" i="93"/>
  <c r="AQ63" i="93"/>
  <c r="AQ62" i="93"/>
  <c r="AQ60" i="93"/>
  <c r="AQ59" i="93"/>
  <c r="AV138" i="5"/>
  <c r="A138" i="5"/>
  <c r="AV137" i="5"/>
  <c r="A137" i="5"/>
  <c r="AV136" i="5"/>
  <c r="A136" i="5"/>
  <c r="AV135" i="5"/>
  <c r="A135" i="5"/>
  <c r="AV134" i="5"/>
  <c r="A134" i="5"/>
  <c r="BM35" i="93" l="1"/>
  <c r="BP35" i="93"/>
  <c r="BQ35" i="93"/>
  <c r="BN35" i="93"/>
  <c r="BR35" i="93"/>
  <c r="BL35" i="93"/>
  <c r="BO35" i="93"/>
  <c r="BS21" i="93"/>
  <c r="BO81" i="93"/>
  <c r="BS82" i="93"/>
  <c r="BP81" i="93"/>
  <c r="BK61" i="93"/>
  <c r="AQ40" i="93"/>
  <c r="BL61" i="93"/>
  <c r="BF22" i="93"/>
  <c r="BM61" i="93"/>
  <c r="AU21" i="93"/>
  <c r="AV21" i="93"/>
  <c r="BF24" i="93"/>
  <c r="BR21" i="93"/>
  <c r="BA21" i="93"/>
  <c r="BB21" i="93"/>
  <c r="BC21" i="93"/>
  <c r="BD21" i="93"/>
  <c r="BN61" i="93"/>
  <c r="BJ35" i="93"/>
  <c r="BO61" i="93"/>
  <c r="BQ21" i="93"/>
  <c r="BQ79" i="93"/>
  <c r="BH81" i="93"/>
  <c r="BS81" i="93"/>
  <c r="BH35" i="93"/>
  <c r="AQ61" i="93"/>
  <c r="AQ34" i="93"/>
  <c r="C94" i="92" s="1"/>
  <c r="BI35" i="93"/>
  <c r="BJ21" i="93"/>
  <c r="AH143" i="5"/>
  <c r="BF15" i="93"/>
  <c r="AZ21" i="93"/>
  <c r="BE21" i="93"/>
  <c r="BF40" i="93"/>
  <c r="AW21" i="93"/>
  <c r="AX21" i="93"/>
  <c r="AY21" i="93"/>
  <c r="BF23" i="93"/>
  <c r="AT21" i="93"/>
  <c r="BJ82" i="93"/>
  <c r="BK82" i="93"/>
  <c r="BK78" i="93"/>
  <c r="AQ78" i="93"/>
  <c r="BI21" i="93"/>
  <c r="AQ79" i="93"/>
  <c r="BF25" i="93"/>
  <c r="BP61" i="93"/>
  <c r="AQ81" i="93"/>
  <c r="BK21" i="93"/>
  <c r="BQ61" i="93"/>
  <c r="AQ82" i="93"/>
  <c r="BL21" i="93"/>
  <c r="BR61" i="93"/>
  <c r="BN34" i="93"/>
  <c r="BN81" i="93"/>
  <c r="BM21" i="93"/>
  <c r="BS61" i="93"/>
  <c r="BN21" i="93"/>
  <c r="BO21" i="93"/>
  <c r="BI61" i="93"/>
  <c r="BO79" i="93"/>
  <c r="AQ35" i="93"/>
  <c r="C95" i="92" s="1"/>
  <c r="BP21" i="93"/>
  <c r="BT62" i="93"/>
  <c r="BJ61" i="93"/>
  <c r="BN79" i="93"/>
  <c r="BR81" i="93"/>
  <c r="BM82" i="93"/>
  <c r="BH78" i="93"/>
  <c r="BT60" i="93"/>
  <c r="BI34" i="93"/>
  <c r="BI81" i="93"/>
  <c r="BT15" i="93"/>
  <c r="BT9" i="93"/>
  <c r="BT22" i="93"/>
  <c r="BT24" i="93"/>
  <c r="BT25" i="93"/>
  <c r="BH21" i="93"/>
  <c r="BH40" i="93"/>
  <c r="BP40" i="93"/>
  <c r="BI82" i="93"/>
  <c r="BH82" i="93"/>
  <c r="BJ79" i="93"/>
  <c r="BK79" i="93"/>
  <c r="BI40" i="93"/>
  <c r="BH34" i="93"/>
  <c r="BR82" i="93"/>
  <c r="BJ40" i="93"/>
  <c r="BT63" i="93"/>
  <c r="BQ34" i="93"/>
  <c r="BI78" i="93"/>
  <c r="BM79" i="93"/>
  <c r="BL79" i="93"/>
  <c r="BK40" i="93"/>
  <c r="BT28" i="93"/>
  <c r="BJ78" i="93"/>
  <c r="BL78" i="93"/>
  <c r="BP79" i="93"/>
  <c r="BM78" i="93"/>
  <c r="BS79" i="93"/>
  <c r="BP34" i="93"/>
  <c r="BP78" i="93"/>
  <c r="BL82" i="93"/>
  <c r="BQ81" i="93"/>
  <c r="BQ78" i="93"/>
  <c r="BQ80" i="93" s="1"/>
  <c r="BR34" i="93"/>
  <c r="BJ34" i="93"/>
  <c r="BR78" i="93"/>
  <c r="BJ81" i="93"/>
  <c r="BN82" i="93"/>
  <c r="BK34" i="93"/>
  <c r="BS78" i="93"/>
  <c r="BK81" i="93"/>
  <c r="BO82" i="93"/>
  <c r="BN78" i="93"/>
  <c r="BR79" i="93"/>
  <c r="BO34" i="93"/>
  <c r="BO78" i="93"/>
  <c r="BL34" i="93"/>
  <c r="BH79" i="93"/>
  <c r="BL81" i="93"/>
  <c r="BP82" i="93"/>
  <c r="BM34" i="93"/>
  <c r="BI79" i="93"/>
  <c r="BM81" i="93"/>
  <c r="BQ82" i="93"/>
  <c r="BT29" i="93"/>
  <c r="BT59" i="93"/>
  <c r="BT23" i="93"/>
  <c r="BF9" i="93"/>
  <c r="A133" i="5"/>
  <c r="AV133" i="5"/>
  <c r="BN80" i="93" l="1"/>
  <c r="BF21" i="93"/>
  <c r="BK80" i="93"/>
  <c r="BT21" i="93"/>
  <c r="BO80" i="93"/>
  <c r="BT61" i="93"/>
  <c r="AQ80" i="93"/>
  <c r="BH80" i="93"/>
  <c r="BR80" i="93"/>
  <c r="BP80" i="93"/>
  <c r="BI80" i="93"/>
  <c r="BM80" i="93"/>
  <c r="BS80" i="93"/>
  <c r="BJ80" i="93"/>
  <c r="BT40" i="93"/>
  <c r="BL80" i="93"/>
  <c r="A132" i="5"/>
  <c r="AV132" i="5"/>
  <c r="AV54" i="5"/>
  <c r="A131" i="5"/>
  <c r="A130" i="5"/>
  <c r="AV142" i="5"/>
  <c r="AV131" i="5"/>
  <c r="AV130" i="5"/>
  <c r="A129" i="5" l="1"/>
  <c r="AV129" i="5"/>
  <c r="AV128" i="5"/>
  <c r="A128" i="5"/>
  <c r="AV127" i="5" l="1"/>
  <c r="A127" i="5"/>
  <c r="AP29" i="93" l="1"/>
  <c r="AP28" i="93"/>
  <c r="AP40" i="93" l="1"/>
  <c r="AP75" i="93"/>
  <c r="AP74" i="93"/>
  <c r="AP73" i="93"/>
  <c r="AP72" i="93"/>
  <c r="AP69" i="93"/>
  <c r="AP68" i="93"/>
  <c r="AP67" i="93"/>
  <c r="AP66" i="93"/>
  <c r="AP63" i="93"/>
  <c r="AP62" i="93"/>
  <c r="AP60" i="93"/>
  <c r="AP59" i="93"/>
  <c r="AP82" i="93" l="1"/>
  <c r="AP61" i="93"/>
  <c r="AP35" i="93"/>
  <c r="AP81" i="93"/>
  <c r="AP34" i="93"/>
  <c r="AP78" i="93"/>
  <c r="AP79" i="93"/>
  <c r="AP80" i="93" s="1"/>
  <c r="E1" i="139"/>
  <c r="B82" i="139" l="1"/>
  <c r="E2" i="139"/>
  <c r="AO29" i="93"/>
  <c r="AO28" i="93"/>
  <c r="AO40" i="93" s="1"/>
  <c r="AO75" i="93"/>
  <c r="AO74" i="93"/>
  <c r="AO73" i="93"/>
  <c r="AO72" i="93"/>
  <c r="AO69" i="93"/>
  <c r="AO68" i="93"/>
  <c r="AO81" i="93" s="1"/>
  <c r="AO67" i="93"/>
  <c r="AO66" i="93"/>
  <c r="AO63" i="93"/>
  <c r="AO62" i="93"/>
  <c r="AO60" i="93"/>
  <c r="AO59" i="93"/>
  <c r="AO61" i="93" l="1"/>
  <c r="AO34" i="93"/>
  <c r="AO78" i="93"/>
  <c r="AO79" i="93"/>
  <c r="AO35" i="93"/>
  <c r="AO82" i="93"/>
  <c r="F30" i="90"/>
  <c r="E14" i="90"/>
  <c r="E13" i="90"/>
  <c r="E4" i="90"/>
  <c r="F4" i="90"/>
  <c r="E35" i="90"/>
  <c r="F34" i="90"/>
  <c r="F33" i="90"/>
  <c r="F32" i="90"/>
  <c r="E7" i="90"/>
  <c r="F7" i="90"/>
  <c r="F6" i="90"/>
  <c r="AO80" i="93" l="1"/>
  <c r="E8" i="90"/>
  <c r="F9" i="90"/>
  <c r="F12" i="90"/>
  <c r="F13" i="90"/>
  <c r="F14" i="90"/>
  <c r="F31" i="90"/>
  <c r="E30" i="90"/>
  <c r="E34" i="90"/>
  <c r="E31" i="90"/>
  <c r="E37" i="90" a="1"/>
  <c r="E9" i="90"/>
  <c r="E11" i="90"/>
  <c r="E12" i="90"/>
  <c r="E32" i="90"/>
  <c r="E33" i="90"/>
  <c r="F35" i="90"/>
  <c r="F8" i="90"/>
  <c r="E5" i="90"/>
  <c r="F37" i="90" a="1"/>
  <c r="E29" i="90" a="1"/>
  <c r="F5" i="90"/>
  <c r="E10" i="90"/>
  <c r="A126" i="5"/>
  <c r="A125" i="5"/>
  <c r="A124" i="5"/>
  <c r="A123" i="5"/>
  <c r="AV126" i="5"/>
  <c r="AV125" i="5"/>
  <c r="AV124" i="5"/>
  <c r="AV123" i="5"/>
  <c r="F11" i="90" l="1"/>
  <c r="F29" i="90" a="1"/>
  <c r="E6" i="90"/>
  <c r="F10" i="90"/>
  <c r="AV122" i="5"/>
  <c r="A122" i="5"/>
  <c r="A121" i="5"/>
  <c r="A120" i="5"/>
  <c r="A119" i="5"/>
  <c r="A118" i="5"/>
  <c r="AV121" i="5"/>
  <c r="AV120" i="5"/>
  <c r="AV119" i="5"/>
  <c r="AV118" i="5"/>
  <c r="A117" i="5"/>
  <c r="A116" i="5"/>
  <c r="AV117" i="5"/>
  <c r="AV116" i="5"/>
  <c r="A115" i="5" l="1"/>
  <c r="AV115" i="5"/>
  <c r="AV114" i="5"/>
  <c r="A114" i="5"/>
  <c r="G8" i="139" l="1"/>
  <c r="G5" i="139"/>
  <c r="G9" i="139"/>
  <c r="E17" i="139"/>
  <c r="G17" i="139" s="1"/>
  <c r="E22" i="139"/>
  <c r="G22" i="139" s="1"/>
  <c r="E19" i="139"/>
  <c r="G10" i="139"/>
  <c r="E20" i="139"/>
  <c r="E23" i="139"/>
  <c r="G23" i="139" s="1"/>
  <c r="E21" i="139"/>
  <c r="G21" i="139" s="1"/>
  <c r="G6" i="139"/>
  <c r="F16" i="139"/>
  <c r="E18" i="139"/>
  <c r="G20" i="139" l="1"/>
  <c r="G12" i="139"/>
  <c r="G14" i="139"/>
  <c r="G13" i="139"/>
  <c r="G18" i="139"/>
  <c r="F3" i="139"/>
  <c r="G19" i="139"/>
  <c r="E16" i="139"/>
  <c r="G16" i="139" l="1"/>
  <c r="E3" i="139"/>
  <c r="G4" i="139"/>
  <c r="A1" i="92"/>
  <c r="AN29" i="93"/>
  <c r="C5" i="92" l="1" a="1"/>
  <c r="F6" i="92" a="1"/>
  <c r="E6" i="92" a="1"/>
  <c r="F5" i="92" a="1"/>
  <c r="C6" i="92" a="1"/>
  <c r="F18" i="92" a="1"/>
  <c r="E17" i="92" a="1"/>
  <c r="B18" i="92" a="1"/>
  <c r="E5" i="92" a="1"/>
  <c r="F17" i="92" a="1"/>
  <c r="B6" i="92" a="1"/>
  <c r="C18" i="92" a="1"/>
  <c r="B5" i="92" a="1"/>
  <c r="B2" i="92"/>
  <c r="B17" i="92" a="1"/>
  <c r="C17" i="92" a="1"/>
  <c r="C2" i="92"/>
  <c r="E18" i="92" a="1"/>
  <c r="B23" i="92" a="1"/>
  <c r="B24" i="92" a="1"/>
  <c r="E24" i="92" a="1"/>
  <c r="E23" i="92" a="1"/>
  <c r="G3" i="139"/>
  <c r="AN28" i="93"/>
  <c r="AN40" i="93" s="1"/>
  <c r="AN75" i="93"/>
  <c r="AN74" i="93"/>
  <c r="AN73" i="93"/>
  <c r="AN72" i="93"/>
  <c r="AN69" i="93"/>
  <c r="AN68" i="93"/>
  <c r="AN67" i="93"/>
  <c r="AN66" i="93"/>
  <c r="AN63" i="93"/>
  <c r="AN62" i="93"/>
  <c r="AN60" i="93"/>
  <c r="AN59" i="93"/>
  <c r="AN82" i="93" l="1"/>
  <c r="AN81" i="93"/>
  <c r="AN61" i="93"/>
  <c r="AN79" i="93"/>
  <c r="AN35" i="93"/>
  <c r="AN34" i="93"/>
  <c r="AN78" i="93"/>
  <c r="AN80" i="93" s="1"/>
  <c r="G4" i="86" l="1"/>
  <c r="AQ88" i="5" l="1"/>
  <c r="AQ83" i="5"/>
  <c r="AQ87" i="5"/>
  <c r="AQ82" i="5"/>
  <c r="AQ61" i="5"/>
  <c r="A113" i="5"/>
  <c r="AV113" i="5"/>
  <c r="A112" i="5" l="1"/>
  <c r="AV112" i="5"/>
  <c r="AV111" i="5"/>
  <c r="A111" i="5"/>
  <c r="AV110" i="5"/>
  <c r="A110" i="5"/>
  <c r="A109" i="5"/>
  <c r="AV109" i="5"/>
  <c r="A108" i="5"/>
  <c r="AV108" i="5"/>
  <c r="AQ89" i="5"/>
  <c r="AQ84" i="5"/>
  <c r="AQ86" i="5"/>
  <c r="AQ81" i="5"/>
  <c r="AQ62" i="5"/>
  <c r="A107" i="5"/>
  <c r="AV107" i="5"/>
  <c r="AM75" i="93"/>
  <c r="AM74" i="93"/>
  <c r="AM73" i="93"/>
  <c r="AM72" i="93"/>
  <c r="AM69" i="93"/>
  <c r="AM68" i="93"/>
  <c r="AM67" i="93"/>
  <c r="AM66" i="93"/>
  <c r="AM63" i="93"/>
  <c r="AM62" i="93"/>
  <c r="AM60" i="93"/>
  <c r="AM59" i="93"/>
  <c r="AM82" i="93" l="1"/>
  <c r="AM79" i="93"/>
  <c r="AM81" i="93"/>
  <c r="AM78" i="93"/>
  <c r="AM80" i="93" s="1"/>
  <c r="AM61" i="93"/>
  <c r="AM35" i="93"/>
  <c r="AM34" i="93"/>
  <c r="AM29" i="93"/>
  <c r="AM28" i="93"/>
  <c r="AM40" i="93" s="1"/>
  <c r="B5" i="32" l="1"/>
  <c r="C6" i="32" s="1"/>
  <c r="C103" i="92" l="1"/>
  <c r="B103" i="92"/>
  <c r="C6" i="155"/>
  <c r="T17" i="155"/>
  <c r="B34" i="155"/>
  <c r="C19" i="155"/>
  <c r="B19" i="155"/>
  <c r="C18" i="155"/>
  <c r="B18" i="155"/>
  <c r="C17" i="155"/>
  <c r="B17" i="155"/>
  <c r="C99" i="155"/>
  <c r="C88" i="155"/>
  <c r="F88" i="155" s="1"/>
  <c r="B88" i="155"/>
  <c r="B75" i="155"/>
  <c r="B92" i="155" s="1" a="1"/>
  <c r="B59" i="155" a="1"/>
  <c r="C58" i="155" a="1"/>
  <c r="C55" i="155"/>
  <c r="B55" i="155"/>
  <c r="C48" i="155" a="1"/>
  <c r="C47" i="155" a="1"/>
  <c r="B47" i="155" a="1"/>
  <c r="C43" i="155"/>
  <c r="C42" i="155"/>
  <c r="B42" i="155"/>
  <c r="C32" i="155"/>
  <c r="B32" i="155"/>
  <c r="F19" i="155" a="1"/>
  <c r="E19" i="155" a="1"/>
  <c r="F18" i="155" a="1"/>
  <c r="E18" i="155" a="1"/>
  <c r="F17" i="155" a="1"/>
  <c r="E17" i="155" a="1"/>
  <c r="F14" i="155"/>
  <c r="E14" i="155"/>
  <c r="I14" i="155" s="1"/>
  <c r="H14" i="155"/>
  <c r="R13" i="155"/>
  <c r="R12" i="155"/>
  <c r="R11" i="155"/>
  <c r="F7" i="155" a="1"/>
  <c r="E7" i="155" a="1"/>
  <c r="C31" i="155"/>
  <c r="B31" i="155"/>
  <c r="F6" i="155" a="1"/>
  <c r="E6" i="155" a="1"/>
  <c r="C30" i="155"/>
  <c r="B30" i="155"/>
  <c r="F5" i="155" a="1"/>
  <c r="E5" i="155" a="1"/>
  <c r="B4" i="155"/>
  <c r="F2" i="155"/>
  <c r="E2" i="155"/>
  <c r="C2" i="155"/>
  <c r="B2" i="155"/>
  <c r="C32" i="92"/>
  <c r="B32" i="92"/>
  <c r="F55" i="155" l="1"/>
  <c r="B81" i="155" a="1"/>
  <c r="B93" i="155" a="1"/>
  <c r="B91" i="155" a="1"/>
  <c r="B79" i="155" a="1"/>
  <c r="C4" i="155"/>
  <c r="C22" i="155" s="1"/>
  <c r="C29" i="155"/>
  <c r="C28" i="155" s="1"/>
  <c r="C37" i="155"/>
  <c r="E31" i="155"/>
  <c r="E4" i="155"/>
  <c r="F4" i="155"/>
  <c r="E13" i="155"/>
  <c r="N13" i="155"/>
  <c r="F31" i="155"/>
  <c r="F13" i="155"/>
  <c r="Y13" i="155"/>
  <c r="U11" i="155"/>
  <c r="C16" i="155"/>
  <c r="N11" i="155"/>
  <c r="B22" i="155"/>
  <c r="E11" i="155"/>
  <c r="E16" i="155"/>
  <c r="F11" i="155"/>
  <c r="Y11" i="155"/>
  <c r="F16" i="155"/>
  <c r="B53" i="155"/>
  <c r="H12" i="155"/>
  <c r="K12" i="155" s="1"/>
  <c r="E30" i="155"/>
  <c r="T12" i="155"/>
  <c r="Y12" i="155"/>
  <c r="F12" i="155"/>
  <c r="H11" i="155"/>
  <c r="K11" i="155" s="1"/>
  <c r="F30" i="155"/>
  <c r="E12" i="155"/>
  <c r="C59" i="155" a="1"/>
  <c r="C53" i="155" s="1"/>
  <c r="B16" i="155"/>
  <c r="B37" i="155"/>
  <c r="B48" i="155" a="1"/>
  <c r="T11" i="155"/>
  <c r="U12" i="155"/>
  <c r="V12" i="155" s="1"/>
  <c r="B29" i="155"/>
  <c r="B60" i="155" a="1"/>
  <c r="B43" i="155"/>
  <c r="C60" i="155" a="1"/>
  <c r="C54" i="155" s="1"/>
  <c r="C46" i="155" a="1"/>
  <c r="C45" i="155" s="1"/>
  <c r="B58" i="155" a="1"/>
  <c r="B80" i="155" a="1"/>
  <c r="B86" i="155" s="1"/>
  <c r="N12" i="155"/>
  <c r="B46" i="155" a="1"/>
  <c r="B87" i="155" l="1"/>
  <c r="B90" i="155"/>
  <c r="B78" i="155"/>
  <c r="B54" i="155"/>
  <c r="I11" i="155"/>
  <c r="B85" i="155"/>
  <c r="F54" i="155"/>
  <c r="N17" i="155"/>
  <c r="N18" i="155"/>
  <c r="C34" i="155"/>
  <c r="E34" i="155" s="1"/>
  <c r="U17" i="155"/>
  <c r="V17" i="155" s="1"/>
  <c r="F29" i="155"/>
  <c r="B28" i="155"/>
  <c r="X17" i="155"/>
  <c r="Y17" i="155" s="1"/>
  <c r="U18" i="155"/>
  <c r="V11" i="155"/>
  <c r="Q12" i="155"/>
  <c r="B45" i="155"/>
  <c r="B10" i="155"/>
  <c r="T10" i="155"/>
  <c r="E28" i="155"/>
  <c r="C10" i="155"/>
  <c r="N10" i="155" s="1"/>
  <c r="U10" i="155"/>
  <c r="F28" i="155"/>
  <c r="F10" i="155"/>
  <c r="H13" i="155"/>
  <c r="K13" i="155" s="1"/>
  <c r="B57" i="155"/>
  <c r="B52" i="155"/>
  <c r="F22" i="155"/>
  <c r="Y10" i="155" s="1"/>
  <c r="T18" i="155"/>
  <c r="I12" i="155"/>
  <c r="C52" i="155"/>
  <c r="C57" i="155"/>
  <c r="Q11" i="155"/>
  <c r="I13" i="155"/>
  <c r="E29" i="155"/>
  <c r="E10" i="155"/>
  <c r="B84" i="155" l="1"/>
  <c r="I10" i="155"/>
  <c r="N16" i="155"/>
  <c r="W17" i="155"/>
  <c r="V18" i="155"/>
  <c r="W18" i="155" s="1"/>
  <c r="W12" i="155"/>
  <c r="U16" i="155"/>
  <c r="H10" i="155"/>
  <c r="W11" i="155"/>
  <c r="Q13" i="155"/>
  <c r="T16" i="155"/>
  <c r="C51" i="155"/>
  <c r="V10" i="155"/>
  <c r="K10" i="155"/>
  <c r="F52" i="155"/>
  <c r="B51" i="155"/>
  <c r="F51" i="155" l="1"/>
  <c r="V16" i="155"/>
  <c r="Q10" i="155"/>
  <c r="Q9" i="155" s="1"/>
  <c r="W13" i="155"/>
  <c r="W10" i="155" l="1"/>
  <c r="B39" i="92"/>
  <c r="AL29" i="93"/>
  <c r="AL28" i="93"/>
  <c r="AL40" i="93" s="1"/>
  <c r="AL75" i="93"/>
  <c r="AL74" i="93"/>
  <c r="AL73" i="93"/>
  <c r="AL72" i="93"/>
  <c r="AL69" i="93"/>
  <c r="AL68" i="93"/>
  <c r="AL67" i="93"/>
  <c r="AL66" i="93"/>
  <c r="AL78" i="93" l="1"/>
  <c r="AL35" i="93"/>
  <c r="AL81" i="93"/>
  <c r="AL82" i="93"/>
  <c r="AL34" i="93"/>
  <c r="AL79" i="93"/>
  <c r="AL63" i="93"/>
  <c r="AL62" i="93"/>
  <c r="AL60" i="93"/>
  <c r="AL59" i="93"/>
  <c r="AL80" i="93" l="1"/>
  <c r="AL61" i="93"/>
  <c r="AV106" i="5"/>
  <c r="AV105" i="5"/>
  <c r="AV104" i="5"/>
  <c r="AV103" i="5"/>
  <c r="A106" i="5"/>
  <c r="A105" i="5"/>
  <c r="A104" i="5"/>
  <c r="A103" i="5"/>
  <c r="AN42" i="5" l="1"/>
  <c r="AP147" i="5"/>
  <c r="AP88" i="5"/>
  <c r="AP83" i="5"/>
  <c r="AP62" i="5"/>
  <c r="AP86" i="5"/>
  <c r="AP81" i="5"/>
  <c r="AP90" i="5"/>
  <c r="AP85" i="5"/>
  <c r="AV102" i="5" l="1"/>
  <c r="AV101" i="5"/>
  <c r="A102" i="5"/>
  <c r="A101" i="5"/>
  <c r="AP87" i="5" l="1"/>
  <c r="AP82" i="5"/>
  <c r="AP61" i="5"/>
  <c r="AC40" i="93" l="1"/>
  <c r="AB40" i="93"/>
  <c r="AA40" i="93"/>
  <c r="Z40" i="93"/>
  <c r="Y40" i="93"/>
  <c r="X40" i="93"/>
  <c r="W40" i="93"/>
  <c r="V40" i="93"/>
  <c r="U40" i="93"/>
  <c r="T40" i="93"/>
  <c r="S40" i="93"/>
  <c r="R40" i="93"/>
  <c r="O28" i="93"/>
  <c r="N28" i="93"/>
  <c r="M28" i="93"/>
  <c r="L28" i="93"/>
  <c r="K28" i="93"/>
  <c r="J28" i="93"/>
  <c r="I28" i="93"/>
  <c r="H28" i="93"/>
  <c r="G28" i="93"/>
  <c r="F28" i="93"/>
  <c r="F40" i="93" s="1"/>
  <c r="E28" i="93"/>
  <c r="E40" i="93" s="1"/>
  <c r="O29" i="93"/>
  <c r="N29" i="93"/>
  <c r="M29" i="93"/>
  <c r="L29" i="93"/>
  <c r="K29" i="93"/>
  <c r="J29" i="93"/>
  <c r="I29" i="93"/>
  <c r="H29" i="93"/>
  <c r="G29" i="93"/>
  <c r="F29" i="93"/>
  <c r="E29" i="93"/>
  <c r="D29" i="93"/>
  <c r="AK29" i="93"/>
  <c r="AJ29" i="93"/>
  <c r="AI29" i="93"/>
  <c r="AH29" i="93"/>
  <c r="AG29" i="93"/>
  <c r="AF29" i="93"/>
  <c r="AK28" i="93"/>
  <c r="AJ28" i="93"/>
  <c r="AI28" i="93"/>
  <c r="AH28" i="93"/>
  <c r="AG28" i="93"/>
  <c r="AF28" i="93"/>
  <c r="AF30" i="93"/>
  <c r="D28" i="93"/>
  <c r="O75" i="93"/>
  <c r="P75" i="93" s="1"/>
  <c r="N75" i="93"/>
  <c r="M75" i="93"/>
  <c r="L75" i="93"/>
  <c r="K75" i="93"/>
  <c r="J75" i="93"/>
  <c r="I75" i="93"/>
  <c r="H75" i="93"/>
  <c r="G75" i="93"/>
  <c r="F75" i="93"/>
  <c r="E75" i="93"/>
  <c r="D75" i="93"/>
  <c r="O74" i="93"/>
  <c r="N74" i="93"/>
  <c r="M74" i="93"/>
  <c r="L74" i="93"/>
  <c r="K74" i="93"/>
  <c r="J74" i="93"/>
  <c r="I74" i="93"/>
  <c r="H74" i="93"/>
  <c r="G74" i="93"/>
  <c r="F74" i="93"/>
  <c r="E74" i="93"/>
  <c r="D74" i="93"/>
  <c r="O73" i="93"/>
  <c r="P73" i="93" s="1"/>
  <c r="N73" i="93"/>
  <c r="M73" i="93"/>
  <c r="L73" i="93"/>
  <c r="K73" i="93"/>
  <c r="J73" i="93"/>
  <c r="I73" i="93"/>
  <c r="H73" i="93"/>
  <c r="G73" i="93"/>
  <c r="F73" i="93"/>
  <c r="E73" i="93"/>
  <c r="D73" i="93"/>
  <c r="O72" i="93"/>
  <c r="P72" i="93" s="1"/>
  <c r="N72" i="93"/>
  <c r="M72" i="93"/>
  <c r="L72" i="93"/>
  <c r="K72" i="93"/>
  <c r="J72" i="93"/>
  <c r="I72" i="93"/>
  <c r="H72" i="93"/>
  <c r="G72" i="93"/>
  <c r="F72" i="93"/>
  <c r="E72" i="93"/>
  <c r="D72" i="93"/>
  <c r="O69" i="93"/>
  <c r="P69" i="93" s="1"/>
  <c r="N69" i="93"/>
  <c r="M69" i="93"/>
  <c r="L69" i="93"/>
  <c r="K69" i="93"/>
  <c r="J69" i="93"/>
  <c r="I69" i="93"/>
  <c r="H69" i="93"/>
  <c r="G69" i="93"/>
  <c r="F69" i="93"/>
  <c r="E69" i="93"/>
  <c r="D69" i="93"/>
  <c r="O68" i="93"/>
  <c r="P68" i="93" s="1"/>
  <c r="N68" i="93"/>
  <c r="M68" i="93"/>
  <c r="L68" i="93"/>
  <c r="L81" i="93" s="1"/>
  <c r="K68" i="93"/>
  <c r="K81" i="93" s="1"/>
  <c r="J68" i="93"/>
  <c r="I68" i="93"/>
  <c r="I81" i="93" s="1"/>
  <c r="H68" i="93"/>
  <c r="H81" i="93" s="1"/>
  <c r="G68" i="93"/>
  <c r="F68" i="93"/>
  <c r="E68" i="93"/>
  <c r="D68" i="93"/>
  <c r="O67" i="93"/>
  <c r="P67" i="93" s="1"/>
  <c r="N67" i="93"/>
  <c r="M67" i="93"/>
  <c r="M35" i="93" s="1"/>
  <c r="L67" i="93"/>
  <c r="K67" i="93"/>
  <c r="K34" i="93" s="1"/>
  <c r="J67" i="93"/>
  <c r="I67" i="93"/>
  <c r="H67" i="93"/>
  <c r="G67" i="93"/>
  <c r="F67" i="93"/>
  <c r="E67" i="93"/>
  <c r="D67" i="93"/>
  <c r="O66" i="93"/>
  <c r="P66" i="93" s="1"/>
  <c r="N66" i="93"/>
  <c r="M66" i="93"/>
  <c r="L66" i="93"/>
  <c r="K66" i="93"/>
  <c r="J66" i="93"/>
  <c r="I66" i="93"/>
  <c r="H66" i="93"/>
  <c r="G66" i="93"/>
  <c r="F66" i="93"/>
  <c r="E66" i="93"/>
  <c r="D66" i="93"/>
  <c r="O60" i="93"/>
  <c r="N60" i="93"/>
  <c r="M60" i="93"/>
  <c r="L60" i="93"/>
  <c r="K60" i="93"/>
  <c r="J60" i="93"/>
  <c r="O59" i="93"/>
  <c r="N59" i="93"/>
  <c r="M59" i="93"/>
  <c r="L59" i="93"/>
  <c r="K59" i="93"/>
  <c r="J59" i="93"/>
  <c r="O62" i="93"/>
  <c r="N62" i="93"/>
  <c r="M62" i="93"/>
  <c r="L62" i="93"/>
  <c r="K62" i="93"/>
  <c r="J62" i="93"/>
  <c r="I63" i="93"/>
  <c r="H63" i="93"/>
  <c r="G63" i="93"/>
  <c r="F63" i="93"/>
  <c r="E63" i="93"/>
  <c r="D63" i="93"/>
  <c r="I62" i="93"/>
  <c r="H62" i="93"/>
  <c r="G62" i="93"/>
  <c r="F62" i="93"/>
  <c r="E62" i="93"/>
  <c r="D62" i="93"/>
  <c r="I60" i="93"/>
  <c r="H60" i="93"/>
  <c r="G60" i="93"/>
  <c r="F60" i="93"/>
  <c r="E60" i="93"/>
  <c r="D60" i="93"/>
  <c r="I59" i="93"/>
  <c r="H59" i="93"/>
  <c r="G59" i="93"/>
  <c r="F59" i="93"/>
  <c r="E59" i="93"/>
  <c r="D59" i="93"/>
  <c r="D61" i="93" s="1"/>
  <c r="D81" i="93" l="1"/>
  <c r="G35" i="93"/>
  <c r="H78" i="93"/>
  <c r="F35" i="93"/>
  <c r="H35" i="93"/>
  <c r="G40" i="93"/>
  <c r="H40" i="93"/>
  <c r="N35" i="93"/>
  <c r="I40" i="93"/>
  <c r="J40" i="93"/>
  <c r="O35" i="93"/>
  <c r="C98" i="155" s="1"/>
  <c r="G79" i="93"/>
  <c r="L40" i="93"/>
  <c r="N79" i="93"/>
  <c r="N80" i="93" s="1"/>
  <c r="H79" i="93"/>
  <c r="H80" i="93" s="1"/>
  <c r="K40" i="93"/>
  <c r="K35" i="93"/>
  <c r="M40" i="93"/>
  <c r="D79" i="93"/>
  <c r="D34" i="93"/>
  <c r="L35" i="93"/>
  <c r="D35" i="93"/>
  <c r="E79" i="93"/>
  <c r="F79" i="93"/>
  <c r="J35" i="93"/>
  <c r="M79" i="93"/>
  <c r="M80" i="93" s="1"/>
  <c r="J81" i="93"/>
  <c r="E34" i="93"/>
  <c r="F34" i="93"/>
  <c r="M81" i="93"/>
  <c r="G81" i="93"/>
  <c r="I34" i="93"/>
  <c r="N81" i="93"/>
  <c r="G34" i="93"/>
  <c r="H34" i="93"/>
  <c r="M34" i="93"/>
  <c r="E81" i="93"/>
  <c r="O81" i="93"/>
  <c r="P81" i="93" s="1"/>
  <c r="F81" i="93"/>
  <c r="L34" i="93"/>
  <c r="F78" i="93"/>
  <c r="I78" i="93"/>
  <c r="E78" i="93"/>
  <c r="J78" i="93"/>
  <c r="D78" i="93"/>
  <c r="G78" i="93"/>
  <c r="G80" i="93" s="1"/>
  <c r="K78" i="93"/>
  <c r="L78" i="93"/>
  <c r="M78" i="93"/>
  <c r="N78" i="93"/>
  <c r="I79" i="93"/>
  <c r="J34" i="93"/>
  <c r="J79" i="93"/>
  <c r="K79" i="93"/>
  <c r="L79" i="93"/>
  <c r="N34" i="93"/>
  <c r="J61" i="93"/>
  <c r="F82" i="93"/>
  <c r="K61" i="93"/>
  <c r="C65" i="155" a="1"/>
  <c r="B65" i="155" a="1"/>
  <c r="P74" i="93"/>
  <c r="G82" i="93"/>
  <c r="D82" i="93"/>
  <c r="D40" i="93"/>
  <c r="I82" i="93"/>
  <c r="N40" i="93"/>
  <c r="O40" i="93"/>
  <c r="I35" i="93"/>
  <c r="E82" i="93"/>
  <c r="O79" i="93"/>
  <c r="P79" i="93" s="1"/>
  <c r="J82" i="93"/>
  <c r="K82" i="93"/>
  <c r="M82" i="93"/>
  <c r="O34" i="93"/>
  <c r="C97" i="155" s="1"/>
  <c r="H82" i="93"/>
  <c r="E35" i="93"/>
  <c r="N61" i="93"/>
  <c r="O61" i="93"/>
  <c r="L82" i="93"/>
  <c r="N82" i="93"/>
  <c r="L61" i="93"/>
  <c r="M61" i="93"/>
  <c r="C64" i="155" a="1"/>
  <c r="B64" i="155" a="1"/>
  <c r="O78" i="93"/>
  <c r="O82" i="93"/>
  <c r="P82" i="93" s="1"/>
  <c r="G61" i="93"/>
  <c r="E61" i="93"/>
  <c r="H61" i="93"/>
  <c r="I61" i="93"/>
  <c r="F61" i="93"/>
  <c r="F80" i="93" l="1"/>
  <c r="D80" i="93"/>
  <c r="E80" i="93"/>
  <c r="K80" i="93"/>
  <c r="L80" i="93"/>
  <c r="J80" i="93"/>
  <c r="I80" i="93"/>
  <c r="P78" i="93"/>
  <c r="O80" i="93"/>
  <c r="P80" i="93" s="1"/>
  <c r="AK63" i="93"/>
  <c r="AJ63" i="93"/>
  <c r="AI63" i="93"/>
  <c r="AH63" i="93"/>
  <c r="AG63" i="93"/>
  <c r="AK62" i="93"/>
  <c r="AJ62" i="93"/>
  <c r="AI62" i="93"/>
  <c r="AH62" i="93"/>
  <c r="AG62" i="93"/>
  <c r="AK60" i="93"/>
  <c r="AJ60" i="93"/>
  <c r="AI60" i="93"/>
  <c r="AH60" i="93"/>
  <c r="AG60" i="93"/>
  <c r="AK59" i="93"/>
  <c r="AJ59" i="93"/>
  <c r="AI59" i="93"/>
  <c r="AI61" i="93" s="1"/>
  <c r="AH59" i="93"/>
  <c r="AH61" i="93" s="1"/>
  <c r="AG59" i="93"/>
  <c r="AG61" i="93" s="1"/>
  <c r="AF63" i="93"/>
  <c r="AF62" i="93"/>
  <c r="AF60" i="93"/>
  <c r="AF59" i="93"/>
  <c r="Q12" i="22"/>
  <c r="AJ61" i="93" l="1"/>
  <c r="AF61" i="93"/>
  <c r="AK61" i="93"/>
  <c r="AK75" i="93"/>
  <c r="AJ75" i="93"/>
  <c r="AI75" i="93"/>
  <c r="AH75" i="93"/>
  <c r="AG75" i="93"/>
  <c r="AK74" i="93"/>
  <c r="AJ74" i="93"/>
  <c r="AI74" i="93"/>
  <c r="AH74" i="93"/>
  <c r="AG74" i="93"/>
  <c r="AK73" i="93"/>
  <c r="AJ73" i="93"/>
  <c r="AJ35" i="93" s="1"/>
  <c r="AI73" i="93"/>
  <c r="AH73" i="93"/>
  <c r="AG73" i="93"/>
  <c r="AK72" i="93"/>
  <c r="AJ72" i="93"/>
  <c r="AI72" i="93"/>
  <c r="AH72" i="93"/>
  <c r="AG72" i="93"/>
  <c r="AK69" i="93"/>
  <c r="AJ69" i="93"/>
  <c r="AI69" i="93"/>
  <c r="AH69" i="93"/>
  <c r="AG69" i="93"/>
  <c r="AK68" i="93"/>
  <c r="AJ68" i="93"/>
  <c r="AI68" i="93"/>
  <c r="AH68" i="93"/>
  <c r="AG68" i="93"/>
  <c r="AK67" i="93"/>
  <c r="AJ67" i="93"/>
  <c r="AI67" i="93"/>
  <c r="AH67" i="93"/>
  <c r="AG67" i="93"/>
  <c r="AK66" i="93"/>
  <c r="AJ66" i="93"/>
  <c r="AI66" i="93"/>
  <c r="AH66" i="93"/>
  <c r="AG66" i="93"/>
  <c r="AF75" i="93"/>
  <c r="AF74" i="93"/>
  <c r="AF73" i="93"/>
  <c r="AF72" i="93"/>
  <c r="AF69" i="93"/>
  <c r="AF68" i="93"/>
  <c r="AF67" i="93"/>
  <c r="AF66" i="93"/>
  <c r="AF36" i="93"/>
  <c r="AK40" i="93"/>
  <c r="AF40" i="93"/>
  <c r="P56" i="93"/>
  <c r="P55" i="93"/>
  <c r="AR54" i="93"/>
  <c r="P54" i="93"/>
  <c r="AR53" i="93"/>
  <c r="P53" i="93"/>
  <c r="P50" i="93"/>
  <c r="P49" i="93"/>
  <c r="P48" i="93"/>
  <c r="P47" i="93"/>
  <c r="AR50" i="93"/>
  <c r="AR49" i="93"/>
  <c r="AR48" i="93"/>
  <c r="AR47" i="93"/>
  <c r="AG35" i="93" l="1"/>
  <c r="AH35" i="93"/>
  <c r="P62" i="93"/>
  <c r="P59" i="93"/>
  <c r="P28" i="93"/>
  <c r="AG34" i="93"/>
  <c r="AK35" i="93"/>
  <c r="AH34" i="93"/>
  <c r="AI79" i="93"/>
  <c r="AI35" i="93"/>
  <c r="AF35" i="93"/>
  <c r="AI34" i="93"/>
  <c r="AJ34" i="93"/>
  <c r="AK34" i="93"/>
  <c r="P60" i="93"/>
  <c r="P29" i="93"/>
  <c r="P63" i="93"/>
  <c r="AF34" i="93"/>
  <c r="AK78" i="93"/>
  <c r="AR59" i="93"/>
  <c r="AF81" i="93"/>
  <c r="AI81" i="93"/>
  <c r="AK81" i="93"/>
  <c r="AG81" i="93"/>
  <c r="AH81" i="93"/>
  <c r="AJ81" i="93"/>
  <c r="AG82" i="93"/>
  <c r="AF82" i="93"/>
  <c r="AH82" i="93"/>
  <c r="AI82" i="93"/>
  <c r="AJ82" i="93"/>
  <c r="AK82" i="93"/>
  <c r="AG79" i="93"/>
  <c r="AH79" i="93"/>
  <c r="AF78" i="93"/>
  <c r="AJ79" i="93"/>
  <c r="AK79" i="93"/>
  <c r="AR60" i="93"/>
  <c r="AR61" i="93" s="1"/>
  <c r="AF79" i="93"/>
  <c r="AG40" i="93"/>
  <c r="AG78" i="93"/>
  <c r="AH40" i="93"/>
  <c r="AH78" i="93"/>
  <c r="AI40" i="93"/>
  <c r="AI78" i="93"/>
  <c r="AJ40" i="93"/>
  <c r="AJ78" i="93"/>
  <c r="AJ80" i="93" s="1"/>
  <c r="AR55" i="93"/>
  <c r="AR62" i="93" s="1"/>
  <c r="AR56" i="93"/>
  <c r="AR63" i="93" s="1"/>
  <c r="AI80" i="93" l="1"/>
  <c r="AK80" i="93"/>
  <c r="E24" i="155" a="1"/>
  <c r="X12" i="155" s="1"/>
  <c r="B98" i="155" a="1"/>
  <c r="E23" i="155" a="1"/>
  <c r="B97" i="155" a="1"/>
  <c r="P61" i="93"/>
  <c r="AR28" i="93"/>
  <c r="AR29" i="93"/>
  <c r="AH80" i="93"/>
  <c r="AG80" i="93"/>
  <c r="AF80" i="93"/>
  <c r="X11" i="155" l="1"/>
  <c r="AQ25" i="93"/>
  <c r="AP25" i="93"/>
  <c r="AO25" i="93"/>
  <c r="AN25" i="93"/>
  <c r="AM25" i="93"/>
  <c r="AL25" i="93"/>
  <c r="AK25" i="93"/>
  <c r="AJ25" i="93"/>
  <c r="AI25" i="93"/>
  <c r="AH25" i="93"/>
  <c r="AG25" i="93"/>
  <c r="AF25" i="93"/>
  <c r="AQ24" i="93"/>
  <c r="AP24" i="93"/>
  <c r="AO24" i="93"/>
  <c r="AN24" i="93"/>
  <c r="AM24" i="93"/>
  <c r="AL24" i="93"/>
  <c r="AK24" i="93"/>
  <c r="AJ24" i="93"/>
  <c r="AI24" i="93"/>
  <c r="AH24" i="93"/>
  <c r="AG24" i="93"/>
  <c r="AF24" i="93"/>
  <c r="AQ23" i="93"/>
  <c r="AP23" i="93"/>
  <c r="AO23" i="93"/>
  <c r="AN23" i="93"/>
  <c r="AM23" i="93"/>
  <c r="AL23" i="93"/>
  <c r="AK23" i="93"/>
  <c r="AJ23" i="93"/>
  <c r="AI23" i="93"/>
  <c r="AH23" i="93"/>
  <c r="AG23" i="93"/>
  <c r="AF23" i="93"/>
  <c r="AQ22" i="93"/>
  <c r="AP22" i="93"/>
  <c r="AO22" i="93"/>
  <c r="AN22" i="93"/>
  <c r="AM22" i="93"/>
  <c r="AL22" i="93"/>
  <c r="AK22" i="93"/>
  <c r="AJ22" i="93"/>
  <c r="AI22" i="93"/>
  <c r="AH22" i="93"/>
  <c r="AG22" i="93"/>
  <c r="AF22" i="93"/>
  <c r="AR19" i="93"/>
  <c r="AR18" i="93"/>
  <c r="AR17" i="93"/>
  <c r="C89" i="92" s="1"/>
  <c r="AR13" i="93"/>
  <c r="AR12" i="93"/>
  <c r="AR11" i="93"/>
  <c r="C77" i="92" s="1"/>
  <c r="AU28" i="35"/>
  <c r="AT28" i="35"/>
  <c r="AS28" i="35"/>
  <c r="AR28" i="35"/>
  <c r="AQ28" i="35"/>
  <c r="AP28" i="35"/>
  <c r="AO28" i="35"/>
  <c r="AN28" i="35"/>
  <c r="AM28" i="35"/>
  <c r="AL28" i="35"/>
  <c r="AK28" i="35"/>
  <c r="AJ28" i="35"/>
  <c r="AU44" i="35"/>
  <c r="AT44" i="35"/>
  <c r="AS44" i="35"/>
  <c r="AR44" i="35"/>
  <c r="AQ44" i="35"/>
  <c r="AP44" i="35"/>
  <c r="AO44" i="35"/>
  <c r="AN44" i="35"/>
  <c r="AM44" i="35"/>
  <c r="AL44" i="35"/>
  <c r="AK44" i="35"/>
  <c r="AJ44" i="35"/>
  <c r="AU43" i="35"/>
  <c r="AT43" i="35"/>
  <c r="AS43" i="35"/>
  <c r="AR43" i="35"/>
  <c r="AQ43" i="35"/>
  <c r="AP43" i="35"/>
  <c r="AO43" i="35"/>
  <c r="AN43" i="35"/>
  <c r="AM43" i="35"/>
  <c r="AL43" i="35"/>
  <c r="AK43" i="35"/>
  <c r="AJ43" i="35"/>
  <c r="AV100" i="5"/>
  <c r="AV99" i="5"/>
  <c r="AV98" i="5"/>
  <c r="AV97" i="5"/>
  <c r="AV96" i="5"/>
  <c r="AV95" i="5"/>
  <c r="AV94" i="5"/>
  <c r="AV93" i="5"/>
  <c r="AV92" i="5"/>
  <c r="AT30" i="35" l="1"/>
  <c r="AR30" i="35"/>
  <c r="AP30" i="35"/>
  <c r="AK30" i="35"/>
  <c r="AL30" i="35"/>
  <c r="AQ30" i="35"/>
  <c r="AS30" i="35"/>
  <c r="AJ30" i="35"/>
  <c r="AM30" i="35"/>
  <c r="AN30" i="35"/>
  <c r="AO30" i="35"/>
  <c r="AU30" i="35"/>
  <c r="AR23" i="93"/>
  <c r="AR25" i="93"/>
  <c r="AR24" i="93"/>
  <c r="AI44" i="35"/>
  <c r="AI43" i="35"/>
  <c r="A100" i="5"/>
  <c r="A99" i="5"/>
  <c r="A98" i="5"/>
  <c r="A97" i="5"/>
  <c r="A96" i="5"/>
  <c r="A95" i="5"/>
  <c r="A94" i="5"/>
  <c r="A93" i="5"/>
  <c r="A92" i="5"/>
  <c r="AO62" i="5"/>
  <c r="AO61" i="5"/>
  <c r="R13" i="92" l="1"/>
  <c r="R12" i="92"/>
  <c r="R11" i="92"/>
  <c r="C30" i="92" l="1"/>
  <c r="AC23" i="93"/>
  <c r="AB23" i="93"/>
  <c r="AA23" i="93"/>
  <c r="Z23" i="93"/>
  <c r="Y23" i="93"/>
  <c r="X23" i="93"/>
  <c r="W23" i="93"/>
  <c r="V23" i="93"/>
  <c r="U23" i="93"/>
  <c r="T23" i="93"/>
  <c r="S23" i="93"/>
  <c r="R23" i="93"/>
  <c r="R22" i="93"/>
  <c r="R24" i="93"/>
  <c r="R25" i="93"/>
  <c r="B30" i="92" l="1"/>
  <c r="E30" i="92" s="1"/>
  <c r="F30" i="92"/>
  <c r="U12" i="92"/>
  <c r="C12" i="92"/>
  <c r="N12" i="92" s="1"/>
  <c r="E12" i="92"/>
  <c r="X12" i="92"/>
  <c r="B12" i="92"/>
  <c r="T12" i="92"/>
  <c r="F12" i="92"/>
  <c r="Y12" i="92"/>
  <c r="V12" i="92" l="1"/>
  <c r="H12" i="92"/>
  <c r="K12" i="92" s="1"/>
  <c r="I12" i="92"/>
  <c r="Q12" i="92" l="1"/>
  <c r="W12" i="92" s="1"/>
  <c r="AD17" i="93"/>
  <c r="AD11" i="93"/>
  <c r="P17" i="93"/>
  <c r="P11" i="93"/>
  <c r="O23" i="93"/>
  <c r="N23" i="93"/>
  <c r="M23" i="93"/>
  <c r="L23" i="93"/>
  <c r="K23" i="93"/>
  <c r="J23" i="93"/>
  <c r="I23" i="93"/>
  <c r="H23" i="93"/>
  <c r="G23" i="93"/>
  <c r="F23" i="93"/>
  <c r="E23" i="93"/>
  <c r="D23" i="93"/>
  <c r="C101" i="92" l="1"/>
  <c r="C80" i="155"/>
  <c r="C92" i="155"/>
  <c r="C83" i="92"/>
  <c r="AD23" i="93"/>
  <c r="P23" i="93"/>
  <c r="C86" i="155" l="1"/>
  <c r="F86" i="155" s="1"/>
  <c r="AV91" i="5"/>
  <c r="AN90" i="5" l="1"/>
  <c r="AV90" i="5" s="1"/>
  <c r="AN89" i="5"/>
  <c r="AV89" i="5" s="1"/>
  <c r="AN88" i="5"/>
  <c r="AV88" i="5" s="1"/>
  <c r="AN87" i="5"/>
  <c r="AV87" i="5" s="1"/>
  <c r="AN86" i="5"/>
  <c r="AV86" i="5" s="1"/>
  <c r="AN85" i="5"/>
  <c r="AV85" i="5" s="1"/>
  <c r="AN84" i="5"/>
  <c r="AV84" i="5" s="1"/>
  <c r="AN83" i="5"/>
  <c r="AV83" i="5" s="1"/>
  <c r="AN82" i="5"/>
  <c r="AV82" i="5" s="1"/>
  <c r="AN81" i="5"/>
  <c r="AV81" i="5" s="1"/>
  <c r="A91" i="5"/>
  <c r="A90" i="5"/>
  <c r="A89" i="5"/>
  <c r="A88" i="5"/>
  <c r="A87" i="5"/>
  <c r="A86" i="5"/>
  <c r="A85" i="5"/>
  <c r="A84" i="5"/>
  <c r="A83" i="5"/>
  <c r="A82" i="5"/>
  <c r="A81" i="5"/>
  <c r="A79" i="5" l="1"/>
  <c r="AV79" i="5"/>
  <c r="A80" i="5"/>
  <c r="AV80" i="5"/>
  <c r="AV78" i="5"/>
  <c r="AV77" i="5"/>
  <c r="AV76" i="5"/>
  <c r="A142" i="5"/>
  <c r="A78" i="5"/>
  <c r="A77" i="5"/>
  <c r="A76" i="5"/>
  <c r="A75" i="5"/>
  <c r="AV75" i="5"/>
  <c r="A74" i="5"/>
  <c r="A73" i="5"/>
  <c r="AV74" i="5" l="1"/>
  <c r="AR16" i="93" l="1"/>
  <c r="C88" i="92" s="1"/>
  <c r="BI147" i="5"/>
  <c r="BH147" i="5"/>
  <c r="BG147" i="5"/>
  <c r="BF147" i="5"/>
  <c r="BE147" i="5"/>
  <c r="BD147" i="5"/>
  <c r="BC147" i="5"/>
  <c r="BB147" i="5"/>
  <c r="BA147" i="5"/>
  <c r="AZ147" i="5"/>
  <c r="AY147" i="5"/>
  <c r="AX147" i="5"/>
  <c r="AU147" i="5" l="1"/>
  <c r="AT147" i="5"/>
  <c r="AS147" i="5"/>
  <c r="AR147" i="5"/>
  <c r="AQ147" i="5"/>
  <c r="AO147" i="5"/>
  <c r="AN147" i="5"/>
  <c r="AM147" i="5"/>
  <c r="AL147" i="5"/>
  <c r="AK147" i="5"/>
  <c r="AJ147" i="5"/>
  <c r="B72" i="92" l="1"/>
  <c r="C85" i="92"/>
  <c r="B85" i="92"/>
  <c r="F85" i="92" s="1"/>
  <c r="B89" i="92" l="1" a="1"/>
  <c r="B77" i="92" a="1"/>
  <c r="B76" i="92" a="1"/>
  <c r="B88" i="92" a="1"/>
  <c r="B95" i="92" a="1"/>
  <c r="B94" i="92" a="1"/>
  <c r="B75" i="92" l="1"/>
  <c r="B93" i="92"/>
  <c r="B83" i="92"/>
  <c r="F83" i="92" s="1"/>
  <c r="B101" i="92"/>
  <c r="B87" i="92"/>
  <c r="B82" i="92"/>
  <c r="B100" i="92"/>
  <c r="B105" i="92"/>
  <c r="B63" i="139"/>
  <c r="H16" i="139"/>
  <c r="B81" i="92" l="1"/>
  <c r="K21" i="139"/>
  <c r="G37" i="139" l="1"/>
  <c r="H37" i="139" s="1"/>
  <c r="K18" i="139"/>
  <c r="K22" i="139"/>
  <c r="K23" i="139"/>
  <c r="K20" i="139"/>
  <c r="K19" i="139"/>
  <c r="AI36" i="93" l="1"/>
  <c r="AH36" i="93"/>
  <c r="AI30" i="93"/>
  <c r="AH30" i="93"/>
  <c r="AV73" i="5" l="1"/>
  <c r="AV72" i="5"/>
  <c r="AV71" i="5"/>
  <c r="AV70" i="5"/>
  <c r="AV69" i="5"/>
  <c r="AV68" i="5"/>
  <c r="AV67" i="5"/>
  <c r="AV66" i="5"/>
  <c r="AV65" i="5"/>
  <c r="AV64" i="5"/>
  <c r="AV63" i="5"/>
  <c r="AV62" i="5"/>
  <c r="AV61" i="5"/>
  <c r="AV60" i="5"/>
  <c r="AV59" i="5"/>
  <c r="AV58" i="5"/>
  <c r="AV57" i="5"/>
  <c r="AV56" i="5"/>
  <c r="AV55" i="5"/>
  <c r="AV53" i="5"/>
  <c r="AV52" i="5"/>
  <c r="AV51" i="5"/>
  <c r="AV50" i="5"/>
  <c r="AV49" i="5"/>
  <c r="AV48" i="5"/>
  <c r="AV47" i="5"/>
  <c r="AV46" i="5"/>
  <c r="AV45" i="5"/>
  <c r="AV44" i="5"/>
  <c r="AV43" i="5"/>
  <c r="AV42" i="5"/>
  <c r="AV41" i="5"/>
  <c r="AV40"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V8" i="5"/>
  <c r="AV7" i="5"/>
  <c r="AV6" i="5"/>
  <c r="AV5" i="5"/>
  <c r="BE145" i="5"/>
  <c r="BD145" i="5"/>
  <c r="BB145" i="5"/>
  <c r="BA145" i="5"/>
  <c r="AZ145" i="5"/>
  <c r="AY145" i="5"/>
  <c r="AU145" i="5"/>
  <c r="AT145" i="5"/>
  <c r="AS145" i="5"/>
  <c r="AR145" i="5"/>
  <c r="AQ145" i="5"/>
  <c r="AP145" i="5"/>
  <c r="AO145" i="5"/>
  <c r="AN145" i="5"/>
  <c r="AM145" i="5"/>
  <c r="AL145" i="5"/>
  <c r="AK145" i="5"/>
  <c r="AJ145" i="5"/>
  <c r="A72" i="5" l="1"/>
  <c r="B71" i="5"/>
  <c r="C71" i="5"/>
  <c r="A71" i="5"/>
  <c r="A70" i="5"/>
  <c r="A69" i="5"/>
  <c r="A68" i="5"/>
  <c r="A67" i="5"/>
  <c r="A66" i="5"/>
  <c r="A62" i="5" l="1"/>
  <c r="BJ26" i="5" l="1"/>
  <c r="A65" i="5" l="1"/>
  <c r="A64" i="5"/>
  <c r="E18" i="90" l="1"/>
  <c r="C39" i="92"/>
  <c r="C55" i="92" s="1" a="1"/>
  <c r="AG30" i="93"/>
  <c r="BJ63" i="5"/>
  <c r="BJ61" i="5"/>
  <c r="A63" i="5"/>
  <c r="A61" i="5"/>
  <c r="BJ60" i="5"/>
  <c r="A60" i="5"/>
  <c r="BJ59" i="5"/>
  <c r="A59" i="5"/>
  <c r="BJ58" i="5"/>
  <c r="BJ57" i="5"/>
  <c r="A58" i="5"/>
  <c r="A57" i="5"/>
  <c r="BJ56" i="5"/>
  <c r="BJ55" i="5"/>
  <c r="A56" i="5"/>
  <c r="A55" i="5"/>
  <c r="AL143" i="5"/>
  <c r="C31" i="92"/>
  <c r="C10" i="114"/>
  <c r="B10" i="114"/>
  <c r="B87" i="90"/>
  <c r="C61" i="92" a="1"/>
  <c r="B61" i="92" a="1"/>
  <c r="C43" i="92" a="1"/>
  <c r="F14" i="92"/>
  <c r="E1" i="88"/>
  <c r="AG36" i="93"/>
  <c r="P12" i="93"/>
  <c r="F21" i="90"/>
  <c r="E22" i="90"/>
  <c r="E20" i="90"/>
  <c r="E23" i="90"/>
  <c r="P19" i="93"/>
  <c r="P18" i="93"/>
  <c r="C93" i="155" s="1"/>
  <c r="P16" i="93"/>
  <c r="E19" i="90"/>
  <c r="F22" i="90"/>
  <c r="E21" i="90"/>
  <c r="F18" i="90"/>
  <c r="F3" i="90"/>
  <c r="F20" i="90"/>
  <c r="F19" i="90"/>
  <c r="F23" i="90"/>
  <c r="E3" i="90"/>
  <c r="BJ54" i="5"/>
  <c r="BJ53" i="5"/>
  <c r="BJ52" i="5"/>
  <c r="BJ51" i="5"/>
  <c r="BJ50" i="5"/>
  <c r="BJ49" i="5"/>
  <c r="A54" i="5"/>
  <c r="BK31" i="5"/>
  <c r="BJ31" i="5"/>
  <c r="A31" i="5"/>
  <c r="BK30" i="5"/>
  <c r="BJ30" i="5"/>
  <c r="A30" i="5"/>
  <c r="BI29" i="5"/>
  <c r="BH29" i="5"/>
  <c r="BG29" i="5"/>
  <c r="BF29" i="5"/>
  <c r="BI28" i="5"/>
  <c r="BH28" i="5"/>
  <c r="BG28" i="5"/>
  <c r="BF28" i="5"/>
  <c r="A29" i="5"/>
  <c r="BK29" i="5"/>
  <c r="A53" i="5"/>
  <c r="A52" i="5"/>
  <c r="B14" i="114"/>
  <c r="D5" i="114"/>
  <c r="B13" i="114" s="1"/>
  <c r="B15" i="114" s="1"/>
  <c r="C6" i="114"/>
  <c r="C11" i="114" s="1"/>
  <c r="B6" i="114"/>
  <c r="AC25" i="93"/>
  <c r="AB25" i="93"/>
  <c r="AA25" i="93"/>
  <c r="Z25" i="93"/>
  <c r="Y25" i="93"/>
  <c r="X25" i="93"/>
  <c r="W25" i="93"/>
  <c r="V25" i="93"/>
  <c r="U25" i="93"/>
  <c r="T25" i="93"/>
  <c r="S25" i="93"/>
  <c r="AC24" i="93"/>
  <c r="AB24" i="93"/>
  <c r="AA24" i="93"/>
  <c r="Z24" i="93"/>
  <c r="Y24" i="93"/>
  <c r="X24" i="93"/>
  <c r="W24" i="93"/>
  <c r="V24" i="93"/>
  <c r="U24" i="93"/>
  <c r="T24" i="93"/>
  <c r="S24" i="93"/>
  <c r="AC22" i="93"/>
  <c r="AB22" i="93"/>
  <c r="AA22" i="93"/>
  <c r="Z22" i="93"/>
  <c r="Y22" i="93"/>
  <c r="X22" i="93"/>
  <c r="W22" i="93"/>
  <c r="V22" i="93"/>
  <c r="U22" i="93"/>
  <c r="T22" i="93"/>
  <c r="S22" i="93"/>
  <c r="AD19" i="93"/>
  <c r="AD18" i="93"/>
  <c r="AD16" i="93"/>
  <c r="AC15" i="93"/>
  <c r="AB15" i="93"/>
  <c r="AA15" i="93"/>
  <c r="Z15" i="93"/>
  <c r="Y15" i="93"/>
  <c r="X15" i="93"/>
  <c r="W15" i="93"/>
  <c r="V15" i="93"/>
  <c r="U15" i="93"/>
  <c r="T15" i="93"/>
  <c r="S15" i="93"/>
  <c r="R15" i="93"/>
  <c r="AD13" i="93"/>
  <c r="AD12" i="93"/>
  <c r="AD10" i="93"/>
  <c r="AD40" i="93" s="1"/>
  <c r="AC9" i="93"/>
  <c r="AB9" i="93"/>
  <c r="AA9" i="93"/>
  <c r="Z9" i="93"/>
  <c r="Y9" i="93"/>
  <c r="X9" i="93"/>
  <c r="W9" i="93"/>
  <c r="V9" i="93"/>
  <c r="U9" i="93"/>
  <c r="T9" i="93"/>
  <c r="S9" i="93"/>
  <c r="R9" i="93"/>
  <c r="O42" i="5"/>
  <c r="A51" i="5"/>
  <c r="A50" i="5"/>
  <c r="A49" i="5"/>
  <c r="A48" i="5"/>
  <c r="A47" i="5"/>
  <c r="O45" i="36"/>
  <c r="N45" i="36"/>
  <c r="M45" i="36"/>
  <c r="L45" i="36"/>
  <c r="K45" i="36"/>
  <c r="J45" i="36"/>
  <c r="I45" i="36"/>
  <c r="H45" i="36"/>
  <c r="G45" i="36"/>
  <c r="F45" i="36"/>
  <c r="E45" i="36"/>
  <c r="D45" i="36"/>
  <c r="U45" i="36" s="1"/>
  <c r="O44" i="36"/>
  <c r="N44" i="36"/>
  <c r="M44" i="36"/>
  <c r="L44" i="36"/>
  <c r="K44" i="36"/>
  <c r="J44" i="36"/>
  <c r="I44" i="36"/>
  <c r="H44" i="36"/>
  <c r="G44" i="36"/>
  <c r="F44" i="36"/>
  <c r="E44" i="36"/>
  <c r="D44" i="36"/>
  <c r="O43" i="36"/>
  <c r="N43" i="36"/>
  <c r="M43" i="36"/>
  <c r="L43" i="36"/>
  <c r="K43" i="36"/>
  <c r="J43" i="36"/>
  <c r="I43" i="36"/>
  <c r="H43" i="36"/>
  <c r="G43" i="36"/>
  <c r="F43" i="36"/>
  <c r="E43" i="36"/>
  <c r="D43" i="36"/>
  <c r="U43" i="36" s="1"/>
  <c r="O42" i="36"/>
  <c r="N42" i="36"/>
  <c r="M42" i="36"/>
  <c r="L42" i="36"/>
  <c r="K42" i="36"/>
  <c r="J42" i="36"/>
  <c r="I42" i="36"/>
  <c r="H42" i="36"/>
  <c r="G42" i="36"/>
  <c r="F42" i="36"/>
  <c r="E42" i="36"/>
  <c r="D42" i="36"/>
  <c r="U42" i="36" s="1"/>
  <c r="O41" i="36"/>
  <c r="N41" i="36"/>
  <c r="M41" i="36"/>
  <c r="L41" i="36"/>
  <c r="K41" i="36"/>
  <c r="J41" i="36"/>
  <c r="I41" i="36"/>
  <c r="H41" i="36"/>
  <c r="G41" i="36"/>
  <c r="F41" i="36"/>
  <c r="E41" i="36"/>
  <c r="D41" i="36"/>
  <c r="O40" i="36"/>
  <c r="N40" i="36"/>
  <c r="M40" i="36"/>
  <c r="L40" i="36"/>
  <c r="K40" i="36"/>
  <c r="J40" i="36"/>
  <c r="I40" i="36"/>
  <c r="H40" i="36"/>
  <c r="G40" i="36"/>
  <c r="F40" i="36"/>
  <c r="E40" i="36"/>
  <c r="D40" i="36"/>
  <c r="O39" i="36"/>
  <c r="N39" i="36"/>
  <c r="M39" i="36"/>
  <c r="L39" i="36"/>
  <c r="K39" i="36"/>
  <c r="J39" i="36"/>
  <c r="I39" i="36"/>
  <c r="H39" i="36"/>
  <c r="G39" i="36"/>
  <c r="F39" i="36"/>
  <c r="E39" i="36"/>
  <c r="D39" i="36"/>
  <c r="U39" i="36" s="1"/>
  <c r="O38" i="36"/>
  <c r="N38" i="36"/>
  <c r="M38" i="36"/>
  <c r="L38" i="36"/>
  <c r="K38" i="36"/>
  <c r="J38" i="36"/>
  <c r="I38" i="36"/>
  <c r="H38" i="36"/>
  <c r="G38" i="36"/>
  <c r="F38" i="36"/>
  <c r="E38" i="36"/>
  <c r="D38" i="36"/>
  <c r="O13" i="36"/>
  <c r="N13" i="36"/>
  <c r="M13" i="36"/>
  <c r="L13" i="36"/>
  <c r="K13" i="36"/>
  <c r="J13" i="36"/>
  <c r="I13" i="36"/>
  <c r="H13" i="36"/>
  <c r="G13" i="36"/>
  <c r="F13" i="36"/>
  <c r="E13" i="36"/>
  <c r="D13" i="36"/>
  <c r="O12" i="36"/>
  <c r="N12" i="36"/>
  <c r="M12" i="36"/>
  <c r="L12" i="36"/>
  <c r="K12" i="36"/>
  <c r="J12" i="36"/>
  <c r="I12" i="36"/>
  <c r="H12" i="36"/>
  <c r="G12" i="36"/>
  <c r="F12" i="36"/>
  <c r="E12" i="36"/>
  <c r="D12" i="36"/>
  <c r="O11" i="36"/>
  <c r="N11" i="36"/>
  <c r="M11" i="36"/>
  <c r="L11" i="36"/>
  <c r="K11" i="36"/>
  <c r="J11" i="36"/>
  <c r="I11" i="36"/>
  <c r="H11" i="36"/>
  <c r="G11" i="36"/>
  <c r="F11" i="36"/>
  <c r="E11" i="36"/>
  <c r="D11" i="36"/>
  <c r="U11" i="36" s="1"/>
  <c r="O10" i="36"/>
  <c r="N10" i="36"/>
  <c r="M10" i="36"/>
  <c r="L10" i="36"/>
  <c r="K10" i="36"/>
  <c r="J10" i="36"/>
  <c r="I10" i="36"/>
  <c r="H10" i="36"/>
  <c r="G10" i="36"/>
  <c r="F10" i="36"/>
  <c r="E10" i="36"/>
  <c r="D10" i="36"/>
  <c r="U10" i="36" s="1"/>
  <c r="O9" i="36"/>
  <c r="N9" i="36"/>
  <c r="M9" i="36"/>
  <c r="L9" i="36"/>
  <c r="K9" i="36"/>
  <c r="J9" i="36"/>
  <c r="I9" i="36"/>
  <c r="H9" i="36"/>
  <c r="G9" i="36"/>
  <c r="F9" i="36"/>
  <c r="E9" i="36"/>
  <c r="D9" i="36"/>
  <c r="U9" i="36" s="1"/>
  <c r="O8" i="36"/>
  <c r="N8" i="36"/>
  <c r="M8" i="36"/>
  <c r="L8" i="36"/>
  <c r="K8" i="36"/>
  <c r="J8" i="36"/>
  <c r="I8" i="36"/>
  <c r="H8" i="36"/>
  <c r="G8" i="36"/>
  <c r="F8" i="36"/>
  <c r="E8" i="36"/>
  <c r="D8" i="36"/>
  <c r="U8" i="36" s="1"/>
  <c r="O7" i="36"/>
  <c r="N7" i="36"/>
  <c r="M7" i="36"/>
  <c r="L7" i="36"/>
  <c r="K7" i="36"/>
  <c r="J7" i="36"/>
  <c r="I7" i="36"/>
  <c r="H7" i="36"/>
  <c r="G7" i="36"/>
  <c r="F7" i="36"/>
  <c r="E7" i="36"/>
  <c r="D7" i="36"/>
  <c r="U7" i="36" s="1"/>
  <c r="O6" i="36"/>
  <c r="N6" i="36"/>
  <c r="M6" i="36"/>
  <c r="L6" i="36"/>
  <c r="K6" i="36"/>
  <c r="J6" i="36"/>
  <c r="I6" i="36"/>
  <c r="H6" i="36"/>
  <c r="G6" i="36"/>
  <c r="F6" i="36"/>
  <c r="E6" i="36"/>
  <c r="D6" i="36"/>
  <c r="C29" i="92"/>
  <c r="E2" i="92"/>
  <c r="AR15" i="93"/>
  <c r="AQ15" i="93"/>
  <c r="AP15" i="93"/>
  <c r="AO15" i="93"/>
  <c r="AN15" i="93"/>
  <c r="AM15" i="93"/>
  <c r="AL15" i="93"/>
  <c r="AK15" i="93"/>
  <c r="AJ15" i="93"/>
  <c r="AI15" i="93"/>
  <c r="AH15" i="93"/>
  <c r="AG15" i="93"/>
  <c r="AF15" i="93"/>
  <c r="AR10" i="93"/>
  <c r="C76" i="92" s="1"/>
  <c r="AQ9" i="93"/>
  <c r="AP9" i="93"/>
  <c r="AO9" i="93"/>
  <c r="AN9" i="93"/>
  <c r="AM9" i="93"/>
  <c r="AL9" i="93"/>
  <c r="AK9" i="93"/>
  <c r="AJ9" i="93"/>
  <c r="AI9" i="93"/>
  <c r="AH9" i="93"/>
  <c r="AG9" i="93"/>
  <c r="AF9" i="93"/>
  <c r="N41" i="35"/>
  <c r="M41" i="35"/>
  <c r="L41" i="35"/>
  <c r="K41" i="35"/>
  <c r="J41" i="35"/>
  <c r="I41" i="35"/>
  <c r="H41" i="35"/>
  <c r="G41" i="35"/>
  <c r="F41" i="35"/>
  <c r="E41" i="35"/>
  <c r="D41" i="35"/>
  <c r="C41" i="35"/>
  <c r="N40" i="35"/>
  <c r="M40" i="35"/>
  <c r="L40" i="35"/>
  <c r="K40" i="35"/>
  <c r="J40" i="35"/>
  <c r="I40" i="35"/>
  <c r="H40" i="35"/>
  <c r="G40" i="35"/>
  <c r="F40" i="35"/>
  <c r="E40" i="35"/>
  <c r="D40" i="35"/>
  <c r="C40" i="35"/>
  <c r="N38" i="35"/>
  <c r="M38" i="35"/>
  <c r="L38" i="35"/>
  <c r="K38" i="35"/>
  <c r="J38" i="35"/>
  <c r="I38" i="35"/>
  <c r="H38" i="35"/>
  <c r="G38" i="35"/>
  <c r="F38" i="35"/>
  <c r="E38" i="35"/>
  <c r="D38" i="35"/>
  <c r="N37" i="35"/>
  <c r="M37" i="35"/>
  <c r="L37" i="35"/>
  <c r="K37" i="35"/>
  <c r="J37" i="35"/>
  <c r="I37" i="35"/>
  <c r="H37" i="35"/>
  <c r="G37" i="35"/>
  <c r="F37" i="35"/>
  <c r="E37" i="35"/>
  <c r="D37" i="35"/>
  <c r="N36" i="35"/>
  <c r="M36" i="35"/>
  <c r="L36" i="35"/>
  <c r="K36" i="35"/>
  <c r="J36" i="35"/>
  <c r="I36" i="35"/>
  <c r="H36" i="35"/>
  <c r="G36" i="35"/>
  <c r="F36" i="35"/>
  <c r="E36" i="35"/>
  <c r="D36" i="35"/>
  <c r="C38" i="35"/>
  <c r="C37" i="35"/>
  <c r="C36" i="35"/>
  <c r="AU41" i="35"/>
  <c r="AT41" i="35"/>
  <c r="AS41" i="35"/>
  <c r="AR41" i="35"/>
  <c r="AQ41" i="35"/>
  <c r="AP41" i="35"/>
  <c r="AO41" i="35"/>
  <c r="AN41" i="35"/>
  <c r="AM41" i="35"/>
  <c r="AL41" i="35"/>
  <c r="AK41" i="35"/>
  <c r="AJ41" i="35"/>
  <c r="AU40" i="35"/>
  <c r="AT40" i="35"/>
  <c r="AS40" i="35"/>
  <c r="AR40" i="35"/>
  <c r="AQ40" i="35"/>
  <c r="AP40" i="35"/>
  <c r="AO40" i="35"/>
  <c r="AN40" i="35"/>
  <c r="AM40" i="35"/>
  <c r="AL40" i="35"/>
  <c r="AK40" i="35"/>
  <c r="AJ40" i="35"/>
  <c r="AU38" i="35"/>
  <c r="AT38" i="35"/>
  <c r="AS38" i="35"/>
  <c r="AR38" i="35"/>
  <c r="AQ38" i="35"/>
  <c r="AP38" i="35"/>
  <c r="AO38" i="35"/>
  <c r="AN38" i="35"/>
  <c r="AM38" i="35"/>
  <c r="AL38" i="35"/>
  <c r="AK38" i="35"/>
  <c r="AJ38" i="35"/>
  <c r="AU37" i="35"/>
  <c r="AT37" i="35"/>
  <c r="AS37" i="35"/>
  <c r="AR37" i="35"/>
  <c r="AQ37" i="35"/>
  <c r="AP37" i="35"/>
  <c r="AO37" i="35"/>
  <c r="AN37" i="35"/>
  <c r="AM37" i="35"/>
  <c r="AL37" i="35"/>
  <c r="AK37" i="35"/>
  <c r="AJ37" i="35"/>
  <c r="AU36" i="35"/>
  <c r="AT36" i="35"/>
  <c r="AS36" i="35"/>
  <c r="AR36" i="35"/>
  <c r="AQ36" i="35"/>
  <c r="AP36" i="35"/>
  <c r="AO36" i="35"/>
  <c r="AN36" i="35"/>
  <c r="AM36" i="35"/>
  <c r="AL36" i="35"/>
  <c r="AK36" i="35"/>
  <c r="AJ36" i="35"/>
  <c r="AU29" i="35"/>
  <c r="AT29" i="35"/>
  <c r="AS29" i="35"/>
  <c r="AR29" i="35"/>
  <c r="AQ29" i="35"/>
  <c r="AP29" i="35"/>
  <c r="AO29" i="35"/>
  <c r="AN29" i="35"/>
  <c r="AM29" i="35"/>
  <c r="AL29" i="35"/>
  <c r="AK29" i="35"/>
  <c r="AJ29" i="35"/>
  <c r="AU27" i="35"/>
  <c r="AT27" i="35"/>
  <c r="AS27" i="35"/>
  <c r="AR27" i="35"/>
  <c r="AQ27" i="35"/>
  <c r="AP27" i="35"/>
  <c r="AO27" i="35"/>
  <c r="AN27" i="35"/>
  <c r="AM27" i="35"/>
  <c r="AL27" i="35"/>
  <c r="AK27" i="35"/>
  <c r="AJ27" i="35"/>
  <c r="AU26" i="35"/>
  <c r="AT26" i="35"/>
  <c r="AS26" i="35"/>
  <c r="AR26" i="35"/>
  <c r="AQ26" i="35"/>
  <c r="AP26" i="35"/>
  <c r="AO26" i="35"/>
  <c r="AN26" i="35"/>
  <c r="AM26" i="35"/>
  <c r="AL26" i="35"/>
  <c r="AK26" i="35"/>
  <c r="AJ26" i="35"/>
  <c r="AU25" i="35"/>
  <c r="AT25" i="35"/>
  <c r="AS25" i="35"/>
  <c r="AR25" i="35"/>
  <c r="AQ25" i="35"/>
  <c r="AP25" i="35"/>
  <c r="AO25" i="35"/>
  <c r="AN25" i="35"/>
  <c r="AM25" i="35"/>
  <c r="AL25" i="35"/>
  <c r="AK25" i="35"/>
  <c r="AJ25" i="35"/>
  <c r="AU24" i="35"/>
  <c r="AT24" i="35"/>
  <c r="AS24" i="35"/>
  <c r="AR24" i="35"/>
  <c r="AQ24" i="35"/>
  <c r="AP24" i="35"/>
  <c r="AO24" i="35"/>
  <c r="AN24" i="35"/>
  <c r="AM24" i="35"/>
  <c r="AL24" i="35"/>
  <c r="AK24" i="35"/>
  <c r="AJ24" i="35"/>
  <c r="AU23" i="35"/>
  <c r="AT23" i="35"/>
  <c r="AS23" i="35"/>
  <c r="AR23" i="35"/>
  <c r="AQ23" i="35"/>
  <c r="AP23" i="35"/>
  <c r="AO23" i="35"/>
  <c r="AN23" i="35"/>
  <c r="AM23" i="35"/>
  <c r="AL23" i="35"/>
  <c r="AK23" i="35"/>
  <c r="AJ23" i="35"/>
  <c r="AU22" i="35"/>
  <c r="AT22" i="35"/>
  <c r="AS22" i="35"/>
  <c r="AR22" i="35"/>
  <c r="AQ22" i="35"/>
  <c r="AP22" i="35"/>
  <c r="AO22" i="35"/>
  <c r="AN22" i="35"/>
  <c r="AM22" i="35"/>
  <c r="AL22" i="35"/>
  <c r="AK22" i="35"/>
  <c r="AJ22" i="35"/>
  <c r="AU21" i="35"/>
  <c r="AT21" i="35"/>
  <c r="AS21" i="35"/>
  <c r="AR21" i="35"/>
  <c r="AQ21" i="35"/>
  <c r="AP21" i="35"/>
  <c r="AO21" i="35"/>
  <c r="AN21" i="35"/>
  <c r="AM21" i="35"/>
  <c r="AL21" i="35"/>
  <c r="AK21" i="35"/>
  <c r="AJ21" i="35"/>
  <c r="AU20" i="35"/>
  <c r="AT20" i="35"/>
  <c r="AS20" i="35"/>
  <c r="AR20" i="35"/>
  <c r="AQ20" i="35"/>
  <c r="AP20" i="35"/>
  <c r="AO20" i="35"/>
  <c r="AN20" i="35"/>
  <c r="AM20" i="35"/>
  <c r="AL20" i="35"/>
  <c r="AK20" i="35"/>
  <c r="AJ20" i="35"/>
  <c r="AU19" i="35"/>
  <c r="AT19" i="35"/>
  <c r="AS19" i="35"/>
  <c r="AR19" i="35"/>
  <c r="AQ19" i="35"/>
  <c r="AP19" i="35"/>
  <c r="AO19" i="35"/>
  <c r="AN19" i="35"/>
  <c r="AM19" i="35"/>
  <c r="AL19" i="35"/>
  <c r="AK19" i="35"/>
  <c r="AJ19" i="35"/>
  <c r="AU12" i="35"/>
  <c r="AT12" i="35"/>
  <c r="AS12" i="35"/>
  <c r="AR12" i="35"/>
  <c r="AQ12" i="35"/>
  <c r="AP12" i="35"/>
  <c r="AO12" i="35"/>
  <c r="AN12" i="35"/>
  <c r="AM12" i="35"/>
  <c r="AL12" i="35"/>
  <c r="AK12" i="35"/>
  <c r="AJ12" i="35"/>
  <c r="AU11" i="35"/>
  <c r="AT11" i="35"/>
  <c r="AS11" i="35"/>
  <c r="AR11" i="35"/>
  <c r="AQ11" i="35"/>
  <c r="AP11" i="35"/>
  <c r="AO11" i="35"/>
  <c r="AN11" i="35"/>
  <c r="AM11" i="35"/>
  <c r="AL11" i="35"/>
  <c r="AK11" i="35"/>
  <c r="AJ11" i="35"/>
  <c r="AU10" i="35"/>
  <c r="AT10" i="35"/>
  <c r="AS10" i="35"/>
  <c r="AR10" i="35"/>
  <c r="AQ10" i="35"/>
  <c r="AP10" i="35"/>
  <c r="AO10" i="35"/>
  <c r="AN10" i="35"/>
  <c r="AM10" i="35"/>
  <c r="AL10" i="35"/>
  <c r="AK10" i="35"/>
  <c r="AJ10" i="35"/>
  <c r="AU9" i="35"/>
  <c r="AT9" i="35"/>
  <c r="AS9" i="35"/>
  <c r="AR9" i="35"/>
  <c r="AQ9" i="35"/>
  <c r="AP9" i="35"/>
  <c r="AO9" i="35"/>
  <c r="AN9" i="35"/>
  <c r="AM9" i="35"/>
  <c r="AL9" i="35"/>
  <c r="AK9" i="35"/>
  <c r="AJ9" i="35"/>
  <c r="AU8" i="35"/>
  <c r="AT8" i="35"/>
  <c r="AS8" i="35"/>
  <c r="AR8" i="35"/>
  <c r="AQ8" i="35"/>
  <c r="AP8" i="35"/>
  <c r="AO8" i="35"/>
  <c r="AN8" i="35"/>
  <c r="AM8" i="35"/>
  <c r="AL8" i="35"/>
  <c r="AK8" i="35"/>
  <c r="AJ8" i="35"/>
  <c r="AU7" i="35"/>
  <c r="AT7" i="35"/>
  <c r="AS7" i="35"/>
  <c r="AR7" i="35"/>
  <c r="AQ7" i="35"/>
  <c r="AP7" i="35"/>
  <c r="AO7" i="35"/>
  <c r="AN7" i="35"/>
  <c r="AM7" i="35"/>
  <c r="AL7" i="35"/>
  <c r="AK7" i="35"/>
  <c r="AJ7" i="35"/>
  <c r="AU6" i="35"/>
  <c r="AT6" i="35"/>
  <c r="AS6" i="35"/>
  <c r="AR6" i="35"/>
  <c r="AQ6" i="35"/>
  <c r="AP6" i="35"/>
  <c r="AO6" i="35"/>
  <c r="AN6" i="35"/>
  <c r="AM6" i="35"/>
  <c r="AL6" i="35"/>
  <c r="AK6" i="35"/>
  <c r="AJ6" i="35"/>
  <c r="AU5" i="35"/>
  <c r="AT5" i="35"/>
  <c r="AS5" i="35"/>
  <c r="AR5" i="35"/>
  <c r="AQ5" i="35"/>
  <c r="AP5" i="35"/>
  <c r="AO5" i="35"/>
  <c r="AN5" i="35"/>
  <c r="AM5" i="35"/>
  <c r="AL5" i="35"/>
  <c r="AK5" i="35"/>
  <c r="AJ5" i="35"/>
  <c r="O4" i="8"/>
  <c r="O4" i="9"/>
  <c r="AY23" i="35" s="1"/>
  <c r="O4" i="15"/>
  <c r="O4" i="11"/>
  <c r="AY32" i="35"/>
  <c r="O4" i="12"/>
  <c r="AY25" i="35"/>
  <c r="O4" i="16"/>
  <c r="AY36" i="35"/>
  <c r="O4" i="103"/>
  <c r="AY38" i="35"/>
  <c r="O4" i="13"/>
  <c r="AY26" i="35"/>
  <c r="O4" i="14"/>
  <c r="AY24" i="35" s="1"/>
  <c r="O4" i="104"/>
  <c r="AY28" i="35" s="1"/>
  <c r="O4" i="105"/>
  <c r="AY27" i="35"/>
  <c r="O4" i="106"/>
  <c r="AY29" i="35"/>
  <c r="O4" i="107"/>
  <c r="AY30" i="35"/>
  <c r="O4" i="19"/>
  <c r="AY37" i="35"/>
  <c r="AY31" i="35" s="1"/>
  <c r="O4" i="7"/>
  <c r="AY19" i="35" s="1"/>
  <c r="AC3" i="35"/>
  <c r="AB3" i="35"/>
  <c r="AA3" i="35"/>
  <c r="Z3" i="35"/>
  <c r="Y3" i="35"/>
  <c r="X3" i="35"/>
  <c r="W3" i="35"/>
  <c r="V3" i="35"/>
  <c r="U3" i="35"/>
  <c r="T3" i="35"/>
  <c r="S3" i="35"/>
  <c r="B6" i="22"/>
  <c r="B8" i="22"/>
  <c r="P24" i="22"/>
  <c r="O22" i="22"/>
  <c r="N22" i="22"/>
  <c r="M22" i="22"/>
  <c r="L22" i="22"/>
  <c r="K22" i="22"/>
  <c r="J22" i="22"/>
  <c r="I22" i="22"/>
  <c r="H22" i="22"/>
  <c r="G22" i="22"/>
  <c r="F22" i="22"/>
  <c r="E22" i="22"/>
  <c r="D22" i="22"/>
  <c r="AC15" i="22"/>
  <c r="AB15" i="22"/>
  <c r="AA15" i="22"/>
  <c r="Z15" i="22"/>
  <c r="Y15" i="22"/>
  <c r="X15" i="22"/>
  <c r="W15" i="22"/>
  <c r="V15" i="22"/>
  <c r="P17" i="22"/>
  <c r="P13" i="22"/>
  <c r="P12" i="22"/>
  <c r="C18" i="22"/>
  <c r="B1" i="22"/>
  <c r="AJ143" i="5"/>
  <c r="R14" i="22" s="1"/>
  <c r="AU143" i="5"/>
  <c r="AC14" i="22" s="1"/>
  <c r="AC18" i="22" s="1"/>
  <c r="AT143" i="5"/>
  <c r="AB14" i="22" s="1"/>
  <c r="AB18" i="22" s="1"/>
  <c r="AS143" i="5"/>
  <c r="AA14" i="22" s="1"/>
  <c r="AA18" i="22" s="1"/>
  <c r="AR143" i="5"/>
  <c r="Z14" i="22" s="1"/>
  <c r="Z18" i="22" s="1"/>
  <c r="AQ143" i="5"/>
  <c r="Y14" i="22" s="1"/>
  <c r="Y18" i="22" s="1"/>
  <c r="AP143" i="5"/>
  <c r="X14" i="22" s="1"/>
  <c r="X18" i="22" s="1"/>
  <c r="AO143" i="5"/>
  <c r="W14" i="22" s="1"/>
  <c r="W18" i="22" s="1"/>
  <c r="AN143" i="5"/>
  <c r="V14" i="22" s="1"/>
  <c r="V18" i="22" s="1"/>
  <c r="AM143" i="5"/>
  <c r="U14" i="22" s="1"/>
  <c r="U18" i="22" s="1"/>
  <c r="AK143" i="5"/>
  <c r="S14" i="22" s="1"/>
  <c r="U61" i="102"/>
  <c r="T61" i="102"/>
  <c r="S61" i="102"/>
  <c r="R61" i="102"/>
  <c r="Q61" i="102"/>
  <c r="P61" i="102"/>
  <c r="O61" i="102"/>
  <c r="N61" i="102"/>
  <c r="M61" i="102"/>
  <c r="L61" i="102"/>
  <c r="K61" i="102"/>
  <c r="J61" i="102"/>
  <c r="I60" i="102"/>
  <c r="F60" i="102"/>
  <c r="G60" i="102"/>
  <c r="I59" i="102"/>
  <c r="I58" i="102"/>
  <c r="I57" i="102"/>
  <c r="I56" i="102"/>
  <c r="F56" i="102"/>
  <c r="G56" i="102"/>
  <c r="I55" i="102"/>
  <c r="F55" i="102"/>
  <c r="G55" i="102"/>
  <c r="I54" i="102"/>
  <c r="F54" i="102" s="1"/>
  <c r="G54" i="102" s="1"/>
  <c r="I53" i="102"/>
  <c r="F53" i="102"/>
  <c r="G53" i="102"/>
  <c r="I52" i="102"/>
  <c r="F52" i="102"/>
  <c r="G52" i="102"/>
  <c r="I51" i="102"/>
  <c r="F51" i="102"/>
  <c r="G51" i="102"/>
  <c r="I50" i="102"/>
  <c r="F50" i="102"/>
  <c r="G50" i="102"/>
  <c r="I49" i="102"/>
  <c r="F49" i="102"/>
  <c r="G49" i="102"/>
  <c r="I48" i="102"/>
  <c r="I47" i="102"/>
  <c r="I46" i="102"/>
  <c r="I45" i="102"/>
  <c r="I44" i="102"/>
  <c r="I43" i="102"/>
  <c r="I42" i="102"/>
  <c r="I41" i="102"/>
  <c r="I40" i="102"/>
  <c r="F40" i="102" s="1"/>
  <c r="G40" i="102" s="1"/>
  <c r="I39" i="102"/>
  <c r="I38" i="102"/>
  <c r="I37" i="102"/>
  <c r="I36" i="102"/>
  <c r="I35" i="102"/>
  <c r="I34" i="102"/>
  <c r="I33" i="102"/>
  <c r="F33" i="102" s="1"/>
  <c r="G33" i="102" s="1"/>
  <c r="I32" i="102"/>
  <c r="F32" i="102" s="1"/>
  <c r="G32" i="102" s="1"/>
  <c r="I31" i="102"/>
  <c r="I30" i="102"/>
  <c r="I29" i="102"/>
  <c r="I28" i="102"/>
  <c r="I27" i="102"/>
  <c r="I26" i="102"/>
  <c r="I25" i="102"/>
  <c r="I24" i="102"/>
  <c r="I23" i="102"/>
  <c r="F23" i="102" s="1"/>
  <c r="G23" i="102" s="1"/>
  <c r="I22" i="102"/>
  <c r="F22" i="102"/>
  <c r="G22" i="102"/>
  <c r="I21" i="102"/>
  <c r="I20" i="102"/>
  <c r="I19" i="102"/>
  <c r="I18" i="102"/>
  <c r="F18" i="102" s="1"/>
  <c r="G18" i="102" s="1"/>
  <c r="I17" i="102"/>
  <c r="I16" i="102"/>
  <c r="I15" i="102"/>
  <c r="I14" i="102"/>
  <c r="I13" i="102"/>
  <c r="I12" i="102"/>
  <c r="F12" i="102" s="1"/>
  <c r="G12" i="102" s="1"/>
  <c r="I11" i="102"/>
  <c r="I10" i="102"/>
  <c r="I9" i="102"/>
  <c r="I8" i="102"/>
  <c r="I7" i="102"/>
  <c r="I6" i="102"/>
  <c r="O5" i="107"/>
  <c r="O5" i="106"/>
  <c r="O5" i="105"/>
  <c r="O5" i="104"/>
  <c r="AC21" i="22"/>
  <c r="AB21" i="22"/>
  <c r="AA21" i="22"/>
  <c r="Z21" i="22"/>
  <c r="Y21" i="22"/>
  <c r="X21" i="22"/>
  <c r="W21" i="22"/>
  <c r="V21" i="22"/>
  <c r="U21" i="22"/>
  <c r="T15" i="22"/>
  <c r="S21" i="22"/>
  <c r="R21" i="22"/>
  <c r="O21" i="22"/>
  <c r="N21" i="22"/>
  <c r="M15" i="22"/>
  <c r="L21" i="22"/>
  <c r="K15" i="22"/>
  <c r="J15" i="22"/>
  <c r="I21" i="22"/>
  <c r="H21" i="22"/>
  <c r="G15" i="22"/>
  <c r="F21" i="22"/>
  <c r="E21" i="22"/>
  <c r="F37" i="102"/>
  <c r="G37" i="102"/>
  <c r="F57" i="102"/>
  <c r="G57" i="102"/>
  <c r="F29" i="102"/>
  <c r="G29" i="102" s="1"/>
  <c r="AV4" i="5"/>
  <c r="AV145" i="5" s="1"/>
  <c r="O5" i="103"/>
  <c r="O5" i="6"/>
  <c r="BJ40" i="5"/>
  <c r="E61" i="102"/>
  <c r="O25" i="93"/>
  <c r="N25" i="93"/>
  <c r="M25" i="93"/>
  <c r="L25" i="93"/>
  <c r="K25" i="93"/>
  <c r="J25" i="93"/>
  <c r="I25" i="93"/>
  <c r="H25" i="93"/>
  <c r="G25" i="93"/>
  <c r="F25" i="93"/>
  <c r="E25" i="93"/>
  <c r="D25" i="93"/>
  <c r="O24" i="93"/>
  <c r="N24" i="93"/>
  <c r="M24" i="93"/>
  <c r="L24" i="93"/>
  <c r="K24" i="93"/>
  <c r="J24" i="93"/>
  <c r="I24" i="93"/>
  <c r="H24" i="93"/>
  <c r="G24" i="93"/>
  <c r="F24" i="93"/>
  <c r="E24" i="93"/>
  <c r="D24" i="93"/>
  <c r="O22" i="93"/>
  <c r="N22" i="93"/>
  <c r="M22" i="93"/>
  <c r="L22" i="93"/>
  <c r="K22" i="93"/>
  <c r="J22" i="93"/>
  <c r="I22" i="93"/>
  <c r="H22" i="93"/>
  <c r="G22" i="93"/>
  <c r="F22" i="93"/>
  <c r="E22" i="93"/>
  <c r="D22" i="93"/>
  <c r="O15" i="93"/>
  <c r="N15" i="93"/>
  <c r="M15" i="93"/>
  <c r="L15" i="93"/>
  <c r="K15" i="93"/>
  <c r="J15" i="93"/>
  <c r="I15" i="93"/>
  <c r="H15" i="93"/>
  <c r="G15" i="93"/>
  <c r="F15" i="93"/>
  <c r="E15" i="93"/>
  <c r="D15" i="93"/>
  <c r="P13" i="93"/>
  <c r="P10" i="93"/>
  <c r="O9" i="93"/>
  <c r="N9" i="93"/>
  <c r="M9" i="93"/>
  <c r="L9" i="93"/>
  <c r="K9" i="93"/>
  <c r="J9" i="93"/>
  <c r="I9" i="93"/>
  <c r="H9" i="93"/>
  <c r="G9" i="93"/>
  <c r="F9" i="93"/>
  <c r="E9" i="93"/>
  <c r="D9" i="93"/>
  <c r="C52" i="92"/>
  <c r="B52" i="92"/>
  <c r="C14" i="92"/>
  <c r="E14" i="92"/>
  <c r="B14" i="92"/>
  <c r="B82" i="90"/>
  <c r="B67" i="90"/>
  <c r="B63" i="90"/>
  <c r="B48" i="90"/>
  <c r="G34" i="90"/>
  <c r="L22" i="90" s="1"/>
  <c r="E61" i="90" s="1"/>
  <c r="G31" i="90"/>
  <c r="L19" i="90" s="1"/>
  <c r="E58" i="90" s="1"/>
  <c r="D55" i="91" s="1"/>
  <c r="H16" i="90"/>
  <c r="F2" i="90"/>
  <c r="E2" i="90"/>
  <c r="B64" i="88"/>
  <c r="B84" i="88"/>
  <c r="B48" i="88"/>
  <c r="B68" i="88"/>
  <c r="H16" i="88"/>
  <c r="K22" i="90"/>
  <c r="G37" i="90"/>
  <c r="H37" i="90" s="1"/>
  <c r="K19" i="90"/>
  <c r="K18" i="90"/>
  <c r="G6" i="90"/>
  <c r="E52" i="90" s="1"/>
  <c r="G30" i="90"/>
  <c r="L18" i="90" s="1"/>
  <c r="E57" i="90" s="1"/>
  <c r="G33" i="90"/>
  <c r="L21" i="90" s="1"/>
  <c r="E60" i="90" s="1"/>
  <c r="G32" i="90"/>
  <c r="L20" i="90" s="1"/>
  <c r="E59" i="90" s="1"/>
  <c r="D53" i="91" s="1"/>
  <c r="G9" i="90"/>
  <c r="J9" i="90" s="1"/>
  <c r="G13" i="90"/>
  <c r="N13" i="90" s="1"/>
  <c r="K21" i="90"/>
  <c r="K20" i="90"/>
  <c r="G8" i="90"/>
  <c r="N8" i="90" s="1"/>
  <c r="G14" i="90"/>
  <c r="N14" i="90" s="1"/>
  <c r="G5" i="90"/>
  <c r="N5" i="90" s="1"/>
  <c r="G11" i="90"/>
  <c r="G12" i="90"/>
  <c r="J12" i="90" s="1"/>
  <c r="G10" i="90"/>
  <c r="J10" i="90" s="1"/>
  <c r="G7" i="90"/>
  <c r="J7" i="90" s="1"/>
  <c r="K23" i="90"/>
  <c r="G35" i="90"/>
  <c r="L23" i="90" s="1"/>
  <c r="E62" i="90" s="1"/>
  <c r="D54" i="91" s="1"/>
  <c r="G4" i="90"/>
  <c r="N4" i="90" s="1"/>
  <c r="BJ13" i="5"/>
  <c r="AY143" i="5"/>
  <c r="AZ143" i="5"/>
  <c r="BA143" i="5"/>
  <c r="BB143" i="5"/>
  <c r="H14" i="22" s="1"/>
  <c r="BD143" i="5"/>
  <c r="BE143" i="5"/>
  <c r="K14" i="22" s="1"/>
  <c r="BJ5" i="5"/>
  <c r="BJ11" i="5"/>
  <c r="BJ22" i="5"/>
  <c r="BJ17" i="5"/>
  <c r="BJ48" i="5"/>
  <c r="BJ47" i="5"/>
  <c r="A46" i="5"/>
  <c r="A45" i="5"/>
  <c r="A44" i="5"/>
  <c r="A43" i="5"/>
  <c r="BJ46" i="5"/>
  <c r="BJ45" i="5"/>
  <c r="BJ44" i="5"/>
  <c r="BJ43" i="5"/>
  <c r="BJ42" i="5"/>
  <c r="A42" i="5"/>
  <c r="A41" i="5"/>
  <c r="A40" i="5"/>
  <c r="A39" i="5"/>
  <c r="A38" i="5"/>
  <c r="BJ35" i="5"/>
  <c r="BJ34" i="5"/>
  <c r="BJ33" i="5"/>
  <c r="O38" i="5"/>
  <c r="BJ41" i="5"/>
  <c r="BJ39" i="5"/>
  <c r="BJ38" i="5"/>
  <c r="Q24" i="22"/>
  <c r="O4" i="6"/>
  <c r="AY21" i="35" s="1"/>
  <c r="BI149" i="5"/>
  <c r="BH149" i="5"/>
  <c r="BG149" i="5"/>
  <c r="BK36" i="5"/>
  <c r="BJ36" i="5"/>
  <c r="A36" i="5"/>
  <c r="A37" i="5"/>
  <c r="A35" i="5"/>
  <c r="BJ24" i="5"/>
  <c r="C27" i="37"/>
  <c r="C15" i="37"/>
  <c r="BJ151" i="5"/>
  <c r="Q17" i="22"/>
  <c r="AX149" i="5"/>
  <c r="Q13" i="22"/>
  <c r="BF149" i="5"/>
  <c r="BE149" i="5"/>
  <c r="BD149" i="5"/>
  <c r="BC149" i="5"/>
  <c r="BB149" i="5"/>
  <c r="BA149" i="5"/>
  <c r="AZ149" i="5"/>
  <c r="AY149" i="5"/>
  <c r="BJ37" i="5"/>
  <c r="BK37" i="5"/>
  <c r="A34" i="5"/>
  <c r="A33" i="5"/>
  <c r="A32" i="5"/>
  <c r="A28" i="5"/>
  <c r="A27" i="5"/>
  <c r="A26" i="5"/>
  <c r="A25" i="5"/>
  <c r="A24" i="5"/>
  <c r="A23" i="5"/>
  <c r="A22" i="5"/>
  <c r="A21" i="5"/>
  <c r="A20" i="5"/>
  <c r="A19" i="5"/>
  <c r="A18" i="5"/>
  <c r="A17" i="5"/>
  <c r="A16" i="5"/>
  <c r="A15" i="5"/>
  <c r="A14" i="5"/>
  <c r="A13" i="5"/>
  <c r="A12" i="5"/>
  <c r="A11" i="5"/>
  <c r="A10" i="5"/>
  <c r="A9" i="5"/>
  <c r="A8" i="5"/>
  <c r="A7" i="5"/>
  <c r="A6" i="5"/>
  <c r="A5" i="5"/>
  <c r="A4" i="5"/>
  <c r="BK34" i="5"/>
  <c r="BK33" i="5"/>
  <c r="O5" i="15"/>
  <c r="BJ32" i="5"/>
  <c r="BK27" i="5"/>
  <c r="BK32" i="5"/>
  <c r="BK28" i="5"/>
  <c r="BK26" i="5"/>
  <c r="BK25" i="5"/>
  <c r="BK24" i="5"/>
  <c r="BK23" i="5"/>
  <c r="BK22" i="5"/>
  <c r="BK21" i="5"/>
  <c r="BK20" i="5"/>
  <c r="BK19" i="5"/>
  <c r="BK18" i="5"/>
  <c r="BK17" i="5"/>
  <c r="BK16" i="5"/>
  <c r="BK15" i="5"/>
  <c r="BK14" i="5"/>
  <c r="BK13" i="5"/>
  <c r="BK12" i="5"/>
  <c r="BK11" i="5"/>
  <c r="BK10" i="5"/>
  <c r="BK9" i="5"/>
  <c r="BK8" i="5"/>
  <c r="BK7" i="5"/>
  <c r="BK6" i="5"/>
  <c r="BK5" i="5"/>
  <c r="BK4" i="5"/>
  <c r="BJ27" i="5"/>
  <c r="BJ25" i="5"/>
  <c r="O5" i="19"/>
  <c r="AX15" i="5"/>
  <c r="BJ15" i="5" s="1"/>
  <c r="BJ6" i="5"/>
  <c r="BJ7" i="5"/>
  <c r="BJ8" i="5"/>
  <c r="BJ9" i="5"/>
  <c r="BJ10" i="5"/>
  <c r="BJ12" i="5"/>
  <c r="BJ20" i="5"/>
  <c r="BJ23" i="5"/>
  <c r="BJ4" i="5"/>
  <c r="BJ21" i="5"/>
  <c r="BC18" i="5"/>
  <c r="BC145" i="5" s="1"/>
  <c r="AX14" i="5"/>
  <c r="BJ19" i="5"/>
  <c r="BJ16" i="5"/>
  <c r="O5" i="8"/>
  <c r="O5" i="9"/>
  <c r="AY20" i="35"/>
  <c r="O5" i="16"/>
  <c r="Q22" i="22"/>
  <c r="I13" i="8"/>
  <c r="AY22" i="35"/>
  <c r="O5" i="14"/>
  <c r="O5" i="11"/>
  <c r="L7" i="3"/>
  <c r="D10" i="4"/>
  <c r="C10" i="4"/>
  <c r="F7" i="3"/>
  <c r="F12" i="3" s="1"/>
  <c r="E7" i="3"/>
  <c r="H7" i="3" s="1"/>
  <c r="H12" i="3" s="1"/>
  <c r="D7" i="3"/>
  <c r="M5" i="4"/>
  <c r="L5" i="4"/>
  <c r="K5" i="4"/>
  <c r="J5" i="4"/>
  <c r="I5" i="4"/>
  <c r="H5" i="4"/>
  <c r="G5" i="4"/>
  <c r="F5" i="4"/>
  <c r="E5" i="4"/>
  <c r="D5" i="4"/>
  <c r="C5" i="4"/>
  <c r="J11" i="3"/>
  <c r="K11" i="3"/>
  <c r="J10" i="3"/>
  <c r="K10" i="3"/>
  <c r="J9" i="3"/>
  <c r="K9" i="3" s="1"/>
  <c r="J8" i="3"/>
  <c r="K8" i="3"/>
  <c r="G11" i="3"/>
  <c r="G10" i="3"/>
  <c r="G9" i="3"/>
  <c r="G8" i="3"/>
  <c r="AH21" i="93" l="1"/>
  <c r="F31" i="92"/>
  <c r="E25" i="155" a="1"/>
  <c r="B99" i="155" a="1"/>
  <c r="B96" i="155" s="1"/>
  <c r="P84" i="155" s="1"/>
  <c r="C79" i="155"/>
  <c r="P40" i="93"/>
  <c r="C66" i="155" a="1"/>
  <c r="C63" i="155" s="1"/>
  <c r="Q51" i="155" s="1"/>
  <c r="B66" i="155" a="1"/>
  <c r="B63" i="155" s="1"/>
  <c r="C102" i="92"/>
  <c r="C81" i="155"/>
  <c r="C87" i="155" s="1"/>
  <c r="F87" i="155" s="1"/>
  <c r="C91" i="155"/>
  <c r="AB16" i="22"/>
  <c r="C100" i="92"/>
  <c r="C99" i="92" s="1"/>
  <c r="C105" i="92"/>
  <c r="R38" i="88" a="1"/>
  <c r="E38" i="88" s="1"/>
  <c r="R12" i="88" a="1"/>
  <c r="R19" i="88" a="1"/>
  <c r="R5" i="88" a="1"/>
  <c r="R7" i="88" a="1"/>
  <c r="S20" i="88" a="1"/>
  <c r="F32" i="88" s="1"/>
  <c r="R20" i="88" a="1"/>
  <c r="S12" i="88" a="1"/>
  <c r="R6" i="88" a="1"/>
  <c r="S37" i="88" a="1"/>
  <c r="F37" i="88" s="1"/>
  <c r="S19" i="88" a="1"/>
  <c r="S5" i="88" a="1"/>
  <c r="R37" i="88" a="1"/>
  <c r="S11" i="88" a="1"/>
  <c r="S13" i="88" a="1"/>
  <c r="S38" i="88" a="1"/>
  <c r="F38" i="88" s="1"/>
  <c r="R11" i="88" a="1"/>
  <c r="S4" i="88" a="1"/>
  <c r="S23" i="88" a="1"/>
  <c r="F35" i="88" s="1"/>
  <c r="S18" i="88" a="1"/>
  <c r="S10" i="88" a="1"/>
  <c r="R4" i="88" a="1"/>
  <c r="R18" i="88" a="1"/>
  <c r="R23" i="88" a="1"/>
  <c r="R10" i="88" a="1"/>
  <c r="S17" i="88" a="1"/>
  <c r="F29" i="88" s="1"/>
  <c r="S9" i="88" a="1"/>
  <c r="S22" i="88" a="1"/>
  <c r="R17" i="88" a="1"/>
  <c r="R9" i="88" a="1"/>
  <c r="R22" i="88" a="1"/>
  <c r="S8" i="88" a="1"/>
  <c r="S14" i="88" a="1"/>
  <c r="R8" i="88" a="1"/>
  <c r="R21" i="88" a="1"/>
  <c r="S6" i="88" a="1"/>
  <c r="S21" i="88" a="1"/>
  <c r="F33" i="88" s="1"/>
  <c r="S7" i="88" a="1"/>
  <c r="R14" i="88" a="1"/>
  <c r="R13" i="88" a="1"/>
  <c r="C34" i="92"/>
  <c r="AO21" i="93"/>
  <c r="AR22" i="93"/>
  <c r="AR40" i="93"/>
  <c r="AC21" i="93"/>
  <c r="AP21" i="93"/>
  <c r="R21" i="93"/>
  <c r="L21" i="93"/>
  <c r="C63" i="92" a="1"/>
  <c r="N21" i="93"/>
  <c r="O21" i="93"/>
  <c r="E21" i="93"/>
  <c r="AQ21" i="93"/>
  <c r="B63" i="92" a="1"/>
  <c r="H14" i="92"/>
  <c r="M21" i="93"/>
  <c r="P25" i="93"/>
  <c r="U21" i="93"/>
  <c r="U13" i="92"/>
  <c r="F52" i="92"/>
  <c r="D50" i="91"/>
  <c r="D47" i="91"/>
  <c r="D57" i="91"/>
  <c r="AF21" i="93"/>
  <c r="AG21" i="93"/>
  <c r="AK21" i="93"/>
  <c r="B55" i="92" a="1"/>
  <c r="B62" i="92" a="1"/>
  <c r="B44" i="92" a="1"/>
  <c r="B56" i="92" a="1"/>
  <c r="C44" i="92" a="1"/>
  <c r="C62" i="92" a="1"/>
  <c r="C56" i="92" a="1"/>
  <c r="I14" i="92"/>
  <c r="T21" i="93"/>
  <c r="X21" i="93"/>
  <c r="Z21" i="93"/>
  <c r="AA21" i="93"/>
  <c r="AB21" i="93"/>
  <c r="F21" i="93"/>
  <c r="I21" i="93"/>
  <c r="S21" i="93"/>
  <c r="AL21" i="93"/>
  <c r="G21" i="93"/>
  <c r="AD22" i="93"/>
  <c r="F19" i="102"/>
  <c r="G19" i="102" s="1"/>
  <c r="Y21" i="93"/>
  <c r="I7" i="3"/>
  <c r="I12" i="3" s="1"/>
  <c r="F6" i="102"/>
  <c r="G6" i="102" s="1"/>
  <c r="E12" i="3"/>
  <c r="B11" i="114"/>
  <c r="J21" i="93"/>
  <c r="AM21" i="93"/>
  <c r="BF145" i="5"/>
  <c r="G7" i="3"/>
  <c r="G12" i="3" s="1"/>
  <c r="D11" i="114"/>
  <c r="AY33" i="35"/>
  <c r="K21" i="93"/>
  <c r="AN21" i="93"/>
  <c r="B16" i="114"/>
  <c r="F61" i="102"/>
  <c r="G61" i="102" s="1"/>
  <c r="I61" i="102"/>
  <c r="V21" i="93"/>
  <c r="BG145" i="5"/>
  <c r="B43" i="92" a="1"/>
  <c r="AD9" i="93"/>
  <c r="AD15" i="93"/>
  <c r="J7" i="3"/>
  <c r="AJ21" i="93"/>
  <c r="W21" i="93"/>
  <c r="P15" i="93"/>
  <c r="D21" i="93"/>
  <c r="H21" i="93"/>
  <c r="G18" i="90"/>
  <c r="N18" i="90" s="1"/>
  <c r="AR9" i="93"/>
  <c r="AR21" i="93" s="1"/>
  <c r="BH145" i="5"/>
  <c r="BI145" i="5"/>
  <c r="N6" i="90"/>
  <c r="G23" i="90"/>
  <c r="N23" i="90" s="1"/>
  <c r="D42" i="90"/>
  <c r="G20" i="90"/>
  <c r="N20" i="90" s="1"/>
  <c r="AX145" i="5"/>
  <c r="C87" i="92"/>
  <c r="C82" i="92"/>
  <c r="F82" i="92" s="1"/>
  <c r="P22" i="93"/>
  <c r="AI21" i="93"/>
  <c r="AD24" i="93"/>
  <c r="C75" i="92"/>
  <c r="AD25" i="93"/>
  <c r="P24" i="93"/>
  <c r="P9" i="93"/>
  <c r="F84" i="92"/>
  <c r="C13" i="92"/>
  <c r="C49" i="92"/>
  <c r="G22" i="90"/>
  <c r="N22" i="90" s="1"/>
  <c r="K81" i="90"/>
  <c r="G81" i="90" s="1"/>
  <c r="G21" i="90"/>
  <c r="N21" i="90" s="1"/>
  <c r="K77" i="90"/>
  <c r="G77" i="90" s="1"/>
  <c r="J8" i="90"/>
  <c r="U15" i="22"/>
  <c r="U16" i="22" s="1"/>
  <c r="T21" i="22"/>
  <c r="Q21" i="22" s="1"/>
  <c r="C4" i="22" s="1"/>
  <c r="C5" i="22" s="1"/>
  <c r="N7" i="90"/>
  <c r="E53" i="90"/>
  <c r="D56" i="91" s="1"/>
  <c r="J6" i="90"/>
  <c r="N12" i="90"/>
  <c r="J11" i="90"/>
  <c r="N11" i="90"/>
  <c r="G19" i="90"/>
  <c r="N19" i="90" s="1"/>
  <c r="E51" i="90"/>
  <c r="J5" i="90"/>
  <c r="B16" i="92"/>
  <c r="B51" i="92"/>
  <c r="E4" i="92"/>
  <c r="F29" i="92"/>
  <c r="B11" i="92"/>
  <c r="F4" i="92"/>
  <c r="B29" i="92"/>
  <c r="F2" i="92"/>
  <c r="G35" i="86"/>
  <c r="O35" i="86" s="1"/>
  <c r="F22" i="86"/>
  <c r="G13" i="86"/>
  <c r="O13" i="86" s="1"/>
  <c r="G34" i="86"/>
  <c r="O34" i="86" s="1"/>
  <c r="G37" i="86"/>
  <c r="G33" i="86"/>
  <c r="O33" i="86" s="1"/>
  <c r="F20" i="86"/>
  <c r="G32" i="86"/>
  <c r="O32" i="86" s="1"/>
  <c r="G9" i="86"/>
  <c r="O9" i="86" s="1"/>
  <c r="G6" i="86"/>
  <c r="E53" i="86" s="1"/>
  <c r="D49" i="87" s="1"/>
  <c r="G7" i="86"/>
  <c r="O7" i="86" s="1"/>
  <c r="E19" i="86"/>
  <c r="F18" i="86"/>
  <c r="K71" i="90"/>
  <c r="K78" i="90"/>
  <c r="K76" i="90"/>
  <c r="E54" i="90"/>
  <c r="D49" i="91" s="1"/>
  <c r="N10" i="90"/>
  <c r="K80" i="90"/>
  <c r="K79" i="90"/>
  <c r="J13" i="90"/>
  <c r="N9" i="90"/>
  <c r="G3" i="90"/>
  <c r="J14" i="90"/>
  <c r="L23" i="86"/>
  <c r="D21" i="22"/>
  <c r="D15" i="22"/>
  <c r="C4" i="92"/>
  <c r="C1" i="92" s="1"/>
  <c r="E15" i="22"/>
  <c r="H15" i="22"/>
  <c r="H16" i="22" s="1"/>
  <c r="BH143" i="5"/>
  <c r="N14" i="22" s="1"/>
  <c r="BF143" i="5"/>
  <c r="L14" i="22" s="1"/>
  <c r="L18" i="22" s="1"/>
  <c r="BG143" i="5"/>
  <c r="BG150" i="5" s="1"/>
  <c r="G21" i="22"/>
  <c r="M21" i="22"/>
  <c r="BJ28" i="5"/>
  <c r="AY150" i="5"/>
  <c r="S15" i="22"/>
  <c r="S16" i="22" s="1"/>
  <c r="V16" i="22"/>
  <c r="R15" i="22"/>
  <c r="R16" i="22" s="1"/>
  <c r="P22" i="22"/>
  <c r="O15" i="22"/>
  <c r="BJ149" i="5"/>
  <c r="BI143" i="5"/>
  <c r="BI148" i="5" s="1"/>
  <c r="BA148" i="5"/>
  <c r="BJ147" i="5"/>
  <c r="T14" i="22"/>
  <c r="T18" i="22" s="1"/>
  <c r="V8" i="36"/>
  <c r="K16" i="22"/>
  <c r="J21" i="22"/>
  <c r="AX143" i="5"/>
  <c r="AX150" i="5" s="1"/>
  <c r="W40" i="36"/>
  <c r="V44" i="36"/>
  <c r="BJ18" i="5"/>
  <c r="I15" i="22"/>
  <c r="AV147" i="5"/>
  <c r="L15" i="22"/>
  <c r="AA16" i="22"/>
  <c r="BJ29" i="5"/>
  <c r="BJ14" i="5"/>
  <c r="N15" i="22"/>
  <c r="AC16" i="22"/>
  <c r="F15" i="22"/>
  <c r="K21" i="22"/>
  <c r="BC143" i="5"/>
  <c r="BC148" i="5" s="1"/>
  <c r="V6" i="36"/>
  <c r="V41" i="36"/>
  <c r="X44" i="36"/>
  <c r="BA150" i="5"/>
  <c r="AM32" i="35"/>
  <c r="G14" i="22"/>
  <c r="G18" i="22" s="1"/>
  <c r="G14" i="36"/>
  <c r="H14" i="36"/>
  <c r="W41" i="36"/>
  <c r="U6" i="36"/>
  <c r="Y8" i="36"/>
  <c r="Y12" i="36"/>
  <c r="Y40" i="36"/>
  <c r="AS31" i="35"/>
  <c r="AO32" i="35"/>
  <c r="AK13" i="35"/>
  <c r="AK14" i="35" s="1"/>
  <c r="AQ32" i="35"/>
  <c r="J14" i="36"/>
  <c r="Y43" i="36"/>
  <c r="C45" i="36"/>
  <c r="AR32" i="35"/>
  <c r="AS32" i="35"/>
  <c r="U41" i="36"/>
  <c r="AB7" i="36"/>
  <c r="Z12" i="36"/>
  <c r="W39" i="36"/>
  <c r="C41" i="36"/>
  <c r="AB44" i="36"/>
  <c r="O14" i="36"/>
  <c r="AC13" i="36"/>
  <c r="N46" i="36"/>
  <c r="AK32" i="35"/>
  <c r="Y44" i="36"/>
  <c r="AF9" i="36"/>
  <c r="X16" i="22"/>
  <c r="V9" i="36"/>
  <c r="W45" i="36"/>
  <c r="AJ32" i="35"/>
  <c r="X40" i="36"/>
  <c r="V39" i="36"/>
  <c r="X39" i="36"/>
  <c r="AA39" i="36"/>
  <c r="W43" i="36"/>
  <c r="AS13" i="35"/>
  <c r="AS14" i="35" s="1"/>
  <c r="AF11" i="36"/>
  <c r="Z39" i="36"/>
  <c r="AF41" i="36"/>
  <c r="Z38" i="36"/>
  <c r="AC6" i="36"/>
  <c r="AD7" i="36"/>
  <c r="AD8" i="36"/>
  <c r="AA10" i="36"/>
  <c r="AB11" i="36"/>
  <c r="AE12" i="36"/>
  <c r="AB38" i="36"/>
  <c r="AD39" i="36"/>
  <c r="M46" i="36"/>
  <c r="AD42" i="36"/>
  <c r="AC43" i="36"/>
  <c r="C44" i="36"/>
  <c r="AA44" i="36"/>
  <c r="AI21" i="35"/>
  <c r="C6" i="36"/>
  <c r="AE10" i="36"/>
  <c r="W38" i="36"/>
  <c r="Y6" i="36"/>
  <c r="AL13" i="35"/>
  <c r="AL14" i="35" s="1"/>
  <c r="AC45" i="36"/>
  <c r="AM31" i="35"/>
  <c r="AQ31" i="35"/>
  <c r="AU32" i="35"/>
  <c r="F14" i="36"/>
  <c r="F46" i="36"/>
  <c r="J46" i="36"/>
  <c r="W13" i="36"/>
  <c r="AI23" i="35"/>
  <c r="AJ31" i="35"/>
  <c r="AF13" i="36"/>
  <c r="Z13" i="36"/>
  <c r="U38" i="36"/>
  <c r="AK31" i="35"/>
  <c r="AC9" i="36"/>
  <c r="Y13" i="36"/>
  <c r="AC41" i="36"/>
  <c r="X45" i="36"/>
  <c r="K46" i="36"/>
  <c r="G46" i="36"/>
  <c r="V7" i="36"/>
  <c r="AD13" i="36"/>
  <c r="AF10" i="36"/>
  <c r="AP31" i="35"/>
  <c r="AL32" i="35"/>
  <c r="X7" i="36"/>
  <c r="AA11" i="36"/>
  <c r="Z43" i="36"/>
  <c r="V45" i="36"/>
  <c r="W7" i="36"/>
  <c r="AR13" i="35"/>
  <c r="AR14" i="35" s="1"/>
  <c r="O36" i="35"/>
  <c r="K14" i="36"/>
  <c r="AE9" i="36"/>
  <c r="C13" i="36"/>
  <c r="O46" i="36"/>
  <c r="AD45" i="36"/>
  <c r="Y16" i="22"/>
  <c r="AO13" i="35"/>
  <c r="AO14" i="35" s="1"/>
  <c r="AO31" i="35"/>
  <c r="L14" i="36"/>
  <c r="D14" i="36"/>
  <c r="AC12" i="36"/>
  <c r="L46" i="36"/>
  <c r="H46" i="36"/>
  <c r="V11" i="36"/>
  <c r="U44" i="36"/>
  <c r="AU31" i="35"/>
  <c r="N14" i="36"/>
  <c r="AF43" i="36"/>
  <c r="AI28" i="35"/>
  <c r="C8" i="36"/>
  <c r="V10" i="36"/>
  <c r="C38" i="36"/>
  <c r="AD43" i="36"/>
  <c r="AC10" i="36"/>
  <c r="AE13" i="36"/>
  <c r="W42" i="36"/>
  <c r="AI6" i="35"/>
  <c r="AI10" i="35"/>
  <c r="I14" i="36"/>
  <c r="Y45" i="36"/>
  <c r="X13" i="36"/>
  <c r="AD38" i="36"/>
  <c r="Z8" i="36"/>
  <c r="AA12" i="36"/>
  <c r="AE42" i="36"/>
  <c r="V38" i="36"/>
  <c r="X38" i="36"/>
  <c r="AA9" i="36"/>
  <c r="AD44" i="36"/>
  <c r="AA40" i="36"/>
  <c r="I46" i="36"/>
  <c r="AI24" i="35"/>
  <c r="AA42" i="36"/>
  <c r="AA7" i="36"/>
  <c r="C42" i="36"/>
  <c r="Z9" i="36"/>
  <c r="V40" i="36"/>
  <c r="AV143" i="5"/>
  <c r="Y10" i="36"/>
  <c r="AD9" i="36"/>
  <c r="AF12" i="36"/>
  <c r="X12" i="36"/>
  <c r="AB39" i="36"/>
  <c r="AF39" i="36"/>
  <c r="AA45" i="36"/>
  <c r="AD11" i="36"/>
  <c r="AA41" i="36"/>
  <c r="W44" i="36"/>
  <c r="X41" i="36"/>
  <c r="C12" i="36"/>
  <c r="AC11" i="36"/>
  <c r="AF45" i="36"/>
  <c r="W11" i="36"/>
  <c r="Z10" i="36"/>
  <c r="U12" i="36"/>
  <c r="Y39" i="36"/>
  <c r="Z7" i="36"/>
  <c r="AA8" i="36"/>
  <c r="AB41" i="36"/>
  <c r="Z11" i="36"/>
  <c r="AA13" i="36"/>
  <c r="W9" i="36"/>
  <c r="V42" i="36"/>
  <c r="C9" i="36"/>
  <c r="AE7" i="36"/>
  <c r="AF8" i="36"/>
  <c r="W12" i="36"/>
  <c r="AB12" i="36"/>
  <c r="AF6" i="36"/>
  <c r="AE38" i="36"/>
  <c r="AE11" i="36"/>
  <c r="AE45" i="36"/>
  <c r="C11" i="36"/>
  <c r="AD41" i="36"/>
  <c r="AB45" i="36"/>
  <c r="BB148" i="5"/>
  <c r="AD12" i="36"/>
  <c r="X6" i="36"/>
  <c r="X11" i="36"/>
  <c r="AB10" i="36"/>
  <c r="V12" i="36"/>
  <c r="Y9" i="36"/>
  <c r="AE43" i="36"/>
  <c r="AB8" i="36"/>
  <c r="C40" i="36"/>
  <c r="AC42" i="36"/>
  <c r="AC44" i="36"/>
  <c r="Z42" i="36"/>
  <c r="X42" i="36"/>
  <c r="M14" i="36"/>
  <c r="BE148" i="5"/>
  <c r="AD40" i="36"/>
  <c r="E14" i="36"/>
  <c r="BB150" i="5"/>
  <c r="X10" i="36"/>
  <c r="AE8" i="36"/>
  <c r="AE39" i="36"/>
  <c r="AC7" i="36"/>
  <c r="AF38" i="36"/>
  <c r="AA43" i="36"/>
  <c r="V43" i="36"/>
  <c r="Y7" i="36"/>
  <c r="Y41" i="36"/>
  <c r="W6" i="36"/>
  <c r="AC40" i="36"/>
  <c r="C7" i="36"/>
  <c r="Z6" i="36"/>
  <c r="AA6" i="36"/>
  <c r="AC38" i="36"/>
  <c r="C43" i="36"/>
  <c r="AB9" i="36"/>
  <c r="AF44" i="36"/>
  <c r="Y42" i="36"/>
  <c r="AE41" i="36"/>
  <c r="AE44" i="36"/>
  <c r="C10" i="36"/>
  <c r="AE40" i="36"/>
  <c r="D46" i="36"/>
  <c r="AD6" i="36"/>
  <c r="AC39" i="36"/>
  <c r="Z45" i="36"/>
  <c r="AQ13" i="35"/>
  <c r="AQ14" i="35" s="1"/>
  <c r="AM13" i="35"/>
  <c r="AM14" i="35" s="1"/>
  <c r="W10" i="36"/>
  <c r="C39" i="36"/>
  <c r="AD10" i="36"/>
  <c r="AF40" i="36"/>
  <c r="AB42" i="36"/>
  <c r="Z40" i="36"/>
  <c r="Z44" i="36"/>
  <c r="V13" i="36"/>
  <c r="AF7" i="36"/>
  <c r="AB6" i="36"/>
  <c r="AB43" i="36"/>
  <c r="X43" i="36"/>
  <c r="AC8" i="36"/>
  <c r="Z41" i="36"/>
  <c r="Y11" i="36"/>
  <c r="U40" i="36"/>
  <c r="E46" i="36"/>
  <c r="AT13" i="35"/>
  <c r="AT14" i="35" s="1"/>
  <c r="AI7" i="35"/>
  <c r="AP13" i="35"/>
  <c r="AP14" i="35" s="1"/>
  <c r="AI11" i="35"/>
  <c r="AI25" i="35"/>
  <c r="AI29" i="35"/>
  <c r="AI30" i="35"/>
  <c r="AT31" i="35"/>
  <c r="AP32" i="35"/>
  <c r="AT32" i="35"/>
  <c r="O37" i="35"/>
  <c r="O38" i="35"/>
  <c r="AF42" i="36"/>
  <c r="Y38" i="36"/>
  <c r="AE6" i="36"/>
  <c r="AA38" i="36"/>
  <c r="O41" i="35"/>
  <c r="W8" i="36"/>
  <c r="X8" i="36"/>
  <c r="AU13" i="35"/>
  <c r="AU14" i="35" s="1"/>
  <c r="BE150" i="5"/>
  <c r="X9" i="36"/>
  <c r="U13" i="36"/>
  <c r="AB13" i="36"/>
  <c r="AB40" i="36"/>
  <c r="J14" i="22"/>
  <c r="BD148" i="5"/>
  <c r="S18" i="22"/>
  <c r="H18" i="22"/>
  <c r="AL31" i="35"/>
  <c r="AI38" i="35"/>
  <c r="BD150" i="5"/>
  <c r="F14" i="22"/>
  <c r="AZ148" i="5"/>
  <c r="AZ150" i="5"/>
  <c r="K18" i="22"/>
  <c r="W16" i="22"/>
  <c r="AI9" i="35"/>
  <c r="AI12" i="35"/>
  <c r="AI20" i="35"/>
  <c r="AI22" i="35"/>
  <c r="AI26" i="35"/>
  <c r="AI27" i="35"/>
  <c r="AR31" i="35"/>
  <c r="AI37" i="35"/>
  <c r="AI40" i="35"/>
  <c r="AN32" i="35"/>
  <c r="AI41" i="35"/>
  <c r="O40" i="35"/>
  <c r="AN13" i="35"/>
  <c r="AN14" i="35" s="1"/>
  <c r="AI5" i="35"/>
  <c r="AI8" i="35"/>
  <c r="AI19" i="35"/>
  <c r="AN31" i="35"/>
  <c r="AI36" i="35"/>
  <c r="Z16" i="22"/>
  <c r="R18" i="22"/>
  <c r="AY148" i="5"/>
  <c r="E14" i="22"/>
  <c r="AJ13" i="35"/>
  <c r="AJ14" i="35" s="1"/>
  <c r="C22" i="92" l="1"/>
  <c r="U5" i="92"/>
  <c r="U6" i="92"/>
  <c r="L51" i="155"/>
  <c r="P51" i="155"/>
  <c r="K51" i="155"/>
  <c r="C78" i="155"/>
  <c r="X13" i="155"/>
  <c r="E22" i="155"/>
  <c r="C85" i="155"/>
  <c r="F85" i="155" s="1"/>
  <c r="C90" i="155"/>
  <c r="P81" i="92"/>
  <c r="B102" i="92"/>
  <c r="B99" i="92" s="1"/>
  <c r="E29" i="92"/>
  <c r="B4" i="92"/>
  <c r="B1" i="92" s="1"/>
  <c r="B31" i="92"/>
  <c r="E31" i="92" s="1"/>
  <c r="T11" i="92"/>
  <c r="B34" i="92"/>
  <c r="C28" i="92"/>
  <c r="U18" i="92" s="1"/>
  <c r="B42" i="92"/>
  <c r="B50" i="92"/>
  <c r="D48" i="91"/>
  <c r="H37" i="86"/>
  <c r="I37" i="86" s="1"/>
  <c r="Q4" i="86"/>
  <c r="C50" i="92"/>
  <c r="N13" i="92"/>
  <c r="B54" i="92"/>
  <c r="B60" i="92" s="1"/>
  <c r="C16" i="92"/>
  <c r="U11" i="92"/>
  <c r="C42" i="92"/>
  <c r="E13" i="92"/>
  <c r="X13" i="92"/>
  <c r="C54" i="92"/>
  <c r="C60" i="92" s="1"/>
  <c r="Y11" i="92"/>
  <c r="X11" i="92"/>
  <c r="T13" i="92"/>
  <c r="F13" i="92"/>
  <c r="Y13" i="92"/>
  <c r="C51" i="92"/>
  <c r="F51" i="92" s="1"/>
  <c r="AD21" i="93"/>
  <c r="B49" i="92"/>
  <c r="F49" i="92" s="1"/>
  <c r="P21" i="93"/>
  <c r="F6" i="88"/>
  <c r="F11" i="88"/>
  <c r="J12" i="3"/>
  <c r="K7" i="3"/>
  <c r="C11" i="92"/>
  <c r="N11" i="92" s="1"/>
  <c r="M14" i="22"/>
  <c r="M18" i="22" s="1"/>
  <c r="K13" i="86"/>
  <c r="H77" i="90"/>
  <c r="H81" i="90"/>
  <c r="BJ145" i="5"/>
  <c r="C81" i="92"/>
  <c r="Q81" i="92"/>
  <c r="BF148" i="5"/>
  <c r="K7" i="86"/>
  <c r="J3" i="90"/>
  <c r="K72" i="90"/>
  <c r="H72" i="90" s="1"/>
  <c r="K70" i="90"/>
  <c r="F11" i="92"/>
  <c r="M22" i="86"/>
  <c r="E62" i="86" s="1"/>
  <c r="D52" i="87" s="1"/>
  <c r="F17" i="88"/>
  <c r="L20" i="86"/>
  <c r="G10" i="86"/>
  <c r="O10" i="86" s="1"/>
  <c r="M23" i="86"/>
  <c r="E63" i="86" s="1"/>
  <c r="J83" i="86" s="1"/>
  <c r="H83" i="86" s="1"/>
  <c r="F23" i="88"/>
  <c r="L22" i="86"/>
  <c r="M21" i="86"/>
  <c r="E61" i="86" s="1"/>
  <c r="F4" i="88"/>
  <c r="M20" i="86"/>
  <c r="G5" i="86"/>
  <c r="E18" i="86"/>
  <c r="G18" i="86" s="1"/>
  <c r="O18" i="86" s="1"/>
  <c r="L21" i="86"/>
  <c r="G11" i="86"/>
  <c r="E54" i="86" s="1"/>
  <c r="D50" i="87" s="1"/>
  <c r="F8" i="88"/>
  <c r="F21" i="88"/>
  <c r="F19" i="86"/>
  <c r="G19" i="86" s="1"/>
  <c r="O19" i="86" s="1"/>
  <c r="L19" i="86"/>
  <c r="F3" i="86"/>
  <c r="F20" i="88"/>
  <c r="K6" i="86"/>
  <c r="S16" i="88"/>
  <c r="E16" i="92"/>
  <c r="E10" i="92" s="1"/>
  <c r="F10" i="88"/>
  <c r="F18" i="88"/>
  <c r="F30" i="88"/>
  <c r="F34" i="88"/>
  <c r="F22" i="88"/>
  <c r="E20" i="86"/>
  <c r="G20" i="86" s="1"/>
  <c r="O20" i="86" s="1"/>
  <c r="E11" i="92"/>
  <c r="G31" i="86"/>
  <c r="F14" i="88"/>
  <c r="F19" i="88"/>
  <c r="F28" i="86"/>
  <c r="F17" i="86"/>
  <c r="L18" i="86"/>
  <c r="K9" i="86"/>
  <c r="G30" i="86"/>
  <c r="F12" i="88"/>
  <c r="F16" i="92"/>
  <c r="F22" i="92" s="1"/>
  <c r="Y10" i="92" s="1"/>
  <c r="L17" i="86"/>
  <c r="J73" i="86"/>
  <c r="F21" i="86"/>
  <c r="F23" i="86"/>
  <c r="F7" i="88"/>
  <c r="B13" i="92"/>
  <c r="H13" i="92" s="1"/>
  <c r="K13" i="92" s="1"/>
  <c r="G8" i="86"/>
  <c r="F5" i="88"/>
  <c r="O6" i="86"/>
  <c r="G14" i="86"/>
  <c r="F31" i="88"/>
  <c r="E23" i="86"/>
  <c r="S3" i="88"/>
  <c r="G12" i="86"/>
  <c r="E22" i="86"/>
  <c r="G22" i="86" s="1"/>
  <c r="O22" i="86" s="1"/>
  <c r="R4" i="86"/>
  <c r="E3" i="86"/>
  <c r="F9" i="88"/>
  <c r="F13" i="88"/>
  <c r="H78" i="90"/>
  <c r="G78" i="90"/>
  <c r="BF150" i="5"/>
  <c r="N3" i="90"/>
  <c r="K73" i="90"/>
  <c r="G76" i="90"/>
  <c r="H76" i="90"/>
  <c r="G79" i="90"/>
  <c r="H79" i="90"/>
  <c r="H80" i="90"/>
  <c r="G80" i="90"/>
  <c r="BH148" i="5"/>
  <c r="H71" i="90"/>
  <c r="G71" i="90"/>
  <c r="E37" i="88"/>
  <c r="L20" i="88" s="1"/>
  <c r="L16" i="22"/>
  <c r="BH150" i="5"/>
  <c r="BG148" i="5"/>
  <c r="O14" i="22"/>
  <c r="O18" i="22" s="1"/>
  <c r="BI150" i="5"/>
  <c r="Q14" i="22"/>
  <c r="C6" i="22" s="1"/>
  <c r="C8" i="22" s="1"/>
  <c r="P21" i="22"/>
  <c r="T16" i="22"/>
  <c r="Q15" i="22"/>
  <c r="P15" i="22"/>
  <c r="BJ143" i="5"/>
  <c r="BJ150" i="5" s="1"/>
  <c r="AX148" i="5"/>
  <c r="D14" i="22"/>
  <c r="D18" i="22" s="1"/>
  <c r="AM33" i="35"/>
  <c r="AM34" i="35" s="1"/>
  <c r="AS33" i="35"/>
  <c r="AS34" i="35" s="1"/>
  <c r="I14" i="22"/>
  <c r="I16" i="22" s="1"/>
  <c r="BC150" i="5"/>
  <c r="AU33" i="35"/>
  <c r="AU34" i="35" s="1"/>
  <c r="G16" i="22"/>
  <c r="AO33" i="35"/>
  <c r="AO34" i="35" s="1"/>
  <c r="AJ33" i="35"/>
  <c r="AJ34" i="35" s="1"/>
  <c r="AK33" i="35"/>
  <c r="AK34" i="35" s="1"/>
  <c r="W14" i="36"/>
  <c r="AP33" i="35"/>
  <c r="AP34" i="35" s="1"/>
  <c r="AQ33" i="35"/>
  <c r="AQ34" i="35" s="1"/>
  <c r="V14" i="36"/>
  <c r="W46" i="36"/>
  <c r="U46" i="36"/>
  <c r="AR33" i="35"/>
  <c r="AR34" i="35" s="1"/>
  <c r="C46" i="36"/>
  <c r="AW24" i="35"/>
  <c r="AW25" i="35"/>
  <c r="AT33" i="35"/>
  <c r="AT34" i="35" s="1"/>
  <c r="Y14" i="36"/>
  <c r="V46" i="36"/>
  <c r="AB14" i="36"/>
  <c r="C14" i="36"/>
  <c r="Z46" i="36"/>
  <c r="AC14" i="36"/>
  <c r="U14" i="36"/>
  <c r="AL33" i="35"/>
  <c r="AL34" i="35" s="1"/>
  <c r="AD14" i="36"/>
  <c r="AB46" i="36"/>
  <c r="AI32" i="35"/>
  <c r="X46" i="36"/>
  <c r="AE46" i="36"/>
  <c r="AF14" i="36"/>
  <c r="AF46" i="36"/>
  <c r="AD46" i="36"/>
  <c r="AA46" i="36"/>
  <c r="AE14" i="36"/>
  <c r="AN33" i="35"/>
  <c r="AN34" i="35" s="1"/>
  <c r="Y46" i="36"/>
  <c r="AW12" i="35"/>
  <c r="AC46" i="36"/>
  <c r="X14" i="36"/>
  <c r="AW8" i="35"/>
  <c r="AA14" i="36"/>
  <c r="AW10" i="35"/>
  <c r="Z14" i="36"/>
  <c r="E18" i="22"/>
  <c r="E16" i="22"/>
  <c r="J16" i="22"/>
  <c r="J18" i="22"/>
  <c r="AW22" i="35"/>
  <c r="AW19" i="35"/>
  <c r="AW28" i="35"/>
  <c r="AW9" i="35"/>
  <c r="AW5" i="35"/>
  <c r="AI13" i="35"/>
  <c r="AI14" i="35" s="1"/>
  <c r="AW7" i="35"/>
  <c r="N18" i="22"/>
  <c r="N16" i="22"/>
  <c r="F18" i="22"/>
  <c r="F16" i="22"/>
  <c r="AW6" i="35"/>
  <c r="AW30" i="35"/>
  <c r="AW20" i="35"/>
  <c r="AW11" i="35"/>
  <c r="AW27" i="35"/>
  <c r="AW26" i="35"/>
  <c r="AW21" i="35"/>
  <c r="AW29" i="35"/>
  <c r="AW23" i="35"/>
  <c r="AI31" i="35"/>
  <c r="N51" i="155" l="1"/>
  <c r="N50" i="155" s="1"/>
  <c r="B10" i="92"/>
  <c r="T6" i="92"/>
  <c r="T5" i="92"/>
  <c r="X10" i="155"/>
  <c r="O10" i="155"/>
  <c r="L10" i="155"/>
  <c r="C84" i="155"/>
  <c r="F84" i="155" s="1"/>
  <c r="C96" i="155"/>
  <c r="L84" i="155" s="1"/>
  <c r="F50" i="92"/>
  <c r="J82" i="86"/>
  <c r="H82" i="86" s="1"/>
  <c r="E60" i="86"/>
  <c r="B22" i="92"/>
  <c r="T10" i="92" s="1"/>
  <c r="U19" i="92"/>
  <c r="V11" i="92"/>
  <c r="U17" i="92"/>
  <c r="F28" i="92"/>
  <c r="V13" i="92"/>
  <c r="B28" i="92"/>
  <c r="U10" i="92"/>
  <c r="P48" i="92"/>
  <c r="C10" i="92"/>
  <c r="H11" i="92"/>
  <c r="K11" i="92" s="1"/>
  <c r="B48" i="92"/>
  <c r="M18" i="86"/>
  <c r="E58" i="86" s="1"/>
  <c r="O30" i="86"/>
  <c r="M19" i="86"/>
  <c r="E59" i="86" s="1"/>
  <c r="O31" i="86"/>
  <c r="I13" i="92"/>
  <c r="Q48" i="92"/>
  <c r="Q13" i="92"/>
  <c r="C48" i="92"/>
  <c r="L48" i="92" s="1"/>
  <c r="F10" i="92"/>
  <c r="I10" i="92" s="1"/>
  <c r="K12" i="3"/>
  <c r="M7" i="3"/>
  <c r="K11" i="86"/>
  <c r="M16" i="22"/>
  <c r="G72" i="90"/>
  <c r="I11" i="92"/>
  <c r="L81" i="92"/>
  <c r="F81" i="92"/>
  <c r="K81" i="92" s="1"/>
  <c r="H4" i="139" s="1"/>
  <c r="I4" i="139" s="1"/>
  <c r="D16" i="22"/>
  <c r="F16" i="86"/>
  <c r="F25" i="86" s="1"/>
  <c r="F26" i="86" s="1" a="1"/>
  <c r="K10" i="86"/>
  <c r="O11" i="86"/>
  <c r="H70" i="90"/>
  <c r="G70" i="90"/>
  <c r="J74" i="86"/>
  <c r="F3" i="88"/>
  <c r="J81" i="86"/>
  <c r="H81" i="86" s="1"/>
  <c r="F28" i="88"/>
  <c r="D43" i="88" s="1"/>
  <c r="L16" i="86"/>
  <c r="E56" i="86" s="1"/>
  <c r="O5" i="86"/>
  <c r="K5" i="86"/>
  <c r="E52" i="86"/>
  <c r="D48" i="87" s="1"/>
  <c r="D42" i="86"/>
  <c r="F16" i="88"/>
  <c r="G21" i="86"/>
  <c r="O21" i="86" s="1"/>
  <c r="S25" i="88"/>
  <c r="S26" i="88" s="1" a="1"/>
  <c r="K8" i="86"/>
  <c r="E55" i="86"/>
  <c r="D51" i="87" s="1"/>
  <c r="O8" i="86"/>
  <c r="F38" i="86"/>
  <c r="D43" i="86"/>
  <c r="O4" i="86"/>
  <c r="G3" i="86"/>
  <c r="O3" i="86" s="1"/>
  <c r="E22" i="92"/>
  <c r="X10" i="92" s="1"/>
  <c r="G83" i="86"/>
  <c r="O12" i="86"/>
  <c r="K12" i="86"/>
  <c r="G73" i="86"/>
  <c r="H73" i="86"/>
  <c r="G23" i="86"/>
  <c r="O23" i="86" s="1"/>
  <c r="K14" i="86"/>
  <c r="O14" i="86"/>
  <c r="L23" i="88"/>
  <c r="G73" i="90"/>
  <c r="H73" i="90"/>
  <c r="O16" i="22"/>
  <c r="L17" i="88"/>
  <c r="G37" i="88"/>
  <c r="H37" i="88" s="1"/>
  <c r="L22" i="88"/>
  <c r="L18" i="88"/>
  <c r="L21" i="88"/>
  <c r="L19" i="88"/>
  <c r="Q16" i="22"/>
  <c r="Q18" i="22"/>
  <c r="C7" i="22" s="1"/>
  <c r="BJ148" i="5"/>
  <c r="P14" i="22"/>
  <c r="P18" i="22" s="1"/>
  <c r="I18" i="22"/>
  <c r="AW32" i="35"/>
  <c r="AF12" i="35"/>
  <c r="AF6" i="35"/>
  <c r="AF7" i="35"/>
  <c r="AF10" i="35"/>
  <c r="AF5" i="35"/>
  <c r="AF9" i="35"/>
  <c r="AF11" i="35"/>
  <c r="AW31" i="35"/>
  <c r="AI33" i="35"/>
  <c r="AI34" i="35" s="1"/>
  <c r="AF8" i="35"/>
  <c r="H10" i="92" l="1"/>
  <c r="K10" i="92" s="1"/>
  <c r="G82" i="86"/>
  <c r="R10" i="155"/>
  <c r="R9" i="155" s="1"/>
  <c r="Q84" i="155"/>
  <c r="K84" i="155"/>
  <c r="N84" i="155" s="1"/>
  <c r="H84" i="155"/>
  <c r="U16" i="92"/>
  <c r="BA25" i="35"/>
  <c r="BB25" i="35" s="1"/>
  <c r="J80" i="86"/>
  <c r="H80" i="86" s="1"/>
  <c r="D54" i="87"/>
  <c r="D58" i="87"/>
  <c r="AD9" i="92"/>
  <c r="D55" i="87"/>
  <c r="V10" i="92"/>
  <c r="Q11" i="92"/>
  <c r="W11" i="92" s="1"/>
  <c r="K17" i="92"/>
  <c r="N19" i="92"/>
  <c r="N18" i="92"/>
  <c r="K19" i="92"/>
  <c r="K18" i="92"/>
  <c r="N17" i="92"/>
  <c r="J78" i="86"/>
  <c r="G78" i="86" s="1"/>
  <c r="N10" i="92"/>
  <c r="T18" i="92"/>
  <c r="V18" i="92" s="1"/>
  <c r="Q18" i="92" s="1"/>
  <c r="E28" i="92"/>
  <c r="T17" i="92"/>
  <c r="T19" i="92"/>
  <c r="V19" i="92" s="1"/>
  <c r="Q19" i="92" s="1"/>
  <c r="W13" i="92"/>
  <c r="J79" i="86"/>
  <c r="H79" i="86" s="1"/>
  <c r="F48" i="92"/>
  <c r="K48" i="92" s="1"/>
  <c r="H4" i="90" s="1"/>
  <c r="I4" i="90" s="1"/>
  <c r="BA24" i="35"/>
  <c r="BB24" i="35" s="1"/>
  <c r="E48" i="86"/>
  <c r="H81" i="92"/>
  <c r="L10" i="92"/>
  <c r="H4" i="88" s="1"/>
  <c r="J76" i="86"/>
  <c r="G76" i="86" s="1"/>
  <c r="G81" i="86"/>
  <c r="F25" i="88"/>
  <c r="E48" i="88" s="1"/>
  <c r="E68" i="88" s="1"/>
  <c r="O10" i="92"/>
  <c r="I4" i="88" s="1"/>
  <c r="J72" i="86"/>
  <c r="K3" i="86"/>
  <c r="G74" i="86"/>
  <c r="H74" i="86"/>
  <c r="J75" i="86"/>
  <c r="L16" i="88"/>
  <c r="E56" i="88" s="1"/>
  <c r="D45" i="89" s="1"/>
  <c r="BA30" i="35"/>
  <c r="BB30" i="35" s="1"/>
  <c r="BA27" i="35"/>
  <c r="BB27" i="35" s="1"/>
  <c r="BA29" i="35"/>
  <c r="BB29" i="35" s="1"/>
  <c r="P16" i="22"/>
  <c r="BA20" i="35"/>
  <c r="BB20" i="35" s="1"/>
  <c r="BA28" i="35"/>
  <c r="BC28" i="35" s="1"/>
  <c r="AF28" i="35" s="1"/>
  <c r="BA21" i="35"/>
  <c r="BB21" i="35" s="1"/>
  <c r="BA32" i="35"/>
  <c r="BC32" i="35" s="1"/>
  <c r="AF32" i="35" s="1"/>
  <c r="BA23" i="35"/>
  <c r="BB23" i="35" s="1"/>
  <c r="B7" i="35"/>
  <c r="B5" i="35"/>
  <c r="V12" i="35"/>
  <c r="R11" i="35"/>
  <c r="T10" i="35"/>
  <c r="V8" i="35"/>
  <c r="R12" i="35"/>
  <c r="U10" i="35"/>
  <c r="B12" i="35"/>
  <c r="AA7" i="35"/>
  <c r="W8" i="35"/>
  <c r="X7" i="35"/>
  <c r="V9" i="35"/>
  <c r="S6" i="35"/>
  <c r="AA10" i="35"/>
  <c r="Z7" i="35"/>
  <c r="W11" i="35"/>
  <c r="AC5" i="35"/>
  <c r="X5" i="35"/>
  <c r="S9" i="35"/>
  <c r="W12" i="35"/>
  <c r="X12" i="35"/>
  <c r="V7" i="35"/>
  <c r="R7" i="35"/>
  <c r="AA11" i="35"/>
  <c r="R8" i="35"/>
  <c r="U11" i="35"/>
  <c r="AC12" i="35"/>
  <c r="S5" i="35"/>
  <c r="AC8" i="35"/>
  <c r="AA5" i="35"/>
  <c r="T11" i="35"/>
  <c r="S12" i="35"/>
  <c r="AA8" i="35"/>
  <c r="Z5" i="35"/>
  <c r="S10" i="35"/>
  <c r="W6" i="35"/>
  <c r="AC9" i="35"/>
  <c r="Y8" i="35"/>
  <c r="B8" i="35"/>
  <c r="X6" i="35"/>
  <c r="Y9" i="35"/>
  <c r="AB7" i="35"/>
  <c r="Z9" i="35"/>
  <c r="AC6" i="35"/>
  <c r="R5" i="35"/>
  <c r="T8" i="35"/>
  <c r="Y7" i="35"/>
  <c r="V6" i="35"/>
  <c r="Y12" i="35"/>
  <c r="T9" i="35"/>
  <c r="AB9" i="35"/>
  <c r="Z12" i="35"/>
  <c r="T12" i="35"/>
  <c r="U12" i="35"/>
  <c r="U7" i="35"/>
  <c r="AB5" i="35"/>
  <c r="Y6" i="35"/>
  <c r="X8" i="35"/>
  <c r="V11" i="35"/>
  <c r="W10" i="35"/>
  <c r="R6" i="35"/>
  <c r="B11" i="35"/>
  <c r="T7" i="35"/>
  <c r="X9" i="35"/>
  <c r="AB6" i="35"/>
  <c r="B10" i="35"/>
  <c r="AC10" i="35"/>
  <c r="B6" i="35"/>
  <c r="AB11" i="35"/>
  <c r="Y10" i="35"/>
  <c r="Z10" i="35"/>
  <c r="AB8" i="35"/>
  <c r="T6" i="35"/>
  <c r="AB12" i="35"/>
  <c r="U8" i="35"/>
  <c r="Z11" i="35"/>
  <c r="W5" i="35"/>
  <c r="Z8" i="35"/>
  <c r="X10" i="35"/>
  <c r="W7" i="35"/>
  <c r="S8" i="35"/>
  <c r="Y11" i="35"/>
  <c r="AA9" i="35"/>
  <c r="R10" i="35"/>
  <c r="AC11" i="35"/>
  <c r="R9" i="35"/>
  <c r="B9" i="35"/>
  <c r="S7" i="35"/>
  <c r="S11" i="35"/>
  <c r="V10" i="35"/>
  <c r="Y5" i="35"/>
  <c r="Z6" i="35"/>
  <c r="V5" i="35"/>
  <c r="X11" i="35"/>
  <c r="W9" i="35"/>
  <c r="AA12" i="35"/>
  <c r="U9" i="35"/>
  <c r="AC7" i="35"/>
  <c r="AA6" i="35"/>
  <c r="U5" i="35"/>
  <c r="AB10" i="35"/>
  <c r="T5" i="35"/>
  <c r="U6" i="35"/>
  <c r="BA26" i="35"/>
  <c r="BA22" i="35"/>
  <c r="BA31" i="35"/>
  <c r="BA19" i="35"/>
  <c r="J3" i="86" l="1"/>
  <c r="H4" i="86"/>
  <c r="I4" i="86" s="1"/>
  <c r="I3" i="86" s="1"/>
  <c r="N83" i="155"/>
  <c r="G80" i="86"/>
  <c r="E68" i="86"/>
  <c r="F48" i="86"/>
  <c r="X19" i="92"/>
  <c r="H78" i="86"/>
  <c r="X18" i="92"/>
  <c r="N16" i="92"/>
  <c r="Q10" i="92"/>
  <c r="Q9" i="92" s="1"/>
  <c r="K16" i="92"/>
  <c r="G79" i="86"/>
  <c r="T16" i="92"/>
  <c r="V16" i="92" s="1"/>
  <c r="Q16" i="92" s="1"/>
  <c r="V17" i="92"/>
  <c r="Q17" i="92" s="1"/>
  <c r="X17" i="92" s="1"/>
  <c r="H3" i="90"/>
  <c r="E49" i="90"/>
  <c r="K68" i="90" s="1"/>
  <c r="N48" i="92"/>
  <c r="N47" i="92" s="1"/>
  <c r="I3" i="88"/>
  <c r="H3" i="86"/>
  <c r="E49" i="86"/>
  <c r="N81" i="92"/>
  <c r="N80" i="92" s="1"/>
  <c r="E50" i="88"/>
  <c r="J70" i="88" s="1"/>
  <c r="G70" i="88" s="1"/>
  <c r="R10" i="92"/>
  <c r="R9" i="92" s="1"/>
  <c r="H76" i="86"/>
  <c r="J76" i="88"/>
  <c r="G76" i="88" s="1"/>
  <c r="E50" i="90"/>
  <c r="K69" i="90" s="1"/>
  <c r="I3" i="90"/>
  <c r="I1" i="90"/>
  <c r="H72" i="86"/>
  <c r="G72" i="86"/>
  <c r="H75" i="86"/>
  <c r="G75" i="86"/>
  <c r="E51" i="86"/>
  <c r="J71" i="86" s="1"/>
  <c r="E49" i="88"/>
  <c r="H3" i="88"/>
  <c r="BB28" i="35"/>
  <c r="BC21" i="35"/>
  <c r="AF21" i="35" s="1"/>
  <c r="BB32" i="35"/>
  <c r="BC23" i="35"/>
  <c r="AF23" i="35" s="1"/>
  <c r="BC20" i="35"/>
  <c r="AF20" i="35" s="1"/>
  <c r="AC13" i="35"/>
  <c r="P8" i="35"/>
  <c r="D9" i="35"/>
  <c r="K9" i="35"/>
  <c r="J9" i="35"/>
  <c r="G9" i="35"/>
  <c r="F9" i="35"/>
  <c r="E9" i="35"/>
  <c r="L9" i="35"/>
  <c r="N9" i="35"/>
  <c r="C9" i="35"/>
  <c r="I9" i="35"/>
  <c r="H9" i="35"/>
  <c r="M9" i="35"/>
  <c r="T13" i="35"/>
  <c r="P9" i="35"/>
  <c r="P12" i="35"/>
  <c r="K12" i="35"/>
  <c r="N12" i="35"/>
  <c r="G12" i="35"/>
  <c r="F12" i="35"/>
  <c r="C12" i="35"/>
  <c r="M12" i="35"/>
  <c r="H12" i="35"/>
  <c r="L12" i="35"/>
  <c r="J12" i="35"/>
  <c r="E12" i="35"/>
  <c r="D12" i="35"/>
  <c r="I12" i="35"/>
  <c r="N6" i="35"/>
  <c r="H6" i="35"/>
  <c r="M6" i="35"/>
  <c r="G6" i="35"/>
  <c r="E6" i="35"/>
  <c r="D6" i="35"/>
  <c r="J6" i="35"/>
  <c r="C6" i="35"/>
  <c r="F6" i="35"/>
  <c r="L6" i="35"/>
  <c r="K6" i="35"/>
  <c r="I6" i="35"/>
  <c r="BB31" i="35"/>
  <c r="BC31" i="35"/>
  <c r="AF31" i="35" s="1"/>
  <c r="P11" i="35"/>
  <c r="AB13" i="35"/>
  <c r="P7" i="35"/>
  <c r="BC19" i="35"/>
  <c r="AF19" i="35" s="1"/>
  <c r="BB19" i="35"/>
  <c r="U13" i="35"/>
  <c r="P10" i="35"/>
  <c r="BB22" i="35"/>
  <c r="BC22" i="35"/>
  <c r="AF22" i="35" s="1"/>
  <c r="J10" i="35"/>
  <c r="I10" i="35"/>
  <c r="E10" i="35"/>
  <c r="L10" i="35"/>
  <c r="H10" i="35"/>
  <c r="G10" i="35"/>
  <c r="C10" i="35"/>
  <c r="D10" i="35"/>
  <c r="N10" i="35"/>
  <c r="F10" i="35"/>
  <c r="M10" i="35"/>
  <c r="K10" i="35"/>
  <c r="Z13" i="35"/>
  <c r="X13" i="35"/>
  <c r="D5" i="35"/>
  <c r="C5" i="35"/>
  <c r="G5" i="35"/>
  <c r="H5" i="35"/>
  <c r="F5" i="35"/>
  <c r="E5" i="35"/>
  <c r="N5" i="35"/>
  <c r="M5" i="35"/>
  <c r="K5" i="35"/>
  <c r="I5" i="35"/>
  <c r="L5" i="35"/>
  <c r="J5" i="35"/>
  <c r="N7" i="35"/>
  <c r="M7" i="35"/>
  <c r="E7" i="35"/>
  <c r="D7" i="35"/>
  <c r="H7" i="35"/>
  <c r="C7" i="35"/>
  <c r="G7" i="35"/>
  <c r="I7" i="35"/>
  <c r="J7" i="35"/>
  <c r="F7" i="35"/>
  <c r="L7" i="35"/>
  <c r="K7" i="35"/>
  <c r="L8" i="35"/>
  <c r="J8" i="35"/>
  <c r="N8" i="35"/>
  <c r="I8" i="35"/>
  <c r="G8" i="35"/>
  <c r="D8" i="35"/>
  <c r="H8" i="35"/>
  <c r="E8" i="35"/>
  <c r="K8" i="35"/>
  <c r="C8" i="35"/>
  <c r="F8" i="35"/>
  <c r="M8" i="35"/>
  <c r="D11" i="35"/>
  <c r="L11" i="35"/>
  <c r="I11" i="35"/>
  <c r="H11" i="35"/>
  <c r="C11" i="35"/>
  <c r="G11" i="35"/>
  <c r="N11" i="35"/>
  <c r="M11" i="35"/>
  <c r="J11" i="35"/>
  <c r="F11" i="35"/>
  <c r="K11" i="35"/>
  <c r="E11" i="35"/>
  <c r="AA13" i="35"/>
  <c r="V13" i="35"/>
  <c r="W13" i="35"/>
  <c r="P6" i="35"/>
  <c r="R13" i="35"/>
  <c r="P5" i="35"/>
  <c r="S13" i="35"/>
  <c r="BB26" i="35"/>
  <c r="BC30" i="35" s="1"/>
  <c r="AF30" i="35" s="1"/>
  <c r="BC26" i="35"/>
  <c r="AF26" i="35" s="1"/>
  <c r="Y13" i="35"/>
  <c r="S4" i="86" l="1"/>
  <c r="W10" i="92"/>
  <c r="J69" i="86"/>
  <c r="G69" i="86" s="1"/>
  <c r="X16" i="92"/>
  <c r="D52" i="91"/>
  <c r="E50" i="86"/>
  <c r="T4" i="86"/>
  <c r="H70" i="88"/>
  <c r="H3" i="139"/>
  <c r="E49" i="139"/>
  <c r="H76" i="88"/>
  <c r="D46" i="91"/>
  <c r="H68" i="90"/>
  <c r="G68" i="90"/>
  <c r="G69" i="90"/>
  <c r="H69" i="90"/>
  <c r="J69" i="88"/>
  <c r="G71" i="86"/>
  <c r="H71" i="86"/>
  <c r="BC27" i="35"/>
  <c r="AF27" i="35" s="1"/>
  <c r="BC25" i="35"/>
  <c r="AF25" i="35" s="1"/>
  <c r="BC24" i="35"/>
  <c r="AF24" i="35" s="1"/>
  <c r="BC29" i="35"/>
  <c r="AF29" i="35" s="1"/>
  <c r="B20" i="35"/>
  <c r="B19" i="35"/>
  <c r="B21" i="35"/>
  <c r="O6" i="35"/>
  <c r="P13" i="35"/>
  <c r="Q12" i="35" s="1"/>
  <c r="N13" i="35"/>
  <c r="O12" i="35"/>
  <c r="J13" i="35"/>
  <c r="L13" i="35"/>
  <c r="O11" i="35"/>
  <c r="K13" i="35"/>
  <c r="M13" i="35"/>
  <c r="O7" i="35"/>
  <c r="G13" i="35"/>
  <c r="O10" i="35"/>
  <c r="E13" i="35"/>
  <c r="H13" i="35"/>
  <c r="C13" i="35"/>
  <c r="O5" i="35"/>
  <c r="D13" i="35"/>
  <c r="O9" i="35"/>
  <c r="I13" i="35"/>
  <c r="F13" i="35"/>
  <c r="O8" i="35"/>
  <c r="H69" i="86" l="1"/>
  <c r="F69" i="86" s="1"/>
  <c r="D57" i="87"/>
  <c r="D56" i="87"/>
  <c r="J70" i="86"/>
  <c r="G70" i="86" s="1"/>
  <c r="B25" i="35"/>
  <c r="F25" i="35" s="1"/>
  <c r="K68" i="139"/>
  <c r="G69" i="88"/>
  <c r="H69" i="88"/>
  <c r="F69" i="88" s="1"/>
  <c r="B24" i="35"/>
  <c r="M24" i="35" s="1"/>
  <c r="AD21" i="35"/>
  <c r="B26" i="35"/>
  <c r="M26" i="35" s="1"/>
  <c r="S19" i="35"/>
  <c r="Z22" i="35"/>
  <c r="X26" i="35"/>
  <c r="X24" i="35"/>
  <c r="Z24" i="35"/>
  <c r="B23" i="35"/>
  <c r="C23" i="35" s="1"/>
  <c r="AA22" i="35"/>
  <c r="AC22" i="35"/>
  <c r="Y23" i="35"/>
  <c r="AA32" i="35"/>
  <c r="S22" i="35"/>
  <c r="T27" i="35"/>
  <c r="P31" i="35"/>
  <c r="B22" i="35"/>
  <c r="J22" i="35" s="1"/>
  <c r="S20" i="35"/>
  <c r="Z26" i="35"/>
  <c r="U23" i="35"/>
  <c r="T21" i="35"/>
  <c r="V23" i="35"/>
  <c r="AC26" i="35"/>
  <c r="AA26" i="35"/>
  <c r="AB21" i="35"/>
  <c r="AC25" i="35"/>
  <c r="Y32" i="35"/>
  <c r="AB28" i="35"/>
  <c r="U29" i="35"/>
  <c r="V29" i="35"/>
  <c r="AC20" i="35"/>
  <c r="Z27" i="35"/>
  <c r="U24" i="35"/>
  <c r="P25" i="35"/>
  <c r="T31" i="35"/>
  <c r="U26" i="35"/>
  <c r="S21" i="35"/>
  <c r="W25" i="35"/>
  <c r="Y31" i="35"/>
  <c r="S26" i="35"/>
  <c r="U19" i="35"/>
  <c r="U21" i="35"/>
  <c r="W31" i="35"/>
  <c r="P32" i="35"/>
  <c r="V26" i="35"/>
  <c r="V31" i="35"/>
  <c r="V28" i="35"/>
  <c r="S32" i="35"/>
  <c r="AB19" i="35"/>
  <c r="P27" i="35"/>
  <c r="X31" i="35"/>
  <c r="T19" i="35"/>
  <c r="AD20" i="35"/>
  <c r="AA29" i="35"/>
  <c r="B31" i="35"/>
  <c r="M31" i="35" s="1"/>
  <c r="AD31" i="35"/>
  <c r="W19" i="35"/>
  <c r="AC28" i="35"/>
  <c r="V30" i="35"/>
  <c r="AC30" i="35"/>
  <c r="AA31" i="35"/>
  <c r="Z21" i="35"/>
  <c r="V19" i="35"/>
  <c r="V25" i="35"/>
  <c r="AC32" i="35"/>
  <c r="W32" i="35"/>
  <c r="V32" i="35"/>
  <c r="AA28" i="35"/>
  <c r="AA30" i="35"/>
  <c r="AC24" i="35"/>
  <c r="W28" i="35"/>
  <c r="T30" i="35"/>
  <c r="S31" i="35"/>
  <c r="AD27" i="35"/>
  <c r="U22" i="35"/>
  <c r="AB20" i="35"/>
  <c r="Y19" i="35"/>
  <c r="AA23" i="35"/>
  <c r="AB30" i="35"/>
  <c r="W23" i="35"/>
  <c r="Z28" i="35"/>
  <c r="P29" i="35"/>
  <c r="P21" i="35"/>
  <c r="T22" i="35"/>
  <c r="B27" i="35"/>
  <c r="G27" i="35" s="1"/>
  <c r="AA19" i="35"/>
  <c r="P23" i="35"/>
  <c r="AB25" i="35"/>
  <c r="Y27" i="35"/>
  <c r="U25" i="35"/>
  <c r="AA25" i="35"/>
  <c r="AA27" i="35"/>
  <c r="U27" i="35"/>
  <c r="AA21" i="35"/>
  <c r="AD30" i="35"/>
  <c r="X28" i="35"/>
  <c r="AA24" i="35"/>
  <c r="V22" i="35"/>
  <c r="S29" i="35"/>
  <c r="X32" i="35"/>
  <c r="W20" i="35"/>
  <c r="X29" i="35"/>
  <c r="Z23" i="35"/>
  <c r="AC29" i="35"/>
  <c r="Y25" i="35"/>
  <c r="B30" i="35"/>
  <c r="I30" i="35" s="1"/>
  <c r="AC21" i="35"/>
  <c r="AD25" i="35"/>
  <c r="X30" i="35"/>
  <c r="V27" i="35"/>
  <c r="S24" i="35"/>
  <c r="B28" i="35"/>
  <c r="D28" i="35" s="1"/>
  <c r="Y29" i="35"/>
  <c r="W26" i="35"/>
  <c r="P22" i="35"/>
  <c r="AC23" i="35"/>
  <c r="U30" i="35"/>
  <c r="AD26" i="35"/>
  <c r="T25" i="35"/>
  <c r="S28" i="35"/>
  <c r="S27" i="35"/>
  <c r="X25" i="35"/>
  <c r="U32" i="35"/>
  <c r="Z20" i="35"/>
  <c r="AC27" i="35"/>
  <c r="T28" i="35"/>
  <c r="V21" i="35"/>
  <c r="AB23" i="35"/>
  <c r="P28" i="35"/>
  <c r="W21" i="35"/>
  <c r="Z30" i="35"/>
  <c r="Z31" i="35"/>
  <c r="Z25" i="35"/>
  <c r="T26" i="35"/>
  <c r="P20" i="35"/>
  <c r="X21" i="35"/>
  <c r="P30" i="35"/>
  <c r="T20" i="35"/>
  <c r="AC19" i="35"/>
  <c r="Y28" i="35"/>
  <c r="W29" i="35"/>
  <c r="W30" i="35"/>
  <c r="AB24" i="35"/>
  <c r="W22" i="35"/>
  <c r="U28" i="35"/>
  <c r="AC31" i="35"/>
  <c r="V20" i="35"/>
  <c r="X23" i="35"/>
  <c r="V24" i="35"/>
  <c r="Z29" i="35"/>
  <c r="P26" i="35"/>
  <c r="S30" i="35"/>
  <c r="P19" i="35"/>
  <c r="T32" i="35"/>
  <c r="S23" i="35"/>
  <c r="X27" i="35"/>
  <c r="Y30" i="35"/>
  <c r="Y21" i="35"/>
  <c r="AD24" i="35"/>
  <c r="AB32" i="35"/>
  <c r="AD23" i="35"/>
  <c r="AD32" i="35"/>
  <c r="AD22" i="35"/>
  <c r="AB27" i="35"/>
  <c r="T23" i="35"/>
  <c r="U20" i="35"/>
  <c r="AB26" i="35"/>
  <c r="T29" i="35"/>
  <c r="B29" i="35"/>
  <c r="L29" i="35" s="1"/>
  <c r="X20" i="35"/>
  <c r="AD19" i="35"/>
  <c r="Y24" i="35"/>
  <c r="AA20" i="35"/>
  <c r="Z32" i="35"/>
  <c r="Y20" i="35"/>
  <c r="AB31" i="35"/>
  <c r="AB29" i="35"/>
  <c r="X19" i="35"/>
  <c r="Y26" i="35"/>
  <c r="AD28" i="35"/>
  <c r="Y22" i="35"/>
  <c r="U31" i="35"/>
  <c r="B32" i="35"/>
  <c r="L32" i="35" s="1"/>
  <c r="W24" i="35"/>
  <c r="X22" i="35"/>
  <c r="W27" i="35"/>
  <c r="AB22" i="35"/>
  <c r="Z19" i="35"/>
  <c r="S25" i="35"/>
  <c r="T24" i="35"/>
  <c r="P24" i="35"/>
  <c r="AD29" i="35"/>
  <c r="Q6" i="35"/>
  <c r="Q7" i="35"/>
  <c r="Q11" i="35"/>
  <c r="Q10" i="35"/>
  <c r="Q13" i="35"/>
  <c r="P14" i="35"/>
  <c r="Q8" i="35"/>
  <c r="Q9" i="35"/>
  <c r="O13" i="35"/>
  <c r="O14" i="35" s="1"/>
  <c r="Q5" i="35"/>
  <c r="F21" i="35"/>
  <c r="I21" i="35"/>
  <c r="C21" i="35"/>
  <c r="G21" i="35"/>
  <c r="E21" i="35"/>
  <c r="K21" i="35"/>
  <c r="L21" i="35"/>
  <c r="H21" i="35"/>
  <c r="M21" i="35"/>
  <c r="D21" i="35"/>
  <c r="J21" i="35"/>
  <c r="N21" i="35"/>
  <c r="M19" i="35"/>
  <c r="I19" i="35"/>
  <c r="L19" i="35"/>
  <c r="E19" i="35"/>
  <c r="H19" i="35"/>
  <c r="K19" i="35"/>
  <c r="G19" i="35"/>
  <c r="C19" i="35"/>
  <c r="N19" i="35"/>
  <c r="F19" i="35"/>
  <c r="J19" i="35"/>
  <c r="D19" i="35"/>
  <c r="F20" i="35"/>
  <c r="D20" i="35"/>
  <c r="G20" i="35"/>
  <c r="J20" i="35"/>
  <c r="L20" i="35"/>
  <c r="N20" i="35"/>
  <c r="M20" i="35"/>
  <c r="C20" i="35"/>
  <c r="I20" i="35"/>
  <c r="H20" i="35"/>
  <c r="K20" i="35"/>
  <c r="E20" i="35"/>
  <c r="D53" i="87" l="1"/>
  <c r="C25" i="35"/>
  <c r="M25" i="35"/>
  <c r="E25" i="35"/>
  <c r="G25" i="35"/>
  <c r="D25" i="35"/>
  <c r="H70" i="86"/>
  <c r="F70" i="86" s="1"/>
  <c r="F71" i="86" s="1"/>
  <c r="F72" i="86" s="1"/>
  <c r="F73" i="86" s="1"/>
  <c r="F74" i="86" s="1"/>
  <c r="F75" i="86" s="1"/>
  <c r="F76" i="86" s="1"/>
  <c r="N25" i="35"/>
  <c r="H25" i="35"/>
  <c r="K25" i="35"/>
  <c r="J25" i="35"/>
  <c r="I25" i="35"/>
  <c r="L25" i="35"/>
  <c r="G68" i="139"/>
  <c r="H68" i="139"/>
  <c r="I24" i="35"/>
  <c r="E24" i="35"/>
  <c r="G24" i="35"/>
  <c r="Q31" i="35"/>
  <c r="R31" i="35" s="1"/>
  <c r="Q28" i="35"/>
  <c r="R28" i="35" s="1"/>
  <c r="Q29" i="35"/>
  <c r="R29" i="35" s="1"/>
  <c r="Q32" i="35"/>
  <c r="R32" i="35" s="1"/>
  <c r="F70" i="88"/>
  <c r="Q30" i="35"/>
  <c r="R30" i="35" s="1"/>
  <c r="H24" i="35"/>
  <c r="C24" i="35"/>
  <c r="L24" i="35"/>
  <c r="D24" i="35"/>
  <c r="J24" i="35"/>
  <c r="K24" i="35"/>
  <c r="F24" i="35"/>
  <c r="N24" i="35"/>
  <c r="J26" i="35"/>
  <c r="F26" i="35"/>
  <c r="C26" i="35"/>
  <c r="I26" i="35"/>
  <c r="L26" i="35"/>
  <c r="G26" i="35"/>
  <c r="G23" i="35"/>
  <c r="N23" i="35"/>
  <c r="J23" i="35"/>
  <c r="N26" i="35"/>
  <c r="K23" i="35"/>
  <c r="I23" i="35"/>
  <c r="E23" i="35"/>
  <c r="H26" i="35"/>
  <c r="E26" i="35"/>
  <c r="K31" i="35"/>
  <c r="D26" i="35"/>
  <c r="N32" i="35"/>
  <c r="K26" i="35"/>
  <c r="D23" i="35"/>
  <c r="M22" i="35"/>
  <c r="F22" i="35"/>
  <c r="M23" i="35"/>
  <c r="H23" i="35"/>
  <c r="L23" i="35"/>
  <c r="G22" i="35"/>
  <c r="C22" i="35"/>
  <c r="F23" i="35"/>
  <c r="E22" i="35"/>
  <c r="I22" i="35"/>
  <c r="N22" i="35"/>
  <c r="H22" i="35"/>
  <c r="L22" i="35"/>
  <c r="D22" i="35"/>
  <c r="K22" i="35"/>
  <c r="H31" i="35"/>
  <c r="N31" i="35"/>
  <c r="F31" i="35"/>
  <c r="I31" i="35"/>
  <c r="E31" i="35"/>
  <c r="D31" i="35"/>
  <c r="L31" i="35"/>
  <c r="J31" i="35"/>
  <c r="G32" i="35"/>
  <c r="E27" i="35"/>
  <c r="F27" i="35"/>
  <c r="J32" i="35"/>
  <c r="N27" i="35"/>
  <c r="G31" i="35"/>
  <c r="I27" i="35"/>
  <c r="D32" i="35"/>
  <c r="F32" i="35"/>
  <c r="K27" i="35"/>
  <c r="H28" i="35"/>
  <c r="E28" i="35"/>
  <c r="C31" i="35"/>
  <c r="C28" i="35"/>
  <c r="I28" i="35"/>
  <c r="G28" i="35"/>
  <c r="U33" i="35"/>
  <c r="AC33" i="35"/>
  <c r="G29" i="35"/>
  <c r="D27" i="35"/>
  <c r="F29" i="35"/>
  <c r="M27" i="35"/>
  <c r="N29" i="35"/>
  <c r="Q26" i="35"/>
  <c r="R26" i="35" s="1"/>
  <c r="V33" i="35"/>
  <c r="E29" i="35"/>
  <c r="D30" i="35"/>
  <c r="M30" i="35"/>
  <c r="M29" i="35"/>
  <c r="H32" i="35"/>
  <c r="C30" i="35"/>
  <c r="J27" i="35"/>
  <c r="S33" i="35"/>
  <c r="L30" i="35"/>
  <c r="Q24" i="35"/>
  <c r="R24" i="35" s="1"/>
  <c r="H29" i="35"/>
  <c r="J30" i="35"/>
  <c r="C29" i="35"/>
  <c r="D29" i="35"/>
  <c r="G30" i="35"/>
  <c r="L27" i="35"/>
  <c r="K30" i="35"/>
  <c r="C27" i="35"/>
  <c r="J29" i="35"/>
  <c r="M32" i="35"/>
  <c r="H27" i="35"/>
  <c r="I29" i="35"/>
  <c r="C32" i="35"/>
  <c r="K29" i="35"/>
  <c r="AA33" i="35"/>
  <c r="Z33" i="35"/>
  <c r="AB33" i="35"/>
  <c r="X33" i="35"/>
  <c r="W33" i="35"/>
  <c r="K28" i="35"/>
  <c r="E30" i="35"/>
  <c r="Y33" i="35"/>
  <c r="J28" i="35"/>
  <c r="F28" i="35"/>
  <c r="Q23" i="35"/>
  <c r="R23" i="35" s="1"/>
  <c r="T33" i="35"/>
  <c r="H30" i="35"/>
  <c r="Q22" i="35"/>
  <c r="R22" i="35" s="1"/>
  <c r="M28" i="35"/>
  <c r="N28" i="35"/>
  <c r="F30" i="35"/>
  <c r="P33" i="35"/>
  <c r="L28" i="35"/>
  <c r="AD33" i="35"/>
  <c r="Q27" i="35"/>
  <c r="R27" i="35" s="1"/>
  <c r="N30" i="35"/>
  <c r="Q21" i="35"/>
  <c r="R21" i="35" s="1"/>
  <c r="Q25" i="35"/>
  <c r="Q19" i="35"/>
  <c r="K32" i="35"/>
  <c r="Q20" i="35"/>
  <c r="R20" i="35" s="1"/>
  <c r="I32" i="35"/>
  <c r="E32" i="35"/>
  <c r="O20" i="35"/>
  <c r="O19" i="35"/>
  <c r="O21" i="35"/>
  <c r="O25" i="35" l="1"/>
  <c r="O24" i="35"/>
  <c r="O26" i="35"/>
  <c r="O23" i="35"/>
  <c r="O22" i="35"/>
  <c r="G33" i="35"/>
  <c r="M33" i="35"/>
  <c r="L33" i="35"/>
  <c r="O32" i="35"/>
  <c r="H33" i="35"/>
  <c r="O31" i="35"/>
  <c r="I33" i="35"/>
  <c r="O29" i="35"/>
  <c r="K33" i="35"/>
  <c r="C33" i="35"/>
  <c r="D33" i="35"/>
  <c r="Q33" i="35"/>
  <c r="AE26" i="35" s="1"/>
  <c r="F33" i="35"/>
  <c r="R19" i="35"/>
  <c r="N33" i="35"/>
  <c r="O28" i="35"/>
  <c r="O27" i="35"/>
  <c r="J33" i="35"/>
  <c r="O30" i="35"/>
  <c r="R25" i="35"/>
  <c r="E33" i="35"/>
  <c r="Q34" i="35" l="1"/>
  <c r="AE28" i="35"/>
  <c r="AE32" i="35"/>
  <c r="O33" i="35"/>
  <c r="O34" i="35" s="1"/>
  <c r="AE21" i="35"/>
  <c r="AE23" i="35"/>
  <c r="AE27" i="35"/>
  <c r="AE22" i="35"/>
  <c r="AE20" i="35"/>
  <c r="AE19" i="35"/>
  <c r="AE24" i="35"/>
  <c r="AE31" i="35"/>
  <c r="AE30" i="35"/>
  <c r="AE25" i="35"/>
  <c r="R33" i="35"/>
  <c r="AE29" i="35"/>
  <c r="E17" i="86" l="1"/>
  <c r="E28" i="86"/>
  <c r="G28" i="86" s="1"/>
  <c r="D44" i="86" s="1"/>
  <c r="G29" i="86"/>
  <c r="E17" i="90"/>
  <c r="E16" i="90" s="1"/>
  <c r="E25" i="90" s="1"/>
  <c r="E26" i="90" s="1" a="1"/>
  <c r="E28" i="90"/>
  <c r="G29" i="90"/>
  <c r="L17" i="90" s="1"/>
  <c r="E7" i="88"/>
  <c r="G7" i="88" s="1"/>
  <c r="E13" i="88"/>
  <c r="G13" i="88" s="1"/>
  <c r="E9" i="88"/>
  <c r="G9" i="88" s="1"/>
  <c r="E12" i="88"/>
  <c r="G12" i="88" s="1"/>
  <c r="E10" i="88"/>
  <c r="G10" i="88" s="1"/>
  <c r="E14" i="88"/>
  <c r="G14" i="88" s="1"/>
  <c r="E6" i="88"/>
  <c r="G6" i="88" s="1"/>
  <c r="E8" i="88"/>
  <c r="G8" i="88" s="1"/>
  <c r="E11" i="88"/>
  <c r="G11" i="88" s="1"/>
  <c r="E5" i="88"/>
  <c r="G5" i="88" s="1"/>
  <c r="K17" i="90"/>
  <c r="K16" i="90" s="1"/>
  <c r="E55" i="90" s="1"/>
  <c r="F28" i="90"/>
  <c r="F17" i="90"/>
  <c r="M17" i="86" l="1"/>
  <c r="O29" i="86"/>
  <c r="E34" i="88"/>
  <c r="G34" i="88" s="1"/>
  <c r="M22" i="88" s="1"/>
  <c r="E62" i="88" s="1"/>
  <c r="E22" i="88"/>
  <c r="G22" i="88" s="1"/>
  <c r="O22" i="88" s="1"/>
  <c r="K13" i="88"/>
  <c r="O13" i="88"/>
  <c r="E52" i="88"/>
  <c r="K5" i="88"/>
  <c r="O5" i="88"/>
  <c r="E17" i="88"/>
  <c r="R16" i="88"/>
  <c r="E29" i="88"/>
  <c r="K11" i="88"/>
  <c r="O11" i="88"/>
  <c r="O7" i="88"/>
  <c r="K7" i="88"/>
  <c r="E54" i="88"/>
  <c r="E31" i="88"/>
  <c r="G31" i="88" s="1"/>
  <c r="M19" i="88" s="1"/>
  <c r="E59" i="88" s="1"/>
  <c r="E19" i="88"/>
  <c r="G19" i="88" s="1"/>
  <c r="O19" i="88" s="1"/>
  <c r="E35" i="88"/>
  <c r="G35" i="88" s="1"/>
  <c r="M23" i="88" s="1"/>
  <c r="E63" i="88" s="1"/>
  <c r="E23" i="88"/>
  <c r="G23" i="88" s="1"/>
  <c r="O23" i="88" s="1"/>
  <c r="E32" i="88"/>
  <c r="G32" i="88" s="1"/>
  <c r="M20" i="88" s="1"/>
  <c r="E60" i="88" s="1"/>
  <c r="E20" i="88"/>
  <c r="G20" i="88" s="1"/>
  <c r="O20" i="88" s="1"/>
  <c r="O8" i="88"/>
  <c r="K8" i="88"/>
  <c r="E55" i="88"/>
  <c r="K6" i="88"/>
  <c r="O6" i="88"/>
  <c r="E53" i="88"/>
  <c r="K14" i="88"/>
  <c r="O14" i="88"/>
  <c r="K17" i="139"/>
  <c r="K16" i="139" s="1"/>
  <c r="E55" i="139" s="1"/>
  <c r="F28" i="139"/>
  <c r="E38" i="139" s="1"/>
  <c r="E56" i="90"/>
  <c r="D58" i="91" s="1"/>
  <c r="D51" i="91" s="1"/>
  <c r="L16" i="90"/>
  <c r="K10" i="88"/>
  <c r="O10" i="88"/>
  <c r="F25" i="139"/>
  <c r="F26" i="139" s="1"/>
  <c r="G28" i="90"/>
  <c r="D44" i="90" s="1"/>
  <c r="G17" i="90"/>
  <c r="F16" i="90"/>
  <c r="F25" i="90" s="1"/>
  <c r="F26" i="90" s="1" a="1"/>
  <c r="E30" i="88"/>
  <c r="G30" i="88" s="1"/>
  <c r="M18" i="88" s="1"/>
  <c r="E58" i="88" s="1"/>
  <c r="E18" i="88"/>
  <c r="G18" i="88" s="1"/>
  <c r="O18" i="88" s="1"/>
  <c r="F38" i="90"/>
  <c r="E38" i="90"/>
  <c r="D43" i="90"/>
  <c r="E33" i="88"/>
  <c r="G33" i="88" s="1"/>
  <c r="M21" i="88" s="1"/>
  <c r="E61" i="88" s="1"/>
  <c r="E21" i="88"/>
  <c r="G21" i="88" s="1"/>
  <c r="O21" i="88" s="1"/>
  <c r="K74" i="90"/>
  <c r="D45" i="91"/>
  <c r="K12" i="88"/>
  <c r="O12" i="88"/>
  <c r="E43" i="86"/>
  <c r="D45" i="86"/>
  <c r="K9" i="88"/>
  <c r="O9" i="88"/>
  <c r="E16" i="86"/>
  <c r="E25" i="86" s="1"/>
  <c r="E26" i="86" s="1" a="1"/>
  <c r="G17" i="86"/>
  <c r="E4" i="88"/>
  <c r="R3" i="88"/>
  <c r="E57" i="86" l="1"/>
  <c r="M16" i="86"/>
  <c r="R25" i="88"/>
  <c r="R26" i="88" s="1" a="1"/>
  <c r="D46" i="87"/>
  <c r="D45" i="87"/>
  <c r="J80" i="88"/>
  <c r="D51" i="89"/>
  <c r="E48" i="90"/>
  <c r="J82" i="88"/>
  <c r="D54" i="89"/>
  <c r="J78" i="88"/>
  <c r="D50" i="89"/>
  <c r="J77" i="86"/>
  <c r="D47" i="87"/>
  <c r="N17" i="90"/>
  <c r="G16" i="90"/>
  <c r="D44" i="91"/>
  <c r="D59" i="91" s="1"/>
  <c r="K75" i="90"/>
  <c r="G4" i="88"/>
  <c r="E3" i="88"/>
  <c r="D43" i="139"/>
  <c r="F38" i="139"/>
  <c r="K74" i="139"/>
  <c r="G29" i="88"/>
  <c r="M17" i="88" s="1"/>
  <c r="E28" i="88"/>
  <c r="G28" i="88" s="1"/>
  <c r="D44" i="88" s="1"/>
  <c r="E43" i="88" s="1"/>
  <c r="D56" i="89"/>
  <c r="J83" i="88"/>
  <c r="J74" i="88"/>
  <c r="D53" i="89"/>
  <c r="G17" i="88"/>
  <c r="E16" i="88"/>
  <c r="J81" i="88"/>
  <c r="D55" i="89"/>
  <c r="K3" i="88"/>
  <c r="O17" i="86"/>
  <c r="G16" i="86"/>
  <c r="G74" i="90"/>
  <c r="H74" i="90"/>
  <c r="J75" i="88"/>
  <c r="J79" i="88"/>
  <c r="D46" i="89"/>
  <c r="J72" i="88"/>
  <c r="E43" i="90"/>
  <c r="D45" i="90"/>
  <c r="D58" i="89"/>
  <c r="J73" i="88"/>
  <c r="E48" i="139"/>
  <c r="E64" i="86" l="1"/>
  <c r="D44" i="87"/>
  <c r="D59" i="87" s="1"/>
  <c r="G75" i="90"/>
  <c r="H75" i="90"/>
  <c r="H78" i="88"/>
  <c r="G78" i="88"/>
  <c r="N13" i="139"/>
  <c r="J13" i="139"/>
  <c r="G31" i="139"/>
  <c r="L19" i="139" s="1"/>
  <c r="E58" i="139" s="1"/>
  <c r="N19" i="139"/>
  <c r="H79" i="88"/>
  <c r="G79" i="88"/>
  <c r="N16" i="90"/>
  <c r="G25" i="90"/>
  <c r="N25" i="90" s="1"/>
  <c r="H82" i="88"/>
  <c r="G82" i="88"/>
  <c r="G30" i="139"/>
  <c r="L18" i="139" s="1"/>
  <c r="E57" i="139" s="1"/>
  <c r="N18" i="139"/>
  <c r="H75" i="88"/>
  <c r="G75" i="88"/>
  <c r="M16" i="88"/>
  <c r="E57" i="88"/>
  <c r="D47" i="89" s="1"/>
  <c r="J84" i="86"/>
  <c r="G29" i="139"/>
  <c r="L17" i="139" s="1"/>
  <c r="E28" i="139"/>
  <c r="G28" i="139" s="1"/>
  <c r="D44" i="139" s="1"/>
  <c r="E43" i="139" s="1"/>
  <c r="N8" i="139"/>
  <c r="J8" i="139"/>
  <c r="G33" i="139"/>
  <c r="L21" i="139" s="1"/>
  <c r="E60" i="139" s="1"/>
  <c r="N21" i="139"/>
  <c r="G77" i="86"/>
  <c r="H77" i="86"/>
  <c r="F77" i="86" s="1"/>
  <c r="G72" i="88"/>
  <c r="H72" i="88"/>
  <c r="G83" i="88"/>
  <c r="H83" i="88"/>
  <c r="N12" i="139"/>
  <c r="J12" i="139"/>
  <c r="O16" i="86"/>
  <c r="G25" i="86"/>
  <c r="H81" i="88"/>
  <c r="G81" i="88"/>
  <c r="N22" i="139"/>
  <c r="G34" i="139"/>
  <c r="L22" i="139" s="1"/>
  <c r="E61" i="139" s="1"/>
  <c r="N6" i="139"/>
  <c r="E52" i="139"/>
  <c r="J6" i="139"/>
  <c r="E67" i="90"/>
  <c r="F68" i="90" s="1"/>
  <c r="F69" i="90" s="1"/>
  <c r="F70" i="90" s="1"/>
  <c r="F71" i="90" s="1"/>
  <c r="F72" i="90" s="1"/>
  <c r="F73" i="90" s="1"/>
  <c r="F74" i="90" s="1"/>
  <c r="E63" i="90"/>
  <c r="E25" i="88"/>
  <c r="D42" i="88"/>
  <c r="D45" i="88" s="1"/>
  <c r="G74" i="139"/>
  <c r="H74" i="139"/>
  <c r="O4" i="88"/>
  <c r="G3" i="88"/>
  <c r="J4" i="88"/>
  <c r="E67" i="139"/>
  <c r="F68" i="139" s="1"/>
  <c r="H80" i="88"/>
  <c r="G80" i="88"/>
  <c r="H73" i="88"/>
  <c r="G73" i="88"/>
  <c r="G35" i="139"/>
  <c r="L23" i="139" s="1"/>
  <c r="E62" i="139" s="1"/>
  <c r="N23" i="139"/>
  <c r="O17" i="88"/>
  <c r="G16" i="88"/>
  <c r="O16" i="88" s="1"/>
  <c r="N7" i="139"/>
  <c r="J7" i="139"/>
  <c r="N14" i="139"/>
  <c r="J14" i="139"/>
  <c r="G32" i="139"/>
  <c r="L20" i="139" s="1"/>
  <c r="E59" i="139" s="1"/>
  <c r="N20" i="139"/>
  <c r="G74" i="88"/>
  <c r="H74" i="88"/>
  <c r="D60" i="87" l="1"/>
  <c r="D51" i="138"/>
  <c r="D55" i="138"/>
  <c r="F75" i="90"/>
  <c r="F76" i="90" s="1"/>
  <c r="F77" i="90" s="1"/>
  <c r="F78" i="90" s="1"/>
  <c r="F79" i="90" s="1"/>
  <c r="F80" i="90" s="1"/>
  <c r="F81" i="90" s="1"/>
  <c r="I82" i="90" s="1"/>
  <c r="I83" i="90" s="1"/>
  <c r="D46" i="90"/>
  <c r="N9" i="139"/>
  <c r="J9" i="139"/>
  <c r="K81" i="139"/>
  <c r="F78" i="86"/>
  <c r="F79" i="86" s="1"/>
  <c r="F80" i="86" s="1"/>
  <c r="F81" i="86" s="1"/>
  <c r="F82" i="86" s="1"/>
  <c r="F83" i="86" s="1"/>
  <c r="I84" i="86" s="1"/>
  <c r="I85" i="86" s="1"/>
  <c r="N10" i="139"/>
  <c r="J10" i="139"/>
  <c r="K77" i="139"/>
  <c r="K80" i="139"/>
  <c r="K79" i="139"/>
  <c r="D48" i="89"/>
  <c r="D44" i="89" s="1"/>
  <c r="J77" i="88"/>
  <c r="J11" i="139"/>
  <c r="N11" i="139"/>
  <c r="E54" i="139"/>
  <c r="D47" i="138" s="1"/>
  <c r="N5" i="139"/>
  <c r="J5" i="139"/>
  <c r="E51" i="139"/>
  <c r="D54" i="138" s="1"/>
  <c r="K82" i="90"/>
  <c r="F63" i="90"/>
  <c r="O25" i="86"/>
  <c r="D46" i="86"/>
  <c r="J3" i="88"/>
  <c r="E51" i="88"/>
  <c r="D57" i="89" s="1"/>
  <c r="O3" i="88"/>
  <c r="G25" i="88"/>
  <c r="O25" i="88" s="1"/>
  <c r="L16" i="139"/>
  <c r="E56" i="139"/>
  <c r="D46" i="138" s="1"/>
  <c r="K76" i="139"/>
  <c r="K78" i="139"/>
  <c r="K71" i="139"/>
  <c r="D42" i="139"/>
  <c r="D45" i="139" s="1"/>
  <c r="E53" i="139"/>
  <c r="D60" i="91"/>
  <c r="D56" i="138" l="1"/>
  <c r="D57" i="138"/>
  <c r="D52" i="138"/>
  <c r="D48" i="138"/>
  <c r="D53" i="138"/>
  <c r="E25" i="139"/>
  <c r="E26" i="139" s="1"/>
  <c r="G78" i="139"/>
  <c r="H78" i="139"/>
  <c r="H80" i="139"/>
  <c r="G80" i="139"/>
  <c r="G71" i="139"/>
  <c r="H71" i="139"/>
  <c r="H77" i="139"/>
  <c r="G77" i="139"/>
  <c r="K70" i="139"/>
  <c r="G76" i="139"/>
  <c r="H76" i="139"/>
  <c r="J3" i="139"/>
  <c r="K75" i="139"/>
  <c r="K73" i="139"/>
  <c r="K72" i="139"/>
  <c r="J71" i="88"/>
  <c r="D52" i="89"/>
  <c r="D49" i="89" s="1"/>
  <c r="D59" i="89" s="1"/>
  <c r="D60" i="89" s="1"/>
  <c r="E64" i="88"/>
  <c r="G81" i="139"/>
  <c r="H81" i="139"/>
  <c r="N4" i="139"/>
  <c r="H77" i="88"/>
  <c r="G77" i="88"/>
  <c r="H79" i="139"/>
  <c r="G79" i="139"/>
  <c r="N16" i="139"/>
  <c r="N17" i="139"/>
  <c r="D46" i="88"/>
  <c r="H73" i="139" l="1"/>
  <c r="G73" i="139"/>
  <c r="G75" i="139"/>
  <c r="H75" i="139"/>
  <c r="G72" i="139"/>
  <c r="H72" i="139"/>
  <c r="I1" i="139"/>
  <c r="I3" i="139"/>
  <c r="E50" i="139"/>
  <c r="N3" i="139"/>
  <c r="G25" i="139"/>
  <c r="F64" i="88"/>
  <c r="J84" i="88"/>
  <c r="G70" i="139"/>
  <c r="H70" i="139"/>
  <c r="G71" i="88"/>
  <c r="H71" i="88"/>
  <c r="F71" i="88" s="1"/>
  <c r="D50" i="138" l="1"/>
  <c r="D58" i="138"/>
  <c r="F72" i="88"/>
  <c r="F73" i="88" s="1"/>
  <c r="F74" i="88" s="1"/>
  <c r="F75" i="88" s="1"/>
  <c r="F76" i="88" s="1"/>
  <c r="F77" i="88" s="1"/>
  <c r="F78" i="88" s="1"/>
  <c r="F79" i="88" s="1"/>
  <c r="F80" i="88" s="1"/>
  <c r="F81" i="88" s="1"/>
  <c r="F82" i="88" s="1"/>
  <c r="F83" i="88" s="1"/>
  <c r="I84" i="88" s="1"/>
  <c r="I85" i="88" s="1"/>
  <c r="K69" i="139"/>
  <c r="D45" i="138"/>
  <c r="D44" i="138" s="1"/>
  <c r="E63" i="139"/>
  <c r="N25" i="139"/>
  <c r="D46" i="139"/>
  <c r="D49" i="138" l="1"/>
  <c r="D59" i="138" s="1"/>
  <c r="D60" i="138" s="1"/>
  <c r="H69" i="139"/>
  <c r="F69" i="139" s="1"/>
  <c r="G69" i="139"/>
  <c r="K82" i="139"/>
  <c r="F63" i="139"/>
  <c r="F70" i="139" l="1"/>
  <c r="F71" i="139" s="1"/>
  <c r="F72" i="139" s="1"/>
  <c r="F73" i="139" s="1"/>
  <c r="F74" i="139" s="1"/>
  <c r="F75" i="139" s="1"/>
  <c r="F76" i="139" s="1"/>
  <c r="F77" i="139" s="1"/>
  <c r="F78" i="139" s="1"/>
  <c r="F79" i="139" s="1"/>
  <c r="F80" i="139" s="1"/>
  <c r="F81" i="139" s="1"/>
  <c r="I82" i="139" s="1"/>
  <c r="I83" i="1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AM39" authorId="0" shapeId="0" xr:uid="{5AC7F48D-96CB-4DD4-99B1-73F5A983D20D}">
      <text>
        <r>
          <rPr>
            <b/>
            <sz val="9"/>
            <color indexed="81"/>
            <rFont val="Tahoma"/>
            <family val="2"/>
          </rPr>
          <t>Danh, Hoàng Duy:</t>
        </r>
        <r>
          <rPr>
            <sz val="9"/>
            <color indexed="81"/>
            <rFont val="Tahoma"/>
            <family val="2"/>
          </rPr>
          <t xml:space="preserve">
ghi nhận bù cho T01, T02/2025</t>
        </r>
      </text>
    </comment>
    <comment ref="AN42" authorId="0" shapeId="0" xr:uid="{DC7885B5-1277-4A9C-8B15-F1BF5DCE7996}">
      <text>
        <r>
          <rPr>
            <b/>
            <sz val="9"/>
            <color indexed="81"/>
            <rFont val="Tahoma"/>
            <family val="2"/>
          </rPr>
          <t>Danh, Hoàng Duy:</t>
        </r>
        <r>
          <rPr>
            <sz val="9"/>
            <color indexed="81"/>
            <rFont val="Tahoma"/>
            <family val="2"/>
          </rPr>
          <t xml:space="preserve">
hồi tố trừ lại 659964318</t>
        </r>
      </text>
    </comment>
    <comment ref="AM68" authorId="0" shapeId="0" xr:uid="{7D884874-A869-46B9-AB8C-66DEEEA36D05}">
      <text>
        <r>
          <rPr>
            <b/>
            <sz val="9"/>
            <color indexed="81"/>
            <rFont val="Tahoma"/>
            <family val="2"/>
          </rPr>
          <t>Danh, Hoàng Duy:</t>
        </r>
        <r>
          <rPr>
            <sz val="9"/>
            <color indexed="81"/>
            <rFont val="Tahoma"/>
            <family val="2"/>
          </rPr>
          <t xml:space="preserve">
tính bù lại cho cả năm 2024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Tâm, Lưu Thị Minh</author>
  </authors>
  <commentList>
    <comment ref="E43" authorId="0" shapeId="0" xr:uid="{3B5B3949-9E50-40A2-9B78-971F8520AD9E}">
      <text>
        <r>
          <rPr>
            <b/>
            <sz val="9"/>
            <color indexed="81"/>
            <rFont val="Tahoma"/>
            <family val="2"/>
          </rPr>
          <t>Tâm, Lưu Thị Minh:</t>
        </r>
        <r>
          <rPr>
            <sz val="9"/>
            <color indexed="81"/>
            <rFont val="Tahoma"/>
            <family val="2"/>
          </rPr>
          <t xml:space="preserve">
Tâm giải trình T5/2025)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C25" authorId="0" shapeId="0" xr:uid="{562083F0-2A14-4DAF-9BE8-6B5AAD613558}">
      <text>
        <r>
          <rPr>
            <b/>
            <sz val="9"/>
            <color indexed="81"/>
            <rFont val="Tahoma"/>
            <family val="2"/>
          </rPr>
          <t>Danh, Hoàng Duy:</t>
        </r>
        <r>
          <rPr>
            <sz val="9"/>
            <color indexed="81"/>
            <rFont val="Tahoma"/>
            <family val="2"/>
          </rPr>
          <t xml:space="preserve">
lúc lập  ngân sách chỉ bao gồm công đoạn rửa/tạo hạt</t>
        </r>
      </text>
    </comment>
    <comment ref="F25" authorId="0" shapeId="0" xr:uid="{FF03AD30-3444-40C4-877B-79FC0B3F1971}">
      <text>
        <r>
          <rPr>
            <b/>
            <sz val="9"/>
            <color indexed="81"/>
            <rFont val="Tahoma"/>
            <family val="2"/>
          </rPr>
          <t>Danh, Hoàng Duy:</t>
        </r>
        <r>
          <rPr>
            <sz val="9"/>
            <color indexed="81"/>
            <rFont val="Tahoma"/>
            <family val="2"/>
          </rPr>
          <t xml:space="preserve">
lúc lập  ngân sách chỉ bao gồm công đoạn rửa/tạo hạt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AT7" authorId="0" shapeId="0" xr:uid="{6879BCF6-696C-4E40-91E6-708756739062}">
      <text>
        <r>
          <rPr>
            <b/>
            <sz val="9"/>
            <color indexed="81"/>
            <rFont val="Tahoma"/>
            <family val="2"/>
          </rPr>
          <t>Danh, Hoàng Duy:</t>
        </r>
        <r>
          <rPr>
            <sz val="9"/>
            <color indexed="81"/>
            <rFont val="Tahoma"/>
            <family val="2"/>
          </rPr>
          <t xml:space="preserve">
sản lượng đang lấy theo Nam KH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Tâm, Lưu Thị Minh</author>
    <author>Diễm, Nguyễn Thị Thanh</author>
  </authors>
  <commentList>
    <comment ref="U10" authorId="0" shapeId="0" xr:uid="{5D7ACEC3-8B9E-43ED-B388-5CD41BD99691}">
      <text>
        <r>
          <rPr>
            <b/>
            <sz val="9"/>
            <color indexed="81"/>
            <rFont val="Tahoma"/>
            <family val="2"/>
          </rPr>
          <t>Tâm, Lưu Thị Minh:</t>
        </r>
        <r>
          <rPr>
            <sz val="9"/>
            <color indexed="81"/>
            <rFont val="Tahoma"/>
            <family val="2"/>
          </rPr>
          <t xml:space="preserve">
WSS03G: T04 xuất thiếu tiêu hao -&gt; qua T5 xuất bổ sung: 3,5 tỷ</t>
        </r>
      </text>
    </comment>
    <comment ref="V10" authorId="0" shapeId="0" xr:uid="{BCCC4EE8-2F2D-4249-B46F-36A115719526}">
      <text>
        <r>
          <rPr>
            <b/>
            <sz val="9"/>
            <color indexed="81"/>
            <rFont val="Tahoma"/>
            <family val="2"/>
          </rPr>
          <t>Tâm, Lưu Thị Minh:</t>
        </r>
        <r>
          <rPr>
            <sz val="9"/>
            <color indexed="81"/>
            <rFont val="Tahoma"/>
            <family val="2"/>
          </rPr>
          <t xml:space="preserve">
WSS03G: T04 xuất thiếu tiêu hao -&gt; qua T5 xuất bổ sung 3,5 tỷ</t>
        </r>
      </text>
    </comment>
    <comment ref="U11" authorId="0" shapeId="0" xr:uid="{9020243C-2CD9-47CD-A6E8-7DEA5AB114F5}">
      <text>
        <r>
          <rPr>
            <b/>
            <sz val="9"/>
            <color indexed="81"/>
            <rFont val="Tahoma"/>
            <family val="2"/>
          </rPr>
          <t>Tâm, Lưu Thị Minh:</t>
        </r>
        <r>
          <rPr>
            <sz val="9"/>
            <color indexed="81"/>
            <rFont val="Tahoma"/>
            <family val="2"/>
          </rPr>
          <t xml:space="preserve">
Kỳ điện T4 tính đến 0h ngày 27/4 nên 4 ngày cuối T4 chuyển sang T5: 214.645kw điện ~380tr.</t>
        </r>
      </text>
    </comment>
    <comment ref="V11" authorId="0" shapeId="0" xr:uid="{98CC80B8-0D7E-420B-8C1C-31531B399580}">
      <text>
        <r>
          <rPr>
            <b/>
            <sz val="9"/>
            <color indexed="81"/>
            <rFont val="Tahoma"/>
            <family val="2"/>
          </rPr>
          <t>Tâm, Lưu Thị Minh:</t>
        </r>
        <r>
          <rPr>
            <sz val="9"/>
            <color indexed="81"/>
            <rFont val="Tahoma"/>
            <family val="2"/>
          </rPr>
          <t xml:space="preserve">
Kỳ điện T4 tính đến 0h ngày 27/4 nên 4 ngày cuối T4 chuyển sang T5: 214.645kw điện ~380tr.</t>
        </r>
      </text>
    </comment>
    <comment ref="U18" authorId="0" shapeId="0" xr:uid="{2B95F733-D37D-4AD1-8290-D9D56A242B05}">
      <text>
        <r>
          <rPr>
            <b/>
            <sz val="9"/>
            <color indexed="81"/>
            <rFont val="Tahoma"/>
            <family val="2"/>
          </rPr>
          <t>Tâm, Lưu Thị Minh:</t>
        </r>
        <r>
          <rPr>
            <sz val="9"/>
            <color indexed="81"/>
            <rFont val="Tahoma"/>
            <family val="2"/>
          </rPr>
          <t xml:space="preserve">
T4 xuất kho qua T5: 67tr</t>
        </r>
      </text>
    </comment>
    <comment ref="V18" authorId="0" shapeId="0" xr:uid="{B359E372-1B0B-4C18-A22E-2B899C0F8C3D}">
      <text>
        <r>
          <rPr>
            <b/>
            <sz val="9"/>
            <color indexed="81"/>
            <rFont val="Tahoma"/>
            <family val="2"/>
          </rPr>
          <t>Tâm, Lưu Thị Minh:</t>
        </r>
        <r>
          <rPr>
            <sz val="9"/>
            <color indexed="81"/>
            <rFont val="Tahoma"/>
            <family val="2"/>
          </rPr>
          <t xml:space="preserve">
T4 xuất kho qua T5: 67tr</t>
        </r>
      </text>
    </comment>
    <comment ref="R22" authorId="0" shapeId="0" xr:uid="{01023CCB-4DAB-4D33-BBB1-6C5898BD023F}">
      <text>
        <r>
          <rPr>
            <b/>
            <sz val="9"/>
            <color indexed="81"/>
            <rFont val="Tahoma"/>
            <family val="2"/>
          </rPr>
          <t>Tâm, Lưu Thị Minh:</t>
        </r>
        <r>
          <rPr>
            <sz val="9"/>
            <color indexed="81"/>
            <rFont val="Tahoma"/>
            <family val="2"/>
          </rPr>
          <t xml:space="preserve">
 - T1 hạch toán CP thuê máy vào khấu hao 2,272 tỷ
 - CP thuê F7 154 tr hạch toán qua T2</t>
        </r>
      </text>
    </comment>
    <comment ref="S22" authorId="0" shapeId="0" xr:uid="{1A620EF2-8C10-433F-A8EE-3BAB9282CA73}">
      <text>
        <r>
          <rPr>
            <b/>
            <sz val="9"/>
            <color indexed="81"/>
            <rFont val="Tahoma"/>
            <family val="2"/>
          </rPr>
          <t>Tâm, Lưu Thị Minh:</t>
        </r>
        <r>
          <rPr>
            <sz val="9"/>
            <color indexed="81"/>
            <rFont val="Tahoma"/>
            <family val="2"/>
          </rPr>
          <t xml:space="preserve">
Do T1 hạch toán chi phí thuê máy vào khấu hao 2,272 tỷ 
Hạch toán thiếu tiền thuê TĐH 1,6 tỷ</t>
        </r>
      </text>
    </comment>
    <comment ref="T22" authorId="0" shapeId="0" xr:uid="{CF76F86F-95A9-4CD1-B961-B076DD1E6D36}">
      <text>
        <r>
          <rPr>
            <b/>
            <sz val="9"/>
            <color indexed="81"/>
            <rFont val="Tahoma"/>
            <family val="2"/>
          </rPr>
          <t>Tâm, Lưu Thị Minh:</t>
        </r>
        <r>
          <rPr>
            <sz val="9"/>
            <color indexed="81"/>
            <rFont val="Tahoma"/>
            <family val="2"/>
          </rPr>
          <t xml:space="preserve">
Hạch toán 2 lần tiền thuê TĐH 1,6 tỷ</t>
        </r>
      </text>
    </comment>
    <comment ref="U22" authorId="0" shapeId="0" xr:uid="{3511F365-227C-46E1-A619-89EE8ED6B276}">
      <text>
        <r>
          <rPr>
            <b/>
            <sz val="9"/>
            <color indexed="81"/>
            <rFont val="Tahoma"/>
            <family val="2"/>
          </rPr>
          <t>Tâm, Lưu Thị Minh:</t>
        </r>
        <r>
          <rPr>
            <sz val="9"/>
            <color indexed="81"/>
            <rFont val="Tahoma"/>
            <family val="2"/>
          </rPr>
          <t xml:space="preserve">
Thuế kho F7: 150 tr hạch toán qua T5</t>
        </r>
      </text>
    </comment>
    <comment ref="V22" authorId="0" shapeId="0" xr:uid="{7A5C6C2B-3A1C-4E19-9D1B-5D44D4DC98C4}">
      <text>
        <r>
          <rPr>
            <b/>
            <sz val="9"/>
            <color indexed="81"/>
            <rFont val="Tahoma"/>
            <family val="2"/>
          </rPr>
          <t>Tâm, Lưu Thị Minh:</t>
        </r>
        <r>
          <rPr>
            <sz val="9"/>
            <color indexed="81"/>
            <rFont val="Tahoma"/>
            <family val="2"/>
          </rPr>
          <t xml:space="preserve">
- Thuế kho F7: 150 tr T4 hạch toán qua T5
 - Thuê kho Tân Lợi Phát giảm 100 tr-&gt; 80 tr
 - giảm thuê 1 kho Tân Lợi Phát: 154 tr</t>
        </r>
      </text>
    </comment>
    <comment ref="R24" authorId="0" shapeId="0" xr:uid="{839F71FF-FCBA-4268-8BB7-CF4E0FDFFB1B}">
      <text>
        <r>
          <rPr>
            <b/>
            <sz val="9"/>
            <color indexed="81"/>
            <rFont val="Tahoma"/>
            <family val="2"/>
          </rPr>
          <t>Tâm, Lưu Thị Minh:</t>
        </r>
        <r>
          <rPr>
            <sz val="9"/>
            <color indexed="81"/>
            <rFont val="Tahoma"/>
            <family val="2"/>
          </rPr>
          <t xml:space="preserve">
Do T1 hạch toán chi phí thuê máy vào khấu hao 2,272 tỷ</t>
        </r>
      </text>
    </comment>
    <comment ref="S24" authorId="0" shapeId="0" xr:uid="{BB92F87F-06A4-40DC-A510-EC47E60E5A88}">
      <text>
        <r>
          <rPr>
            <b/>
            <sz val="9"/>
            <color indexed="81"/>
            <rFont val="Tahoma"/>
            <family val="2"/>
          </rPr>
          <t>Tâm, Lưu Thị Minh:</t>
        </r>
        <r>
          <rPr>
            <sz val="9"/>
            <color indexed="81"/>
            <rFont val="Tahoma"/>
            <family val="2"/>
          </rPr>
          <t xml:space="preserve">
Do T2 hạch toán chi phí thuê máy vào khấu hao 2,272 tỷ</t>
        </r>
      </text>
    </comment>
    <comment ref="BT39" authorId="1" shapeId="0" xr:uid="{D83A652A-D6BC-472C-A43D-DC32FCD67FA4}">
      <text>
        <r>
          <rPr>
            <b/>
            <sz val="9"/>
            <color indexed="81"/>
            <rFont val="Tahoma"/>
            <family val="2"/>
          </rPr>
          <t>Diễm, Nguyễn Thị Thanh:</t>
        </r>
        <r>
          <rPr>
            <sz val="9"/>
            <color indexed="81"/>
            <rFont val="Tahoma"/>
            <family val="2"/>
          </rPr>
          <t xml:space="preserve">
Kế hoạch 2025
</t>
        </r>
      </text>
    </comment>
    <comment ref="V41" authorId="0" shapeId="0" xr:uid="{AC78716A-2AAC-4C6D-A30A-F32B7F0D4D25}">
      <text>
        <r>
          <rPr>
            <b/>
            <sz val="9"/>
            <color indexed="81"/>
            <rFont val="Tahoma"/>
            <family val="2"/>
          </rPr>
          <t>Tâm, Lưu Thị Minh:</t>
        </r>
        <r>
          <rPr>
            <sz val="9"/>
            <color indexed="81"/>
            <rFont val="Tahoma"/>
            <family val="2"/>
          </rPr>
          <t xml:space="preserve">
giảm tài trợ cho 3 trạm</t>
        </r>
      </text>
    </comment>
    <comment ref="D43" authorId="0" shapeId="0" xr:uid="{55079D8B-FD2A-470F-A7E7-BFAA3152B996}">
      <text>
        <r>
          <rPr>
            <b/>
            <sz val="9"/>
            <color indexed="81"/>
            <rFont val="Tahoma"/>
            <family val="2"/>
          </rPr>
          <t>Tâm, Lưu Thị Minh:</t>
        </r>
        <r>
          <rPr>
            <sz val="9"/>
            <color indexed="81"/>
            <rFont val="Tahoma"/>
            <family val="2"/>
          </rPr>
          <t xml:space="preserve">
chia cho sản lượng bán, không bao gồm CP xuất khẩu</t>
        </r>
      </text>
    </comment>
    <comment ref="D53" authorId="0" shapeId="0" xr:uid="{A3D5BA6F-B057-4130-88A0-AA865DD3B0A1}">
      <text>
        <r>
          <rPr>
            <b/>
            <sz val="9"/>
            <color indexed="81"/>
            <rFont val="Tahoma"/>
            <family val="2"/>
          </rPr>
          <t>Tâm, Lưu Thị Minh:</t>
        </r>
        <r>
          <rPr>
            <sz val="9"/>
            <color indexed="81"/>
            <rFont val="Tahoma"/>
            <family val="2"/>
          </rPr>
          <t xml:space="preserve">
Đã điều chỉnh (không bao gồm thuê xưởng, thuê máy ở 632)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Tâm, Lưu Thị Minh</author>
    <author>tc={CE85AFB6-E9E9-49DC-B6D1-15489C6BEA0D}</author>
  </authors>
  <commentList>
    <comment ref="S18" authorId="0" shapeId="0" xr:uid="{38073EC0-5EF8-4B40-A4BC-2B3A5D24AAAB}">
      <text>
        <r>
          <rPr>
            <b/>
            <sz val="9"/>
            <color indexed="81"/>
            <rFont val="Tahoma"/>
            <family val="2"/>
          </rPr>
          <t>Tâm, Lưu Thị Minh:</t>
        </r>
        <r>
          <rPr>
            <sz val="9"/>
            <color indexed="81"/>
            <rFont val="Tahoma"/>
            <family val="2"/>
          </rPr>
          <t xml:space="preserve">
Đã có 1,6 tỷ thuê kho TĐH</t>
        </r>
      </text>
    </comment>
    <comment ref="T18" authorId="0" shapeId="0" xr:uid="{46F1AA37-9E93-4F12-8DC8-720A17C04634}">
      <text>
        <r>
          <rPr>
            <b/>
            <sz val="9"/>
            <color indexed="81"/>
            <rFont val="Tahoma"/>
            <family val="2"/>
          </rPr>
          <t>Tâm, Lưu Thị Minh:</t>
        </r>
        <r>
          <rPr>
            <sz val="9"/>
            <color indexed="81"/>
            <rFont val="Tahoma"/>
            <family val="2"/>
          </rPr>
          <t xml:space="preserve">
Đã trừ Thuê kho TĐH hạch toán 2 lần: 1,6 tỷ</t>
        </r>
      </text>
    </comment>
    <comment ref="F37" authorId="1" shapeId="0" xr:uid="{CE85AFB6-E9E9-49DC-B6D1-15489C6BEA0D}">
      <text>
        <t>[Threaded comment]
Your version of Excel allows you to read this threaded comment; however, any edits to it will get removed if the file is opened in a newer version of Excel. Learn more: https://go.microsoft.com/fwlink/?linkid=870924
Comment:
    Cơ cấu CP lương không tăng so với T1 nên % nhựa tăng so với tổng CP</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tc={CAFE688A-3F12-4E35-A3D3-1B31DE29CD99}</author>
    <author>tc={43F72585-CD3E-455A-8FBF-4B0DBE31C1DB}</author>
    <author>Lâm, Vũ Trần Đình Tùng</author>
  </authors>
  <commentList>
    <comment ref="K4" authorId="0" shapeId="0" xr:uid="{CAFE688A-3F12-4E35-A3D3-1B31DE29CD99}">
      <text>
        <t>[Threaded comment]
Your version of Excel allows you to read this threaded comment; however, any edits to it will get removed if the file is opened in a newer version of Excel. Learn more: https://go.microsoft.com/fwlink/?linkid=870924
Comment:
    Cộng 966tr phí hỗ trợ trạm</t>
      </text>
    </comment>
    <comment ref="G33" authorId="1" shapeId="0" xr:uid="{43F72585-CD3E-455A-8FBF-4B0DBE31C1DB}">
      <text>
        <t>[Threaded comment]
Your version of Excel allows you to read this threaded comment; however, any edits to it will get removed if the file is opened in a newer version of Excel. Learn more: https://go.microsoft.com/fwlink/?linkid=870924
Comment:
    CP bảo hiểm cháy nổ thanh toán 2 lần, mỗi lần phân bổ 6 tháng ( lần 1 từ T11.22 đến T4.23, lần 2 từ T02.23 đến T7.23</t>
      </text>
    </comment>
    <comment ref="P64" authorId="2" shapeId="0" xr:uid="{F87A7334-E3F3-4D04-9DDE-4CA802627FFA}">
      <text>
        <r>
          <rPr>
            <b/>
            <sz val="8"/>
            <color indexed="81"/>
            <rFont val="Tahoma"/>
            <family val="2"/>
          </rPr>
          <t>Lâm, Vũ Trần Đình Tùng: có bán vảy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<sst xmlns="http://schemas.openxmlformats.org/spreadsheetml/2006/main" count="5900" uniqueCount="1258">
  <si>
    <t>STT</t>
  </si>
  <si>
    <t>BỘ PHẬN</t>
  </si>
  <si>
    <t>NỘI DUNG CẢI TIẾN</t>
  </si>
  <si>
    <t>NGÀY CẬP NHẬT</t>
  </si>
  <si>
    <t>TRƯỞNG DỰ ÁN</t>
  </si>
  <si>
    <t>File đính kèm</t>
  </si>
  <si>
    <t>T1</t>
  </si>
  <si>
    <t>T2</t>
  </si>
  <si>
    <t>T3</t>
  </si>
  <si>
    <t>T4</t>
  </si>
  <si>
    <t>T5</t>
  </si>
  <si>
    <t>T6</t>
  </si>
  <si>
    <t>T7</t>
  </si>
  <si>
    <t>T8</t>
  </si>
  <si>
    <t>T9</t>
  </si>
  <si>
    <t>T10</t>
  </si>
  <si>
    <t>T11</t>
  </si>
  <si>
    <t>T12</t>
  </si>
  <si>
    <t>SX PET</t>
  </si>
  <si>
    <t>Cải tiến giảm chai phế chuyền băm</t>
  </si>
  <si>
    <t>21/02/2024</t>
  </si>
  <si>
    <t>Cải tiến giảm nhân sự máy trộn</t>
  </si>
  <si>
    <t>Trần Trường Giang</t>
  </si>
  <si>
    <t>-</t>
  </si>
  <si>
    <t>Cải tiến giảm nhân công chuyền tạo hạt và chuyền rửa</t>
  </si>
  <si>
    <t>SX HDPE</t>
  </si>
  <si>
    <t>Cải tiến tăng năng suất máy HD</t>
  </si>
  <si>
    <t>Lê Hữu Phước</t>
  </si>
  <si>
    <t>Cải tiến giảm công máy HD</t>
  </si>
  <si>
    <t>04- Xử lý Phó Sản HD Thổi Trong Vảy L2 QMT</t>
  </si>
  <si>
    <t>Nguyễn Quang Cảnh</t>
  </si>
  <si>
    <t>Tự động hóa</t>
  </si>
  <si>
    <t>Cải Tiến Lột Nhãn</t>
  </si>
  <si>
    <t>Nguyễn Minh Tâm</t>
  </si>
  <si>
    <t>Cải tiến xả vảy bao jumbo tự động</t>
  </si>
  <si>
    <t>Cải tiến quy trình lựa chai trên chuyền băm PET1, PET 2</t>
  </si>
  <si>
    <t>Phòng Mua</t>
  </si>
  <si>
    <t>Tăng Khánh Tùng</t>
  </si>
  <si>
    <t>Kỹ Thuật</t>
  </si>
  <si>
    <t>Tháng 1/2023</t>
  </si>
  <si>
    <t>Thay đổi NCC mua lưới lọc Starlinger</t>
  </si>
  <si>
    <t>Ngô Quốc Huy</t>
  </si>
  <si>
    <t xml:space="preserve">Đổi nhà cung cấp khuôn Starlinger </t>
  </si>
  <si>
    <t>Tháng 3/2024</t>
  </si>
  <si>
    <t>Nguyễn Minh Thiện</t>
  </si>
  <si>
    <t>Hiện tại trên chuyền starlinger 01, 02 có hệ phối trộn liệu. Nguồn vảy tạo hạt đa phần đến từ các công thức trộn.
Ý tưởng: Sử dụng hệ trộn liệu này để trộn liệu, nguồn liệu nạp vào không cần trộn trước.</t>
  </si>
  <si>
    <t>Vệ sinh lưới lọc Ettlinger bằng máy vệ sinh chân không :
Bộ lọc nhựa Ettlinger sau thời gian khoảng 7 ngày sử dụng tạp chất sẽ bám lên bề mặt lưới nên cần tháo ra để vệ sinh bằng lò đốt trong môi trường chân không để đảm bảo hiệu quả sử dụng.</t>
  </si>
  <si>
    <t>Tháng 4/2024</t>
  </si>
  <si>
    <t>Nguyễn Ngọc Liễu</t>
  </si>
  <si>
    <t>Thay đổi NCC vật tư phụ kiện cho bộ lọc Ettlinger ( dao cạo phế và lưới lọc )</t>
  </si>
  <si>
    <t>Tháng 5/2024</t>
  </si>
  <si>
    <t>Kỹ thuật</t>
  </si>
  <si>
    <t>Sủ dụng cùm dao 24 dao/cụm thay cho cùm dao 20 dao/cụm trên máy starlinger 3</t>
  </si>
  <si>
    <t>Phạm Thanh Thái</t>
  </si>
  <si>
    <t>Cải tiến tái sử dụng lọc tách từ vacuum chân không star ,SSP cho bộ lọc tách dầu bôi trơn trục cánh hút vacuum hệ booster SSP star -3. thay vì sử dụng lọc mới mất chi phí 63 triệu/năm .đây là vị trí có thể tái sử dụng các lọc vacuum để tiết kiệm 63 triệu/năm.</t>
  </si>
  <si>
    <t>Tháng 5/2025</t>
  </si>
  <si>
    <t>Cải tiến thay thế dầu vacuum star,SSP hiện tại S2 B100 chu kỳ thay dầu 1000H và số lần ngưng máy 8 lần /1 năm/máy .Sử dụng dầu thay thế MILES SB COMP OIL 100 chu kỳ thay dầu 2000H và số lần ngưng máy 4 lần/1 năm/máy .
=&gt; Giảm chi phí thay dầu gần 29 triệu /1 năm và giảm thời gian ngừng máy mang lại giá trị và lợi nhuận thành phẩm cho công ty 144 tấn /năm = 3,6 tỉ</t>
  </si>
  <si>
    <t>Nguyễn Thành Thức</t>
  </si>
  <si>
    <t>Kế Toán Quản Trị</t>
  </si>
  <si>
    <t>Deal giá NCC</t>
  </si>
  <si>
    <t>Chỉ tiêu phân bổ</t>
  </si>
  <si>
    <t>PHÂN BỔ GIÁ TRỊ TIẾT KIỆM CỦA TỰ ĐỘNG HÓA</t>
  </si>
  <si>
    <t>Tháng 1</t>
  </si>
  <si>
    <t>Tháng 2</t>
  </si>
  <si>
    <t>Tháng 3</t>
  </si>
  <si>
    <t>Tháng 4</t>
  </si>
  <si>
    <t>Tháng 5</t>
  </si>
  <si>
    <t>Tháng 6</t>
  </si>
  <si>
    <t>Tháng 7</t>
  </si>
  <si>
    <t>Tháng 8</t>
  </si>
  <si>
    <t>Tháng 9</t>
  </si>
  <si>
    <t>Tháng 10</t>
  </si>
  <si>
    <t>Tháng 11</t>
  </si>
  <si>
    <t>Tháng 12</t>
  </si>
  <si>
    <t>Năm 2024</t>
  </si>
  <si>
    <t>Kế hoạch</t>
  </si>
  <si>
    <t>Thực tế</t>
  </si>
  <si>
    <t>PHÂN BỔ GIÁ TRỊ TIẾT KIỆM CỦA SX PET</t>
  </si>
  <si>
    <t>PHÂN BỔ GIÁ TRỊ TIẾT KIỆM CỦA SX HDPE.PP</t>
  </si>
  <si>
    <t>PHÂN BỔ GIÁ TRỊ TIẾT KIỆM CỦA KỸ THUẬT</t>
  </si>
  <si>
    <t>PHÂN BỔ GIÁ TRỊ TIẾT KIỆM CỦA PHÒNG MUA</t>
  </si>
  <si>
    <t>PHÂN BỔ GIÁ TRỊ TIẾT KIỆM CỦA PHÒNG QLCL</t>
  </si>
  <si>
    <t>PHÂN BỔ GIÁ TRỊ TIẾT KIỆM CỦA PHÒNG CUNG ỨNG</t>
  </si>
  <si>
    <t>PHÂN BỔ GTTK CỦA KẾ TOÁN QUẢN TRỊ</t>
  </si>
  <si>
    <t>PHÂN BỔ GIÁ TRỊ TIẾT KIỆM CỦA KHO VẬN</t>
  </si>
  <si>
    <t>Các bước của quy trình / hoạt động 
(Process / Activity)</t>
  </si>
  <si>
    <t>Bắt đầu thực hiện
(Start from)</t>
  </si>
  <si>
    <t>Số lượng của quy trình/hoạt động được thực hiện mỗi tháng
(Number of items saving)</t>
  </si>
  <si>
    <t>Số giờ thực hiện 1 quy trình/hoạt động 
(Spent hours)</t>
  </si>
  <si>
    <t>Số giờ tiết kiệm được mỗi tháng
(Saving Time/Month)</t>
  </si>
  <si>
    <t>Chi phí của 1 quy trình/hoạt động (VND)
(Cost per activity)</t>
  </si>
  <si>
    <t>Tổng số tiền tiết kiệm được mỗi tháng (VND)
(Monthly Calculated saving cost)</t>
  </si>
  <si>
    <t>Tổng số tiền tiết kiệm của năm
(Annualized Cost saving)</t>
  </si>
  <si>
    <t>Chi phí đầu tư
(Invesment cost)</t>
  </si>
  <si>
    <t>Tổng tiết kiệm
(Total savings)</t>
  </si>
  <si>
    <t>Ghi chú (Note)</t>
  </si>
  <si>
    <t>Trước</t>
  </si>
  <si>
    <t>Sau</t>
  </si>
  <si>
    <t>Chuyển việc xuất hóa đơn cho KH B2B từ viết tay sang in từ phần mềm</t>
  </si>
  <si>
    <t>01/01/2014</t>
  </si>
  <si>
    <t>Thời gian viết tay 1 HĐ: 10 phút
Thời gian in 1 HĐ: 5 phút
VD lương theo giờ công của bậc nhân viên thực hiện xuất HĐ:  38.462 VND
Chi phí cài đặt chức năng in HĐ trong phần mềm Effect: 29,500,000 VND, thời hạn sử dụng 3 năm theo nguyên tắc khấu hao</t>
  </si>
  <si>
    <t>Tổng cộng</t>
  </si>
  <si>
    <t>Ví dụ lương theo bậc của Khối Văn Phòng</t>
  </si>
  <si>
    <t>Cấp bậc</t>
  </si>
  <si>
    <t>Lương 1 tháng (công 26 giờ)</t>
  </si>
  <si>
    <t>Chi phí lương theo giờ công</t>
  </si>
  <si>
    <t>Đơn giá của công nhân</t>
  </si>
  <si>
    <t>Lao động phổ thông</t>
  </si>
  <si>
    <t>Lao động chuyên môn</t>
  </si>
  <si>
    <t>Chi phí lương 1 ngày công lao động (8 giờ)</t>
  </si>
  <si>
    <t>Chi phí lương 1 tháng (26 ngày)</t>
  </si>
  <si>
    <t>PHÂN BỔ GIÁ TRỊ TIẾT KIỆM CỦA PHÒNG R&amp;D</t>
  </si>
  <si>
    <t>LOẠI Ý TƯỞNG</t>
  </si>
  <si>
    <t>NHÓM SẢN PHẨM</t>
  </si>
  <si>
    <t>Đàm phán/Tìm nhà cung cấp với giá cả tốt hơn</t>
  </si>
  <si>
    <t>Code 1</t>
  </si>
  <si>
    <t>Code 2</t>
  </si>
  <si>
    <t>PET</t>
  </si>
  <si>
    <t>HDPE</t>
  </si>
  <si>
    <t>CHUNG</t>
  </si>
  <si>
    <t>Sử dụng hỗn hợp  hóa chất tẩy rửa các chuyền băm rửa để vệ sinh bộ trao đổi nhiệt dầu của các máy  chân không của các máy starlinger. Giảm thời gian vệ sinh , Hiệu quả vệ sinh rất tốt, tiết kiệm hơn nhiều so với sử dụng RP7 vệ sinh</t>
  </si>
  <si>
    <t>CAITIEN24-001</t>
  </si>
  <si>
    <t>CAITIEN24-002</t>
  </si>
  <si>
    <t>CAITIEN24-003</t>
  </si>
  <si>
    <t>CAITIEN24-004</t>
  </si>
  <si>
    <t>CAITIEN24-005</t>
  </si>
  <si>
    <t>CAITIEN24-006</t>
  </si>
  <si>
    <t>CAITIEN24-007</t>
  </si>
  <si>
    <t>CAITIEN24-008</t>
  </si>
  <si>
    <t>CAITIEN24-009</t>
  </si>
  <si>
    <t>CAITIEN24-010</t>
  </si>
  <si>
    <t>CAITIEN24-011</t>
  </si>
  <si>
    <t>CAITIEN24-012</t>
  </si>
  <si>
    <t>CAITIEN24-013</t>
  </si>
  <si>
    <t>CAITIEN24-014</t>
  </si>
  <si>
    <t>CAITIEN24-015</t>
  </si>
  <si>
    <t>CAITIEN24-016</t>
  </si>
  <si>
    <t>CAITIEN24-017</t>
  </si>
  <si>
    <t>CAITIEN24-018</t>
  </si>
  <si>
    <t>CAITIEN24-019</t>
  </si>
  <si>
    <t>CAITIEN24-020</t>
  </si>
  <si>
    <t>SXPET24-001</t>
  </si>
  <si>
    <t>SXPET24-002</t>
  </si>
  <si>
    <t>SXPET24-003</t>
  </si>
  <si>
    <t>SXHDPE24-001</t>
  </si>
  <si>
    <t>SXHDPE24-002</t>
  </si>
  <si>
    <t>SXHDPE24-003</t>
  </si>
  <si>
    <t>TUDONGHOA24-001</t>
  </si>
  <si>
    <t>TUDONGHOA24-002</t>
  </si>
  <si>
    <t>TUDONGHOA24-003</t>
  </si>
  <si>
    <t>PHONGMUA24-001</t>
  </si>
  <si>
    <t>KYTHUAT24-001</t>
  </si>
  <si>
    <t>KYTHUAT24-002</t>
  </si>
  <si>
    <t>KYTHUAT24-003</t>
  </si>
  <si>
    <t>KYTHUAT24-004</t>
  </si>
  <si>
    <t>KYTHUAT24-005</t>
  </si>
  <si>
    <t>KYTHUAT24-006</t>
  </si>
  <si>
    <t>KYTHUAT24-007</t>
  </si>
  <si>
    <t>KYTHUAT24-008</t>
  </si>
  <si>
    <t>KYTHUAT24-009</t>
  </si>
  <si>
    <t>KTQT24-001</t>
  </si>
  <si>
    <t>Code hệ thống</t>
  </si>
  <si>
    <t>LOẠI</t>
  </si>
  <si>
    <t>ĐỊNH NGHĨA</t>
  </si>
  <si>
    <t>Tăng năng suất</t>
  </si>
  <si>
    <t>Giảm lao động, giảm di chuyển, giảm chờ đợi</t>
  </si>
  <si>
    <t>Áp dụng MMTB để tăng hiệu suất làm việc, tăng an toàn lao động,…</t>
  </si>
  <si>
    <t>Giảm hao hụt trong sản xuất</t>
  </si>
  <si>
    <t>Giảm hao hụt mất đi</t>
  </si>
  <si>
    <t>Tiết kiệm năng lượng</t>
  </si>
  <si>
    <t>Tiết kiệm điện, nước, xăng dầu,…</t>
  </si>
  <si>
    <t>Giảm tỷ lệ phó sản</t>
  </si>
  <si>
    <t>Giảm tỷ lệ phó sản phát sinh trong sản xuất</t>
  </si>
  <si>
    <t>Gia tăng giá trị phó sản</t>
  </si>
  <si>
    <t>Xử lý tái sử dụng phó sản, gia công phó sản để bán</t>
  </si>
  <si>
    <t>Khác</t>
  </si>
  <si>
    <t>PHÂN BỔ GIÁ TRỊ TIẾT KIỆM CỦA PHÒNG KTTC</t>
  </si>
  <si>
    <t>CAITIEN24-021</t>
  </si>
  <si>
    <t>CAITIEN24-022</t>
  </si>
  <si>
    <t>CAITIEN24-023</t>
  </si>
  <si>
    <t>CAITIEN24-024</t>
  </si>
  <si>
    <t>Kế Toán Tài Chính</t>
  </si>
  <si>
    <t>Quản Lý Chất Lượng HDPE</t>
  </si>
  <si>
    <t>Hoàn tiền thuế trước thời hạn</t>
  </si>
  <si>
    <t>Bán USD</t>
  </si>
  <si>
    <t>Đảo nợ</t>
  </si>
  <si>
    <t>Sử dụng phó sản để tạo hạt thành phẩm:
- Trước cải tiến: Phó sản 1,2 sau tách màu sẽ được lưu kho không có giá trị cao, chưa có hướng xử lý.
- Sau cải tiến: Tạo mã BTP (SP-HV-01.4, SP-HV-01.5) phù hợp tiêu chuẩn cho PS1,2 sau tách màu. BTP SP-HV-01.4, SP-HV-01.5 sẽ được phối trộn để tạo ra hạt thành phẩm MBF01, rHDB03N02, rHDB03N03. Các mã này sẽ được bán cho các khách hàng không yêu cầu về màu sắc đại trà.</t>
  </si>
  <si>
    <t>Phạm Huỳnh Ý Nhi</t>
  </si>
  <si>
    <t>Sầm Minh Tuấn</t>
  </si>
  <si>
    <t>KTTC24-001</t>
  </si>
  <si>
    <t>KTTC24-002</t>
  </si>
  <si>
    <t>KTTC24-003</t>
  </si>
  <si>
    <t>SXHDPE24-004</t>
  </si>
  <si>
    <t xml:space="preserve">2023-SANXUAT-TK-303 </t>
  </si>
  <si>
    <t xml:space="preserve">2023-SANXUAT-TK-706 </t>
  </si>
  <si>
    <t xml:space="preserve">2023-SANXUAT-TK-705 </t>
  </si>
  <si>
    <t>2024-SANXUAT-TK-180</t>
  </si>
  <si>
    <t>2024-SANXUAT-TK-183</t>
  </si>
  <si>
    <t>2024-SANXUAT-TK-186</t>
  </si>
  <si>
    <t xml:space="preserve">2023-VANPHONG-TK-466 </t>
  </si>
  <si>
    <t>RECKT-23.182.045</t>
  </si>
  <si>
    <t>2024-KT-CTST-64</t>
  </si>
  <si>
    <t>2024-KT-CTST-56</t>
  </si>
  <si>
    <t>2024-NL-CTST-63</t>
  </si>
  <si>
    <t>2024-KT-TK-39</t>
  </si>
  <si>
    <t>2024-DTR-TK-206</t>
  </si>
  <si>
    <t>2024-KT-TK-182</t>
  </si>
  <si>
    <t>2024-KT-TK-290</t>
  </si>
  <si>
    <t>ĐỊNH NGHĨA PHÂN LOẠI Ý TƯỞNG</t>
  </si>
  <si>
    <t>Link</t>
  </si>
  <si>
    <t>NỘI DUNG - PHẦN MỀM QUẢN LÝ Ý TƯỞNG</t>
  </si>
  <si>
    <t>Diễn giải</t>
  </si>
  <si>
    <t>Số ý tưởng cải tiến khả thi</t>
  </si>
  <si>
    <t>Giá trị tiết kiệm đã thực hiện (trđ)</t>
  </si>
  <si>
    <t>Giá trị tiết kiệm kế hoạch (trđ)</t>
  </si>
  <si>
    <t>Cải tiến giảm tỷ lệ chai B8 (chai phế) từ 5.8% xuống 2.8% (Giảm 3%)
Mỗi tháng ước tính giảm 67.5 T.
Lợi ích tiết kiệm 371.250.000 đồng
Mỗi năm tiết kiệm 4.455.000.000 đồng (bốn tỷ bốn trăm năm mươi lăm triệu đồng</t>
  </si>
  <si>
    <t>Thực trạng: Máy trộn 5 T và máy trộn Maguire hiện đang vận hành tổng cộng 5 nhân viên: Trong đó 1 xe nâng và 4 vận hành máy
Công việc lãng phí gây tốn nhân sự có thể giảm thiểu là: việc cân đong công thức trộn và đóng gói phải dùng gào xúc vảy để đảm bảo khối lượng đóng gói. 
=&gt; Hiện 2 nhân viên phối hợp cân thủ công: =&gt; Cải tiến mua xe nâng tay vừa lấy hàng vừa cân đong khối lượng =&gt; Giảm 1 nhân công/máy=&gt;
4 máy 4 nhân công. Tổng giảm 8 người
Lợi ích: Giảm nhân công thao tác, giảm rơi vảy ra sàn khi sang chiết thủ công.
Cải tiến này áp dụng cho 2 máy trộn 10T đang đầu tư
Tiết kiệm:  800 triệuđồng/ tháng</t>
  </si>
  <si>
    <t>Xe nâng lấy hạt ở máy Starlinger đang sử dụng xe nâng điện lớn tuy nhiên không gian nơi lấy hạt lại quá hẹp. Tiền sử đã xảy xa các vụ va chạm vào thiết bị máy móc làm hư hỏng thiết bị.
Để vận hành được xe nâng đó cần phải tốn chi phí thuê 1 nhân viên vận hành xe nâng
=&gt; Đề án cải tiến: Mua xe nâng điện dắt tay, nhỏ gọn để lấy hạt. Chi phí đầu tư: 85 triệu, không cần thuê tài xế , nhân viên đóng gói tự điều khiển lấy hạt
=&gt; Lợi ích: Giảm 2 nv xe nâng (1 ca12 giảm 1 người, mỗi ngày 2 ca giảm 2 người). Hạn chế nguy cơ va chạm vào thiết bị máy móc, hạn chế sự cố tai nạn xe nâng.
- Lợi nhuận: mỗi năm lợi nhuận 240 triệu đồng chi phí gảm nhân công. Thời gian hoàn vốn: 4 tháng
                     Giảm 1 xe nâng lấy hạt =&gt; Chuyển xe nâng cho kho. Tiết kiệm chi phí mua xe nâng cho kho: 470 triệu đồng
Tổng giá trị cải tiến: 240 triệu + 470 triệu = 710 triệu</t>
  </si>
  <si>
    <t>Hiện tại các máy HD sản lượng nâng suất thấp.
Cải tiến: Khảo sát thực tế máy chạy xử lý thắt cổ chai từng công đoạn và nhờ kỹ thuật hiệu chỉnh máy móc thiết bị được tối ưu sản xuất. Bằng chứng các sản phẩm đã tăng năng suất so với routing như máy:
- ACTI rửa vảy HD thổi trong 500kg/giờ =&gt; 600kg - 800kg/giờ
- MOOG rửa vảy Olefin từ 350kg/giờ =&gt; 500kg - 700kg/giờ
Giá trị mang lại: Giảm giờ công, giảm giờ máy chạy tiêu hao điện năng,....</t>
  </si>
  <si>
    <t>Khảo sát bố trí nhân viên cắt giảm các công đoạn, các thao tác không tạo ra gia trị lớn. 
Bằng chứng đã giảm nhân viên sắp xếp chạy máy các sản phẩm thấp hơn routing (xem file đính kèm thư mục giá trị cải tiến) như:
- Máy NGR-01 tạo hạt MBF01 từ 5 nhân viên/ ca =&gt; còn 3 nhân viên/ ca
- Máy POLY-01 tạo hạt từ 2 nhân viên =&gt; còn 1 nhân viên/ ca</t>
  </si>
  <si>
    <t xml:space="preserve">PS2 QMT có lẫn rất nhiều vảy HD ép màu dương ( ~ 40 - 50% ). đưa PS này lên máy TAIH để tách lấy lượng vảy HD ép dương này ( HD ép đang rất cần màu dương để đáp ứng nhu cầu thị trường ). Lượng PS2 QMT này đang tồn ~ 100 tấn, và còn phát sinh thêm trong quá trình sản xuất </t>
  </si>
  <si>
    <t>Hiện trạng: sau khi lột nhãn bình 5 gallon, nhân viên phải bỏ bình vào bao, thay bao khi bao đầy, kéo bao lại vị trí máy băm, cấp tay bình lên băng tải máy băm. Cải tiến: 1. Xem xét năng suất lột nhãn hiện tại, có thể bố trí thêm 1 bồn co nhiệt để tăng năng suất lột (1 máy cần 1 người cấp và 2 người lột, 2 máy có thể 1 người cấp và 4 người lột )=&gt; tiết kiệm 1 người cấp vào bồn co 2. Sau khi năng suất lột tương đương năng suất máy băm (~1.5tấn/h), dời vị trí lột nhãn lại trước băng tải máy băm, nhân viên lột nhãn xong thì bỏ bình thẳng vào băng tải =&gt; giảm 1 người cấp vào băng tải, giảm công vô bao, kéo bao, dẹp bao.... Với năng suất 50tấn/ tháng, khả năng tiết kiệm rất lớn.</t>
  </si>
  <si>
    <t>Chuyền băm PET: Công nhân lựa chai còn nhiều thao tác thừa, 1 người làm nhiều việc chưa tối ưu hiệu suất.
Cải tiến: Lắp thêm thanh chia đôi băng tải và 2 thanh giới hạn băng tải 2 bên, áp dụng quy trình lựa chai mới: 2 người đầu chỉ lựa và lấy chai ra, 4 người tiếp theo chỉ lột nhãn.
Giá trị tiết kiệm: Chuyền băm 1: giảm từ 8 còn 6 người/ca
Chuyền băm 2: Có thể giảm từ 10 còn 8 người/ca. 
Đã triển khai trên chuyền băm 1 và đang làm cho chuyền băm 2, dự kiến ngày 6/12 sẽ lắp đặt.</t>
  </si>
  <si>
    <t>2023-VANPHONG-TK-560</t>
  </si>
  <si>
    <t xml:space="preserve">Sử dụng hỗn hợp  hóa chất tẩy rửa các chuyền băm rửa để vệ sinh bộ trao đổi nhiệt dầu của các máy  chân không của các máy starlinger. Giảm thời gian vệ sinh , Hiệu quả vệ sinh rất tốt, tiết kiệm hơn nhiều so với sử dụng RP7 vệ sinh </t>
  </si>
  <si>
    <t>CẢI TIẾN TĂNG SỐ LƯỢNG DAO CẮT TRÊN CÙM DAO CẮT MÁY STARLINGER 330 TỪ 20 DAO/ CÙM LÊN 24 DAO / CÙM. MỤC ĐÍCH GIẢM TỐC ĐỘ DAO CẮT TĂNG TUỔI THỌ CÁC THIẾT BỊ TRÊN MÁY, TĂNG THỜI GIAN SỦ DỤNG KHUÔN DAO, GIẢM SỐ LẦN DỪNG MÁY THAY KHUÔN DAO</t>
  </si>
  <si>
    <t>Trước đây việc vệ sinh lọc ETTLINGER cần gửi qua Malaysia  với chi phí khoảng 700 USD trong thời gian 2 tuần 
Cải tiến đầu tư thiết bị vệ sinh chân không để vệ sinh lọc ETTLINGER ở tại nhà máy tiết kiệm chi phí &amp; thời gian</t>
  </si>
  <si>
    <t>Lọc Ettlinger hiện tại sử dụng trên máy tạo hạt NGR-01 với giá trị cao
NCC mới báo giá bộ lọc giá rẻ hơn 70% so với NCC hiện hữu</t>
  </si>
  <si>
    <t>Thay đổi nhà may đồng phục công ty từ Chánh Đakao (áo sơ mi, quần áo bảo vệ), Duyên Trang (áo thun các màu) sang nhà may Sư Tử Vàng giá thành thấp hơn để tiết kiệm chi phí</t>
  </si>
  <si>
    <t xml:space="preserve">	Đảo nợ ngân hàng: trả nợ khoản vay với lãi suất trước kỳ hạn, vay lại với lãi suất thấp hơn lãi suất ban đầu</t>
  </si>
  <si>
    <t xml:space="preserve">	Tiết kiệm về việc bán USD trong các lần giao dịch: thương lượng giữa các ngân hàng để bán USD cao hơn giá niêm yết tại các ngân hàng</t>
  </si>
  <si>
    <t xml:space="preserve">	Hoàn thuế: chuẩn bị tốt hồ sơ hoàn thuế để cơ quan thuế xem xét hồ sơ theo loại hình hoàn trước, kiểm sau--&gt; Cơ quan thuế sẽ giải quyết hồ sơ trong vòng 6 ngày làm việc--&gt; Công ty sẽ nhận được tiền hoàn thuế Nếu hồ sơ không tốt (có rủi ro) Cơ quan thuế sẽ xem xét hồ sơ theo loại hình kiểm trước, hoàn sau khoảng 60 ngày làm việc--&gt;Công ty sẽ nhận được tiền hoàn thuế</t>
  </si>
  <si>
    <t>TỔNG</t>
  </si>
  <si>
    <t>Sản xuất</t>
  </si>
  <si>
    <t>1. GIẢM TỶ LỆ PHÓ SẢN PHÁT SINH - XỬ LÝ B8 NGAY TẠI CHUYỀN.</t>
  </si>
  <si>
    <t>Trước cải tiến</t>
  </si>
  <si>
    <t>Sau cải tiến</t>
  </si>
  <si>
    <t>Chai B8 được lựa ra -&gt; ép kiện -&gt; lưu kho -&gt; băm lại -&gt; rửa nóng -&gt; rửa lạnh -&gt; phối trộn 25%
Tỷ lệ chai B8: 6%</t>
  </si>
  <si>
    <t>Sắp xếp lại nhân công lựa và trang bị công cụ dao, kéo, kềm để xử lý các chai này trong lúc sản xuất để đưa vào Băm, không lưu kho.
Tỷ lệ chai B8: 0%</t>
  </si>
  <si>
    <t>Sau cải tiến giảm tỷ lệ phó sản chai dơ B8 phát sinh tại chuyền từ 6% còn 0% =&gt; giảm giá thành 20 USD/tấn.</t>
  </si>
  <si>
    <t>2. GIẢM TỶ LỆ PHÓ SẢN PHÁT SINH -  QUAY ĐẦU RỬA LẠI ZIGZAG, TOMRA ĐỂ THU HỒI VẢY TẠO HẠT</t>
  </si>
  <si>
    <t>Phó sản sinh ra -&gt; lưu kho -&gt; phân loại -&gt; xử lý theo từng loại phó sản
Tỷ lệ zigzag: 4,9%
Tỷ lệ Tomra: 3,2%</t>
  </si>
  <si>
    <t>Phó sản sinh ra -&gt; phân loại + xử lý quay đầu tại chuyền
Tỷ lệ zigzag: 0,1%
Tỷ lệ Tomra: 0,6%</t>
  </si>
  <si>
    <t>Sau cải tiến quay đầu phó sản Zigzag, Tomra =&gt; giảm 29$/ tấn</t>
  </si>
  <si>
    <t>3. CẢI TIẾN LỘT NHÃN BÌNH LAVIE 5 GALLON + CẤP LIỆU VÀO MÁY BĂM CARN-01</t>
  </si>
  <si>
    <t>Lột nhãn bằng tay -&gt; bỏ bình sau lột nhãn vào bao Jumbo -&gt; kéo bao Jumbo đến máy băm để băm.
Khâu lột nhãn : cần 5 người
Khâu băm: cần 2 người
Tổng cộng: 7 người</t>
  </si>
  <si>
    <t>1. Lắp đặt máy khò nhiệt để dễ lột nhãn
2.  Đặt máy khò gần máy băm 
3. Công nhân lột nhãn nhanh -&gt; bỏ thẳng và băng tải dẫn lên máy băm
 =&gt; tiết kiêm được 2 nhân công
  =&gt; nhân sự cần cho công đoạn này: 5 người</t>
  </si>
  <si>
    <t>Sau cải tiến   =&gt; giảm giá thành 10 USD/tấn</t>
  </si>
  <si>
    <t>4. CẢI TIẾN LẮP THIẾT BỊ XẢ BAO JUMBO VẢY 500kg TỰ ĐỘNG - GIẢM NGƯỜI CHUYỀN RỬA</t>
  </si>
  <si>
    <t xml:space="preserve"> - Xe nâng nâng bao vảy lên vị trí khung đỡ để nhân viên mở đáy bao -&gt; đặt lên khung -&gt; nhân viên này phụ trách xả vảy ra khỏi bao (thường xuyên dùng dụng cụ tác động vào bao để vảy rơi xuống)
 - Mỗi trạm xả bao cần xe nâng và 1 nhân viên đứng xả vảy</t>
  </si>
  <si>
    <t>Lắp đặt Palang xả bao tự động: nhân viên dùng xe nâng tay kéo bao Jumbo đến vị trí cần nạp liêu, dùng Palang cẩu bao lên và bấm nút xả bao tự động. (Palang có hệ thống vỗ bao tự động)
=&gt; Giảm 1 xe nâng và 0,5 công</t>
  </si>
  <si>
    <t>Hiện tại đã làm 5 trạm:</t>
  </si>
  <si>
    <t>Rửa nóng 1</t>
  </si>
  <si>
    <t>Rửa lạnh 1</t>
  </si>
  <si>
    <t>Rửa lạnh 2</t>
  </si>
  <si>
    <t>Star 2</t>
  </si>
  <si>
    <t>Star 3</t>
  </si>
  <si>
    <t>257tr/hệ</t>
  </si>
  <si>
    <t>5. ĐẦU TƯ XE NÂNG CÂN ĐIỆN TỬ, GIẢM NGƯỜI CHUYỀN RỬA</t>
  </si>
  <si>
    <t>Vảy sạch được cân bằng cân bàn: Nhân viên đóng gói bao vảy từ máy rửa khi khối lượng gần đầy thì dùng xe nâng dầu nâng lên cân bàn kiểm tra khối lượng, nếu thiếu thì châm thêm, nếu dư thì xúc ra bớt.
Nhân công đóng gói: 1 người
Nhân công đứng cân: 1 người
Xe nâng: 1</t>
  </si>
  <si>
    <t>Đầu tư xe nâng tay có cân: Bao vảy đặt trên xe nâng có cân -&gt; khi đủ khối lượng thì nhân viên kéo bao ra.
Nhân công đóng gói: 1 người
 =&gt; giảm 1 người, 1 xe nâng + 1 tài xế</t>
  </si>
  <si>
    <t>Đã đầu tư bao nhiêu cái, giá bao nhiêu?</t>
  </si>
  <si>
    <t>Sau cải tiến  xả bao jumbo và xe nâng có cân điện tử =&gt; giảm giá thành 2 USD/tấn.</t>
  </si>
  <si>
    <t>Đã mua 5 cái, giá ~ 38tr/cái</t>
  </si>
  <si>
    <t>6. CẢI TIẾN QUY TRÌNH LỰA CHAI TRÊN CHUYỀN BĂM PET 1 và 2</t>
  </si>
  <si>
    <t xml:space="preserve">Trên băng tải lựa chai của chuyển băm 1 và 2 các nhân viên vừa lựa chai và xử lý nhãn.
Chuyền Băm 1: cần 8 người
Chuyền Băm 2: cần 10 người
</t>
  </si>
  <si>
    <t>Lắp thêm các vách ngăn bằng inox, phân 2 người đầu tiên chỉ lựa chai, 
chai còn nhãn thì bỏ vào vách ngăn inox để những người tiếp theo xử lý
 lột nhãn rồi bỏ chai lại vào băng tải.
Chuyền Băm 1: cần 6 người =&gt; tiết kiệm 2 người
Chuyền Băm 2: cần 9 người =&gt; tiết kiệm 1 người</t>
  </si>
  <si>
    <t>Sau cải tiến   =&gt; giảm giá thành 2 USD/tấn.</t>
  </si>
  <si>
    <t>7. CẢI TIẾN GIẢM XE NÂNG CHUYỀN TẠO HẠT</t>
  </si>
  <si>
    <t>Các vị trí ra hạt dùng xe nâng lớn (dầu hoặc điện) để lấy hạt. Nguy cơ va chạm, mất an toàn lao động và ảnh hưởng khói dầu đến sản phẩm.</t>
  </si>
  <si>
    <t>Đàu tư xe nâng tay điện. Nhân viên vận hành xử dụng xe nâng tay để lấy hạt
=&gt; giảm 2 tài xế và xe nâng lớn</t>
  </si>
  <si>
    <t>Đã mua 1 cái, giá ~ 81tr/cái</t>
  </si>
  <si>
    <t>Sau cải tiến   =&gt; giảm giá thành 2 USD/tấn thành vảy rPET băm chưa rửa.</t>
  </si>
  <si>
    <t>8. XỬ LÝ PHÓ SẢN HD THỔI TRONG VẢY L2 QMT</t>
  </si>
  <si>
    <t>9. TÁI SỬ DỤNG HÓA CHẤT TẨY RỬA CHUYỀN BĂM</t>
  </si>
  <si>
    <t>160012457</t>
  </si>
  <si>
    <t>Phó Sản HD Thổi Trong Vảy L1 QMT</t>
  </si>
  <si>
    <t>160012458</t>
  </si>
  <si>
    <t>Phó Sản HD Thổi Trong Vảy L2 QMT</t>
  </si>
  <si>
    <t>160012450</t>
  </si>
  <si>
    <t>Vảy HD Thổi Trong HV-01.3</t>
  </si>
  <si>
    <t>10. TẬN DỤNG BỒN TRỘN MÁY STARLINGER</t>
  </si>
  <si>
    <t>13. TÁI SỬ DỤNG BỘ LỌC STARLINGER 1,2 CHO STARLINGER 3</t>
  </si>
  <si>
    <t>14. THAY ĐỔI DẦU VACCUM MÁY STARLINGER, SSP ĐỂ GIẢM THIỂU DỪNG MÁY</t>
  </si>
  <si>
    <t>15. THAY ĐỔI NHÀ CUNG CẤP LỌC ETTLINGER ĐỂ GIẢM CHI PHÍ</t>
  </si>
  <si>
    <t>Check sheet "Trình bày"</t>
  </si>
  <si>
    <t>Phó sản loại 2 từ vảy QMT chưa có hướng xử lý để tồn kho</t>
  </si>
  <si>
    <t>Sau cải tiến đã xử lý 180,9 tấn, thu lợi 668 triệu.</t>
  </si>
  <si>
    <t>8. XỬ LÝ PHÓ SẢN HD QMT LOẠI 2 THÀNH VẢY HV01.3</t>
  </si>
  <si>
    <t>Đem tách màu -&gt; vảy HV01.3 -&gt; tạo ra hạt MBF01.
 =&gt; tăng giá trị sản phẩm</t>
  </si>
  <si>
    <t>sử dụng RP7 vệ sinh bộ trao đổi nhiệt dầu của các máy tạo hạt Starlinger, chân không máy SSP</t>
  </si>
  <si>
    <t xml:space="preserve">Sau cải tiến </t>
  </si>
  <si>
    <t>Sử dụng hóa chất NAOH thay cho chai RP7
 = &gt;  1. Tăng thời hạn sử dụng thiết bị từ 2 năm -&gt; 4 năm -&gt; giảm chi phí thiết bị
         2. giảm chi phí vệ sinh</t>
  </si>
  <si>
    <t>Tính thêm giá trị RP7 sv NAOH</t>
  </si>
  <si>
    <t>Sử dụng máy MIX để trộn nguyên liệu -&gt; đưa vào bồn trộn của máy để nạp liệu</t>
  </si>
  <si>
    <t>ở chuyền Starlinger 1 và 2 tận dụng bồn trộn liệu có sẵn trên máy để trộn liệu, không cần trộn trước.
 =&gt; tiết kiệm 1 nhân công, chi phí điện</t>
  </si>
  <si>
    <t>Sau cải tiến   =&gt; giảm giá thành 6 USD/tấn thành hạt rPET</t>
  </si>
  <si>
    <t>Công suất máy 3 lớn, không trộn kịp</t>
  </si>
  <si>
    <t>11. GIẢM THỜI GIAN / CHI PHÍ VỆ SINH LỌC ETTLINGER</t>
  </si>
  <si>
    <t xml:space="preserve">Trước đây việc vệ sinh lọc ETTLINGER cần gửi qua Malaysia với chi phí khoảng 700 USD trong thời gian 4 tuần </t>
  </si>
  <si>
    <t>Sau cải tiến   =&gt; giảm giá thành 4 USD/tấn thành hạt rPET</t>
  </si>
  <si>
    <t>Sử dụng lọc mới BUSCH 0532 140 159 (710022797) cho máy Starlinger 3</t>
  </si>
  <si>
    <t>Sau cải tiến   =&gt; giảm giá thành 0,1 USD/tấn thành hạt rPET</t>
  </si>
  <si>
    <t>Sau cải tiến   =&gt; giảm giá thành 3 USD/tấn thành hạt rHDPE</t>
  </si>
  <si>
    <t xml:space="preserve">Cải tiến đầu tư thiết bị vệ sinh chân không để vệ sinh lọc ETTLINGER ở tại nhà máy t =&gt; tiết kiệm chi phí &amp; thời gian chờ.
</t>
  </si>
  <si>
    <t>12. THAY ĐỔI CÙM DAO MÁY STARLINGER 3 ĐỂ TĂNG TUỔI THỌ/GIẢM CHI PHÍU DAO/KHUÔN</t>
  </si>
  <si>
    <t>Dao ~ 165K/ dao
Khuôn ~ 308 tr/khuôn)</t>
  </si>
  <si>
    <t>Cải tiến thay đổi sử dụng cùm dao 24 dao/cùm. 
 =&gt; giảm tốc độ dao cắt tăng tuổi thọ các thiết bị trên máy, tăng thời gian sủ dụng khuôn dao, giảm số lần dừng máy thay khuôn dao:
 - Máy chạy 300 giờ dừng máy 3 tiếng để thay dao + khuôn
 - Tổng số giờ sử dụng khuôn 600 giờ
 - Số lượng dao sử dụng 1 tháng ~ 48 cái
 - Số lượng khuôn sử dụng 1 tháng ~1 cái</t>
  </si>
  <si>
    <t>Máy Stalinger 3 sử dụng cùm dao 20 dao/cùm.
 - Máy chạy 130 giờ dừng máy 3 tiếng để thay dao + khuôn
 - Tổng số giờ sử dụng khuôn 390 giờ
 - Số lượng dao sử dụng 1 tháng ~ 111 cái
 - Số lượng khuôn sử dụng 1 tháng ~2 cái</t>
  </si>
  <si>
    <t>Hiện tại sử dụng S2 B100
 - Chu kỳ thay dầu 1.000 giờ
 - Số lần ngưng máy 8 lần /1 năm/máy</t>
  </si>
  <si>
    <t>Sử dụng dầu thay thế MILES SB COMP OIL 100
 - Chu kỳ thay dầu 2.000 giờ
 -  Số lần ngưng máy 4 lần/1 năm/máy</t>
  </si>
  <si>
    <t>Số giờ dừng máy để thay dầu?</t>
  </si>
  <si>
    <t>16. XỬ LÝ PHÓ SẢN HDPE ĐỂ TẠO HẠT</t>
  </si>
  <si>
    <t>Phó sản 1,2 sau tách màu được lưu kho ngoài trời không có giá trị cao, chưa có hướng xử lý, chiếm diện tích kho.</t>
  </si>
  <si>
    <t>Tạo mã bán thành phẩm (SP-HV-01.4, SP-HV-01.5) phù hợp tiêu chuẩn cho phó sản 1,2 sau tách màu. Bán thành phẩm SP-HV-01.4, SP-HV-01.5 sẽ được phối trộn để tạo ra hạt thành phẩm MBF01, rHDB03N02, rHDB03N03. Các mã này sẽ được bán cho các khách hàng không yêu cầu về màu sắc đại trà.</t>
  </si>
  <si>
    <t>Năng suất Chuyền Active ~ 500 kg/h
Năng suất chuyền Moogetech rửa ~ 350kg/h</t>
  </si>
  <si>
    <t>Sau cải tiến   =&gt; giảm giá thành      USD/tấn thành hạt rHDPE</t>
  </si>
  <si>
    <t>Máy NGR-01 tạo hạt MBF01: 5 nhân viên/ ca (2 nạp liệu, 2 đóng gói, 1 xe nâng)
Máy POLY-01 tạo hạt: 2 nhân viên / ca (1 nạp liêu, 1 đóng gói)</t>
  </si>
  <si>
    <t>Khảo sát bố trí nhân viên cắt giảm các công đoạn, các thao tác không tạo ra gia trị lớn.
 =&gt; tiết kiêm nhân công
Máy NGR-01 tạo hạt MBF01: 3 nhân viên/ ca (1 nạp liệu, 1 đóng gói, 1 xe nâng)
Máy POLY-01 tạo hạt: 1 nhân viên / ca (1 người vừa nạp liệu vừa đóng gói)</t>
  </si>
  <si>
    <t>Khảo sát thực tế máy chạy xử lý thắt cổ chai từng công đoạn và nhờ kỹ thuật hiệu chỉnh máy móc thiết bị được tối ưu sản xuất.
 =&gt; tăng năng suất máy:
Năng suất Chuyền Active ~ 700 kg/h
Năng suất chuyền Moogetech rửa ~ 600kg/h</t>
  </si>
  <si>
    <t>18. CẢI TIẾN GIẢM CÔNG MÁY TẠO HẠT HD</t>
  </si>
  <si>
    <t>17. CẢI TIẾN TĂNG NĂNG SUÂT MÁY HD</t>
  </si>
  <si>
    <t>Mua bộ vật tư phụ kiện cho bộ lọc nhà cung cấp Ettlinger (Giá 156,6 triệu/ bộ)</t>
  </si>
  <si>
    <t>Đổi nhà cung cấp mới QingDao HongSu Technology (39,3 triệu/bộ)
 - Giá rẻ hơn 70%</t>
  </si>
  <si>
    <t>Sau cải tiến   =&gt; giảm giá thành 15 USD/tấn thành hạt rHD</t>
  </si>
  <si>
    <t>Tái sử dụng lọc cũ BUSCH 0532 140 159 từ máy stalinger 1, 2 (ở các vị trí bơm chân không) cho máy Stalinger 3
 =&gt; tiết kiệm chi phí.</t>
  </si>
  <si>
    <t>Bộ lọc ở các vị trí bơm chân không, lọc khí ra khỏi dầu
máy Star 1: 20 cái, máy Star 2: 4 cái =&gt; TC 24 cái
máy Star 3 cần 14 cái</t>
  </si>
  <si>
    <t>CAITIEN24-025</t>
  </si>
  <si>
    <t>CAITIEN24-026</t>
  </si>
  <si>
    <t xml:space="preserve">	Cải tiến công thức sản xuất hạt rPET, thay thế nguyên liệu B1/B3 chất lượng A1, A2 bằng nguyên liệu mới/phó sản/chất lượng A3 để tiết kiệm chi phí nguyên liệu và tối ưu năng suất sản xuất</t>
  </si>
  <si>
    <t>Lâm Hoàng Hảo</t>
  </si>
  <si>
    <t>R&amp;D</t>
  </si>
  <si>
    <t>CAITIEN24-027</t>
  </si>
  <si>
    <t>CAITIEN24-028</t>
  </si>
  <si>
    <t>Dự án tiết kiệm chi phí gia công Pallet ONEWAY từ Vảy (Trước cải tiến là từ hạt)</t>
  </si>
  <si>
    <t>Trần Văn Hiền</t>
  </si>
  <si>
    <t>Dự án tiết kiệm chi phí bao bì cho gia công Pallet ONEWAY. Trước cải tiến sử dụng bao 25 kg =&gt; Cải tiến sử dụng bao Jumbo cũ</t>
  </si>
  <si>
    <t>BỘ PHẬN (DROPLIST)</t>
  </si>
  <si>
    <t>Tổng</t>
  </si>
  <si>
    <t>Đã đạt</t>
  </si>
  <si>
    <t>Check</t>
  </si>
  <si>
    <t>TỔNG CỘNG</t>
  </si>
  <si>
    <t>CAITIEN24-029</t>
  </si>
  <si>
    <t>Cải tiến Vảy HDPE MBF01 Mixed không sử dụng Phụ gia TiO2 =&gt; Thay thế là Vảy HD Thổi Trắng Sữa HV-02.1 và HV-02.2</t>
  </si>
  <si>
    <t>TUDONGHOA24-004</t>
  </si>
  <si>
    <t>R&amp;D24-001</t>
  </si>
  <si>
    <t>SXHDPE24-005</t>
  </si>
  <si>
    <t>SXHDPE24-006</t>
  </si>
  <si>
    <t>19. TIẾT KIỆM CHI PHÍ SẢN XUẤT PALLET ONEWAY</t>
  </si>
  <si>
    <t xml:space="preserve">Hiện tại khi sx pallet oneway thì DTR sẽ tạo hạt và gởi qua DTP gia công, tốn chi phí tạo hạt </t>
  </si>
  <si>
    <t>Đề xuất sử dụng 100% vảy pp loại 4 mix màu xong gởi DTP gia công luôn, không qua bước tạo hạt nhằm tiết kiệm chi phí tạo hạt</t>
  </si>
  <si>
    <t>20. TIẾT KIỆM CHI PHÍ BAO BÌ MANG ĐI GIA CÔNG PALLET ONEWAY</t>
  </si>
  <si>
    <t>Dự án tiết kiệm chi phí bao bì cho gia công Pallet ONEWAY</t>
  </si>
  <si>
    <t>Cải tiến sử dụng bao Jumbo cũ</t>
  </si>
  <si>
    <t>Cung ứng</t>
  </si>
  <si>
    <t>1.</t>
  </si>
  <si>
    <t>Nội dung</t>
  </si>
  <si>
    <t>T1/24</t>
  </si>
  <si>
    <t>- Trong đó số ý tưởng đem lại giá trị tiết kiệm</t>
  </si>
  <si>
    <t>% Giá trị tiết kiệm đã thực hiện sv kế hoạch</t>
  </si>
  <si>
    <t>Doanh thu (trđ)</t>
  </si>
  <si>
    <t>Kiểm soát giá mua</t>
  </si>
  <si>
    <t>KẾT QUẢ THỰC HIỆN TIẾT KIỆM</t>
  </si>
  <si>
    <t>CHI PHÍ BÌNH QUÂN / TẤN</t>
  </si>
  <si>
    <t>PHÂN TÍCH NHÂN TỐ TÁC ĐỘNG CHI PHÍ /TẤN</t>
  </si>
  <si>
    <t>KẾ HOẠCH ĐẠT MỤC TIÊU</t>
  </si>
  <si>
    <t>Tháng</t>
  </si>
  <si>
    <t>SUBTOTAL (chỉnh lại công thức nếu có thêm dòng cuối)</t>
  </si>
  <si>
    <t>% Giá trị cải tiến tiết kiệm / doanh thu</t>
  </si>
  <si>
    <t>Giá trị tiết kiệm kế hoạch (trđ) - Đạt bổ lại từ T8</t>
  </si>
  <si>
    <t>Giá trị tiết kiệm kế hoạch (trđ) - Cũ</t>
  </si>
  <si>
    <t>Chỉ tiêu phân bổ - cũ</t>
  </si>
  <si>
    <t>2.</t>
  </si>
  <si>
    <t>GIÁ TRỊ TIẾT KIỆM THEO NHÓM MỤC TIÊU</t>
  </si>
  <si>
    <t>ĐVT: triệu đồng</t>
  </si>
  <si>
    <t>Nhóm mục tiêu</t>
  </si>
  <si>
    <t>CỘNG</t>
  </si>
  <si>
    <t>Rank</t>
  </si>
  <si>
    <t>3.</t>
  </si>
  <si>
    <t>GIÁ TRỊ TIẾT KIỆM THEO BỘ PHẬN</t>
  </si>
  <si>
    <t>Kế Toán</t>
  </si>
  <si>
    <t>TRƯỚC CẢI TIẾN</t>
  </si>
  <si>
    <t>SAU CẢI TIẾN</t>
  </si>
  <si>
    <t>GIÁ TRỊ TIẾT KIỆM / TẤN THÀNH PHẨM</t>
  </si>
  <si>
    <t>1. Chuyền rửa: Vảy sạch được cân bằng cân bàn: Nhân viên đóng gói bao vảy từ máy rửa khi khối lượng gần đầy thì dùng xe nâng dầu nâng lên cân bàn kiểm tra khối lượng, nếu thiếu thì châm thêm, nếu dư thì xúc ra bớt.
Nhân công đóng gói: 1 người
Nhân công đứng cân: 1 người
Xe nâng: 1
2. Tạo hạt: Các vị trí ra hạt dùng xe nâng lớn (dầu hoặc điện) để lấy hạt. Nguy cơ va chạm, mất an toàn lao động và ảnh hưởng khói dầu đến sản phẩm.</t>
  </si>
  <si>
    <t xml:space="preserve"> 1. Chuyền rửa: Đầu tư xe nâng tay có cân: Bao vảy đặt trên xe nâng có cân -&gt; khi đủ khối lượng thì nhân viên kéo bao ra.
Nhân công đóng gói: 1 người
 =&gt; giảm 1 người, 1 xe nâng + 1 tài xế
2. Tạo hạt: Đầu tư xe nâng tay điện. Nhân viên vận hành xử dụng xe nâng tay để lấy hạt
=&gt; giảm 2 tài xế và xe nâng lớn</t>
  </si>
  <si>
    <t>Trên băng tải lựa chai của chuyển băm 1 và 2 các nhân viên vừa lựa chai và xử lý nhãn.
Chuyền Băm 1: cần 8 người
Chuyền Băm 2: cần 10 người</t>
  </si>
  <si>
    <t>Cải tiến đầu tư thiết bị vệ sinh chân không để vệ sinh lọc ETTLINGER ở tại nhà máy t =&gt; tiết kiệm chi phí &amp; thời gian chờ.</t>
  </si>
  <si>
    <t>Mua bộ vật tư phụ kiện cho bộ lọc Ettlinger nhà cung cấp</t>
  </si>
  <si>
    <t>Nhà cung cấp đồng phục Chánh ĐaKao
 - Áo sơ mi nhân viên: 445.000 đ/áo
 - Quần bảo vệ: 445.000 đ/quần
 - Áo bảo vệ: 380.000 đ/áo</t>
  </si>
  <si>
    <t>Nhà cung cấp đồng phục Sư tử Vàng
 - Áo sơ mi nhân viên: 240.000 / áo
 - Quần bảo vệ: 250.000 / quần
 - Áo bảo vệ: 240.000 / áo</t>
  </si>
  <si>
    <t xml:space="preserve">Cần 2 xe nâng + 7 nhân viên cho các vị trí
   + Nạp liệu RN2, RN3, RL3.
   + Nạp kiện chuyền Băm 1, 2, 3
</t>
  </si>
  <si>
    <t xml:space="preserve"> + Nạp liệu RN2, RN3, RL3: Lắp hệ palang xả bao, dùng xe nâng kéo tay điện chuyển bao tới.
 + Nạp kiện chuyền Băm 1,2,3: Lắp hệ palang cấp kiện, dùng xe nâng kéo tay điện chuyển kiện tới.</t>
  </si>
  <si>
    <t>Các loại phó sản zigzag, Tomra, B6.2, B5 được lưu kho hoặc nhập về từ Trạm nhưng chưa sử dụng, không có giá trị cao, chưa có hướng xử lý, chiếm diện tích kho.</t>
  </si>
  <si>
    <t>RnD đã công bố và bàn giao được 8 công thức sản xuất mã hạt chính phẩm iSS01G, WSS01G bằng nguyên liệu phó sản/vảy phân lập chất lượng A3 để tiết kiệm chi phí nguyên liệu và tối ưu năng suất sản xuất, tăng giá trị sản phẩm rPET.</t>
  </si>
  <si>
    <t>`</t>
  </si>
  <si>
    <t>Giá trị tiết kiệm / tấn TP (USD)</t>
  </si>
  <si>
    <t>Tháng tính tiết kiệm</t>
  </si>
  <si>
    <t>NGÀNH (DROPLIST)</t>
  </si>
  <si>
    <t>Tiết kiệm
(USD/tấn)</t>
  </si>
  <si>
    <t>Nội dung trình bày</t>
  </si>
  <si>
    <t>Phân loại chai B8 tại chuyền</t>
  </si>
  <si>
    <t>Cải tiến lột nhãn bình lavie 5 gallon + cấp liệu vào máy băm CARN-01</t>
  </si>
  <si>
    <t>Giảm tỷ lệ vảy tomra</t>
  </si>
  <si>
    <t>Cải tiến lột nhãn bình Lavie 5 gallon + cấp liệu vào máy băm CARN-01</t>
  </si>
  <si>
    <t>Cải tiến lắp thiết bị xả bao jumbo vảy 500kg tự động + đầu tư xe nâng cân điện tử -&gt; giảm người chuyền rửa</t>
  </si>
  <si>
    <t>Cải tiến quy trình lựa chai trên chuyền băm PET 1 và 2</t>
  </si>
  <si>
    <t>Giảm xe nâng chuyền tạo hạt</t>
  </si>
  <si>
    <t>Giảm tỷ lệ vảy Tomra, Zigzag</t>
  </si>
  <si>
    <t>Đổi sử dụng hóa chất tẩy rửa chuyền băm RP7 - NaOH</t>
  </si>
  <si>
    <t>Tận dụng bồn trộn máy Starlinger</t>
  </si>
  <si>
    <t>Thay đổi cùm dao máy Starlinger 330 để tăng tuổi thọ/giảm chi phí dao/khuôn</t>
  </si>
  <si>
    <t>Tái sử dụng bộ lọc Starlinger 1,2 cho Starlinger 3</t>
  </si>
  <si>
    <t>Thay đổi dầu vaccum máy Starlinger, SSP để giảm thiểu dùng máy</t>
  </si>
  <si>
    <t>Giảm thời gian/chi phí vệ sinh lọc ettlinger (HD02)</t>
  </si>
  <si>
    <t>Thay đổi nhà cung cấp lọc Ettlinger -&gt; sang NCC QingDao HongSu Technology đê giảm chi phí (Dùng cho máy NGR-01)</t>
  </si>
  <si>
    <t>Hao hụt</t>
  </si>
  <si>
    <t>Gom nhóm</t>
  </si>
  <si>
    <t>+/-</t>
  </si>
  <si>
    <t>Biến phí/tấn-Giá mua</t>
  </si>
  <si>
    <t>Biến phí/tấn-Hao hụt</t>
  </si>
  <si>
    <t>Biến phí/tấn-Khác</t>
  </si>
  <si>
    <t>Tác động SL/Tấn</t>
  </si>
  <si>
    <t>Tác động Định phí/Tấn</t>
  </si>
  <si>
    <t>%</t>
  </si>
  <si>
    <t>Biến phí</t>
  </si>
  <si>
    <t>tr./tấn</t>
  </si>
  <si>
    <t>Nhựa phế</t>
  </si>
  <si>
    <t>Điện</t>
  </si>
  <si>
    <t>Chi phí bán hàng</t>
  </si>
  <si>
    <t>Phụ gia+Hóa chất theo BOM</t>
  </si>
  <si>
    <t>Phụ gia theo Bom</t>
  </si>
  <si>
    <t>Biến phí khác</t>
  </si>
  <si>
    <t>Vật liệu phục vụ SX</t>
  </si>
  <si>
    <t>Bao bì theo Bom</t>
  </si>
  <si>
    <t>Xăng dầu</t>
  </si>
  <si>
    <t>Hóa chất theo Bom</t>
  </si>
  <si>
    <t>Hóa chất XLNT</t>
  </si>
  <si>
    <t>Nước</t>
  </si>
  <si>
    <t>Màu theo Bom</t>
  </si>
  <si>
    <t>Định phí</t>
  </si>
  <si>
    <t>Thuê Xưởng, Kho, thuê máy</t>
  </si>
  <si>
    <t>Tổng Lương và Phụ Cấp</t>
  </si>
  <si>
    <t>Khấu hao</t>
  </si>
  <si>
    <t>Chi phí hoạt động quản lý</t>
  </si>
  <si>
    <t>Công cụ dụng cụ</t>
  </si>
  <si>
    <t>Bảo Trì + Sữa Chữa</t>
  </si>
  <si>
    <t>Lãi Vay</t>
  </si>
  <si>
    <t>Triệu</t>
  </si>
  <si>
    <t>Tr.đ</t>
  </si>
  <si>
    <t>Sản lượng SX</t>
  </si>
  <si>
    <t>Tấn</t>
  </si>
  <si>
    <t>Tác động lên chi phí/tấn</t>
  </si>
  <si>
    <t>Sản lượng sản xuất</t>
  </si>
  <si>
    <t>Tổng tác động</t>
  </si>
  <si>
    <t xml:space="preserve"> </t>
  </si>
  <si>
    <t>Giá mua</t>
  </si>
  <si>
    <t>VẼ</t>
  </si>
  <si>
    <t>Start</t>
  </si>
  <si>
    <t>Hidden</t>
  </si>
  <si>
    <r>
      <t xml:space="preserve">Các yếu tố </t>
    </r>
    <r>
      <rPr>
        <b/>
        <sz val="11"/>
        <color rgb="FFFF0000"/>
        <rFont val="Aptos Narrow"/>
        <family val="2"/>
        <scheme val="minor"/>
      </rPr>
      <t>tăng</t>
    </r>
    <r>
      <rPr>
        <b/>
        <sz val="11"/>
        <color theme="1"/>
        <rFont val="Aptos Narrow"/>
        <family val="2"/>
        <scheme val="minor"/>
      </rPr>
      <t xml:space="preserve"> giá thành</t>
    </r>
  </si>
  <si>
    <t>Các yếu tố giảm giá thành</t>
  </si>
  <si>
    <t>End</t>
  </si>
  <si>
    <t>Sản lượng
Sản xuất</t>
  </si>
  <si>
    <t>Link lên chart-trình bày</t>
  </si>
  <si>
    <t>Mục</t>
  </si>
  <si>
    <t>Nhân tố</t>
  </si>
  <si>
    <t>Ảnh hưởng</t>
  </si>
  <si>
    <t>Nguyên nhân</t>
  </si>
  <si>
    <t>1.1</t>
  </si>
  <si>
    <t>1.2</t>
  </si>
  <si>
    <t>1.3</t>
  </si>
  <si>
    <t>1.4</t>
  </si>
  <si>
    <t>1.5</t>
  </si>
  <si>
    <t>CÁC NHÂN TỐ TÁC ĐỘNG GIẢM CHI PHÍ</t>
  </si>
  <si>
    <t>2.1</t>
  </si>
  <si>
    <t>2.2</t>
  </si>
  <si>
    <t>2.3</t>
  </si>
  <si>
    <t>Giảm hao hụt + Kiểm soát giá mua</t>
  </si>
  <si>
    <t>2.4</t>
  </si>
  <si>
    <t>TỔNG CỘNG (1+2)</t>
  </si>
  <si>
    <t>Biến phí/tấn</t>
  </si>
  <si>
    <t>BQ 2024</t>
  </si>
  <si>
    <t>BQ 2023</t>
  </si>
  <si>
    <t>Sản lượng sx</t>
  </si>
  <si>
    <t>2.5</t>
  </si>
  <si>
    <t>Tác động giá mua (tr.đ/tấn)</t>
  </si>
  <si>
    <t>Sản lượng (kg)</t>
  </si>
  <si>
    <t>rHDPE</t>
  </si>
  <si>
    <t>rPP</t>
  </si>
  <si>
    <t>Đơn giá (đ/kg)</t>
  </si>
  <si>
    <t>Giá trị (VND)</t>
  </si>
  <si>
    <t>DỮ LIỆU THU MUA/HAO HỤT</t>
  </si>
  <si>
    <t>CHỈ TIÊU</t>
  </si>
  <si>
    <t>Đvt</t>
  </si>
  <si>
    <t>SẢN LƯỢNG</t>
  </si>
  <si>
    <t>kg</t>
  </si>
  <si>
    <t>GIÁ TRỊ</t>
  </si>
  <si>
    <t>VND</t>
  </si>
  <si>
    <t>ĐƠN GIÁ TRUNG BÌNH</t>
  </si>
  <si>
    <t>VND/kg</t>
  </si>
  <si>
    <t>HAO HỤT-THÁNG</t>
  </si>
  <si>
    <t>HAO HỤT-LŨY KẾ</t>
  </si>
  <si>
    <t>BÁO CÁO THÁNG</t>
  </si>
  <si>
    <t>TỔNG CHI PHÍ THÁNG (bao gồm chi phí thuê máy, thuê xưởng)</t>
  </si>
  <si>
    <t>Phân loại</t>
  </si>
  <si>
    <t>T1.24</t>
  </si>
  <si>
    <t>T2.24</t>
  </si>
  <si>
    <t>T3.24</t>
  </si>
  <si>
    <t>T4.24</t>
  </si>
  <si>
    <t>T5.24</t>
  </si>
  <si>
    <t>T6.24</t>
  </si>
  <si>
    <t>T7.24</t>
  </si>
  <si>
    <t>T8.24</t>
  </si>
  <si>
    <t>T9.24</t>
  </si>
  <si>
    <t>T10.24</t>
  </si>
  <si>
    <t>T11.24</t>
  </si>
  <si>
    <t>T12.24</t>
  </si>
  <si>
    <t>BQ TT 2024</t>
  </si>
  <si>
    <t>Giải trình</t>
  </si>
  <si>
    <t>I</t>
  </si>
  <si>
    <t>BIẾN PHÍ</t>
  </si>
  <si>
    <t>II</t>
  </si>
  <si>
    <t>ĐỊNH PHÍ</t>
  </si>
  <si>
    <t xml:space="preserve">Tổng chi phí </t>
  </si>
  <si>
    <t>Sản lượng thành phẩm SX</t>
  </si>
  <si>
    <t>Chi phí / tấn TP (tính CP thuê máy, xưởng)</t>
  </si>
  <si>
    <t>Chi phí/ tấn TP ( ko tính CP thuê máy, xưởng chỉ tính k.hao)</t>
  </si>
  <si>
    <t>CP thuê hạch tóan vào 632</t>
  </si>
  <si>
    <t>Tỷ trọng BQ 2024</t>
  </si>
  <si>
    <t>X</t>
  </si>
  <si>
    <t>Chi phí NVL/ tấn</t>
  </si>
  <si>
    <t>Chi phí sản suất / tấn</t>
  </si>
  <si>
    <t>ĐVT: %</t>
  </si>
  <si>
    <t>Chỉ tiêu</t>
  </si>
  <si>
    <t>THÁNG SO VỚI THÁNG</t>
  </si>
  <si>
    <t>Mục tiêu</t>
  </si>
  <si>
    <t>Số liệu_Rank</t>
  </si>
  <si>
    <t>THÁNG vs THÁNG</t>
  </si>
  <si>
    <t>% thực hiện giá trị tiết kiệm / doanh thu</t>
  </si>
  <si>
    <t>% TT sv KH</t>
  </si>
  <si>
    <t>Ngô Thị Phượng Hằng</t>
  </si>
  <si>
    <t>Cung cấp hồ sơ sớm nên khách hàng thanh toán sớm hơn thời hạn trong hợp đồng (Unilever)
Cung cấp hồ sơ sớm nên khách hàng thanh toán sớm hơn thời hạn trong hợp đồng (PRO)</t>
  </si>
  <si>
    <t xml:space="preserve"> Đề nghị RD không sử dụng vảy B6 trong công thức sản xuất WSS05SB
Sử dụng vảy B6.2 để tạo hạt WSS05SB 
=&gt; Giá thành cao, bán không đem lại lợi nhuận
Cảnh báo không sử dụng vảy B6.2 để giảm giá thành sản phẩm =&gt; RD đã không dùng công thức sản xuất từ B6.2</t>
  </si>
  <si>
    <t>Hoàng Thị Nhâm</t>
  </si>
  <si>
    <t>Tự gõ thêm</t>
  </si>
  <si>
    <t>Nguyễn Thị Thanh Diễm</t>
  </si>
  <si>
    <r>
      <t>CÁC NHÂN TỐ TÁC ĐỘNG</t>
    </r>
    <r>
      <rPr>
        <b/>
        <sz val="11"/>
        <color rgb="FFFF0000"/>
        <rFont val="Aptos Narrow"/>
        <family val="2"/>
        <scheme val="minor"/>
      </rPr>
      <t xml:space="preserve"> TĂNG </t>
    </r>
    <r>
      <rPr>
        <b/>
        <sz val="11"/>
        <color rgb="FF0000FF"/>
        <rFont val="Aptos Narrow"/>
        <family val="2"/>
        <scheme val="minor"/>
      </rPr>
      <t>CHI PHÍ</t>
    </r>
  </si>
  <si>
    <r>
      <t xml:space="preserve">CÁC NHÂN TỐ TÁC ĐỘNG </t>
    </r>
    <r>
      <rPr>
        <b/>
        <sz val="11"/>
        <color rgb="FFFF0000"/>
        <rFont val="Aptos Narrow"/>
        <family val="2"/>
        <scheme val="minor"/>
      </rPr>
      <t>TĂNG</t>
    </r>
    <r>
      <rPr>
        <b/>
        <sz val="11"/>
        <color rgb="FF0000FF"/>
        <rFont val="Aptos Narrow"/>
        <family val="2"/>
        <scheme val="minor"/>
      </rPr>
      <t xml:space="preserve"> CHI PHÍ</t>
    </r>
  </si>
  <si>
    <r>
      <t xml:space="preserve">CÁC NHÂN TỐ TÁC ĐỘNG </t>
    </r>
    <r>
      <rPr>
        <b/>
        <sz val="11"/>
        <color rgb="FFFF0000"/>
        <rFont val="Aptos Narrow"/>
        <family val="2"/>
        <scheme val="minor"/>
      </rPr>
      <t xml:space="preserve">GIẢM </t>
    </r>
    <r>
      <rPr>
        <b/>
        <sz val="11"/>
        <color rgb="FF0000FF"/>
        <rFont val="Aptos Narrow"/>
        <family val="2"/>
        <scheme val="minor"/>
      </rPr>
      <t>CHI PHÍ</t>
    </r>
  </si>
  <si>
    <t>T01.23</t>
  </si>
  <si>
    <t>T02.23</t>
  </si>
  <si>
    <t>T03.23</t>
  </si>
  <si>
    <t>T04.23</t>
  </si>
  <si>
    <t>T05.23</t>
  </si>
  <si>
    <t>T06.23</t>
  </si>
  <si>
    <t>T07.23</t>
  </si>
  <si>
    <t>T08.23</t>
  </si>
  <si>
    <t>T09.23</t>
  </si>
  <si>
    <t>T10.23</t>
  </si>
  <si>
    <t>T11.23</t>
  </si>
  <si>
    <t>T12.23</t>
  </si>
  <si>
    <t>Lũy kế</t>
  </si>
  <si>
    <t>Sản lượng TPSX</t>
  </si>
  <si>
    <t>CPSX/ tấn TP ( tính CP thuê máy, xưởng)</t>
  </si>
  <si>
    <t>CPSX/ tấn TP (ko tính CP thuê máy, xưởng)</t>
  </si>
  <si>
    <t>%/ CP</t>
  </si>
  <si>
    <t>%/ DT</t>
  </si>
  <si>
    <t>Hoa hồng bán hàng</t>
  </si>
  <si>
    <t>Doanh thu</t>
  </si>
  <si>
    <r>
      <t xml:space="preserve">Chỉ tiêu
</t>
    </r>
    <r>
      <rPr>
        <b/>
        <sz val="12"/>
        <color rgb="FFFFC000"/>
        <rFont val="Aptos Display"/>
        <family val="2"/>
        <scheme val="major"/>
      </rPr>
      <t>ĐVT: triệu đồng</t>
    </r>
  </si>
  <si>
    <r>
      <t xml:space="preserve">Chỉ tiêu
</t>
    </r>
    <r>
      <rPr>
        <b/>
        <i/>
        <sz val="12"/>
        <color rgb="FFFFC000"/>
        <rFont val="Aptos Display"/>
        <family val="2"/>
        <scheme val="major"/>
      </rPr>
      <t>ĐVT: triệu đồng/tấn</t>
    </r>
  </si>
  <si>
    <t>Kho</t>
  </si>
  <si>
    <t>2023-QC-TK-261</t>
  </si>
  <si>
    <t>Thay đổi Pallet gỗ 1 mặt sang sử dụng Pallet cũ 2 mặt</t>
  </si>
  <si>
    <t xml:space="preserve">	Xây dựng quy trình mới giảm sản lượng hàng bị lỗi IV.</t>
  </si>
  <si>
    <t>Tiết kiệm chi phí hợp tác truyền thông với khách hàng</t>
  </si>
  <si>
    <t>Đặng Lê Châu Đoan</t>
  </si>
  <si>
    <t>Trần Minh Hoàng</t>
  </si>
  <si>
    <t>Giảm chi phí pallet thành phẩm</t>
  </si>
  <si>
    <t>Quản Lý Chất Lượng PET</t>
  </si>
  <si>
    <t>2024-CTST-289</t>
  </si>
  <si>
    <t>Sử dụng B1 để tạo mã hạt iSS084G.
Điều chỉnh thông số máy tạo hạt, hệ SSP phù hợp để nâng iV đáp ứng chuẩn hạt 084G</t>
  </si>
  <si>
    <t>Huỳnh Tỷ Phú</t>
  </si>
  <si>
    <t>Chi phí cải tiến nâng cấp hệ chân không cho máy Starlinger-03 là 24,464 EUR ~ 653,996,112 VND
Làm việc với NCC Starlinger chi phí cải tiến nâng cấp hệ chân không là miễn phí (Free of Charge)
Giá trị tiết kiệm: 24,464 EUR ~ 653,996,112 VND</t>
  </si>
  <si>
    <t>Chi phí nâng cấp cho bồn HAD và PDU của máy Starlinger 1 là: 13,084.5 EUR ~ 349,787,938 VND
Làm việc trao đổi với NCC Starlinger chi phí để nâng cấp là miễn phí (Free of Charge)</t>
  </si>
  <si>
    <t xml:space="preserve">	Chi phí lắp đặt Static Mixer cho máy Starlinger-01 là 5,586.39 EUR ~ 149,340,963 VND
Làm việc trao đổi với NCC Starlinger chi phí lắp đặt là miễn phí (Free of Charge</t>
  </si>
  <si>
    <t>Tiết kiệm chi phí mua lưới lọc cho máy Starlinger 03</t>
  </si>
  <si>
    <t>Cải tiến tự động hóa công việc, giảm thời gian thao tác, tiết kiệm CP:
Việc tạo batch cho từng bao thành phẩm để kiểm soát hàng có thể giao và tuổi kho mất 5-6 tiếng/ngày/nhân sự.
Ý tưởng giải quyết vấn đề: tạo chương trình để upload thông tin một cách tự động lên SAP, mỗi lần load mất 5 phút</t>
  </si>
  <si>
    <t>Quản Lý Chất Lượng</t>
  </si>
  <si>
    <t>Hiện trạng: DTR đang mua các loại nguyên liệu thấp hơn TCKT đầu vào đã ban hành do đặc thì ngành tái chế tại VN, dẫn đến phát sinh rất nhiều lượng hàng hóa phó sản giá trị thấp, nhưng chưa thanh lý được, chưa nghiên cứu được nhiều ứng dụng cho các phó sản, cũng như chiếm dụng mặt bằng kho..
Nhà cung cấp khó sản xuất hàng hóa đạt theo TCKT của DTR, dẫn đến việc bị trừ loại, trừ tiền, không thỏa thuận được giá nên phải chở hàng về xử lý lại hoặc bán cho đối thủ =&gt; rủi ro mất 1 lượng lớn NCC.
Văn hóa "sạc trả bì" là truyền thống lâu đời của ngành phế liệu.
Đề xuất: chuyển đổi dần quy cách mua các loại vảy, chuyển hướng NCC sang bán hàng theo phương án tách màu trả phó sản, trả các lượng tách màu, tách loại và hàng chìm.
Hiệu quả: Giảm lượng phó sản cần xử lý, lưu trữ tại DTR, giải quyết được bài toán mặt bằng.
NCC có thể dễ dàng đồng hành cùng DTR, không cần tự đầu tư thêm máy móc thiết bị quá nhiều tiền, có thể tương lại trở thành đối thủ cạnh tranh với DTR.
Khó khăn: thuyết phục NCC chuyển đổi không phải dễ dàng, ngoài ra cần quản lý tốt việc phó sản trả đúng cho NCC, không lẫn với các NCC khác, tránh các khiếu nại dẫn đến việc các NCC không hợp tác nữa.
Đề xuất: tính tiết kiệm đối với các mã hàng đã chuyển đổi tách màu trả phó sản dựa trên nguồn tiền thu lại từ các NCC đã thực hiện.</t>
  </si>
  <si>
    <t>2023-SANXUAT-TK-303</t>
  </si>
  <si>
    <t>2023-SANXUAT-TK-705</t>
  </si>
  <si>
    <t>CP thuê hạch toán vào 632</t>
  </si>
  <si>
    <t>Giảm theo option 3</t>
  </si>
  <si>
    <t>CP thuê hạch toán vào 632 ( cũ)</t>
  </si>
  <si>
    <t>Hành động</t>
  </si>
  <si>
    <t>Bộ phận</t>
  </si>
  <si>
    <t>Lấy thông tin từ kế hoạch hành động cải tiến của bộ phận</t>
  </si>
  <si>
    <t>Giá trị kế hoạch (trđ)</t>
  </si>
  <si>
    <t>Giá trị đã thực hiện (trđ)</t>
  </si>
  <si>
    <t>% hoàn thành</t>
  </si>
  <si>
    <t>KẾ HOẠCH HÀNH ĐỘNG</t>
  </si>
  <si>
    <t>Người phụ trách</t>
  </si>
  <si>
    <t>Cải tiến giảm nhân công</t>
  </si>
  <si>
    <t>Cải tiến giảm phó sản</t>
  </si>
  <si>
    <t>Cải tiến tiết kiệm do cấp hiện trường thực hiện</t>
  </si>
  <si>
    <t>Cải tiến giảm chi phí vận hành xe nâng</t>
  </si>
  <si>
    <t>Cải tiến tăng năng suất, hạ giá thành</t>
  </si>
  <si>
    <t>Cải tiến giảm hàng lỗi</t>
  </si>
  <si>
    <t>Cải tiến giảm công</t>
  </si>
  <si>
    <t>SX HDPE/PP</t>
  </si>
  <si>
    <t>Cải tiến giảm phụ gia</t>
  </si>
  <si>
    <t>Cải tiến tiết kiệm phó sản</t>
  </si>
  <si>
    <t>Cải tiến giảm chi phí &amp; quy trình</t>
  </si>
  <si>
    <t>Cải tiến nâng cao chất lượng giảm hàng lỗi</t>
  </si>
  <si>
    <t>Cải tiến tối ưu diện tích - Vận chuyển</t>
  </si>
  <si>
    <t>Cải tiến quy trình</t>
  </si>
  <si>
    <t>BP Kế hoạch</t>
  </si>
  <si>
    <t>Ngô Văn Nam</t>
  </si>
  <si>
    <t>BP kho</t>
  </si>
  <si>
    <t>Trịnh Thị Lêng Ly</t>
  </si>
  <si>
    <t>Sắp xếp hàng hóa, nhận diện màu sắc, sắp xếp layout kho giảm thời gian soạn hàng</t>
  </si>
  <si>
    <t>BP Kinh Doanh</t>
  </si>
  <si>
    <t>Nguyễn Quốc Cường</t>
  </si>
  <si>
    <t>Cải tiến chất lượng vảy PET sau rửa</t>
  </si>
  <si>
    <t>BP Kỹ thuật</t>
  </si>
  <si>
    <t>Lê Văn Ty</t>
  </si>
  <si>
    <t>Cải tiến chất lượng hạt rPET, rHDPE</t>
  </si>
  <si>
    <t xml:space="preserve">Cải tiến tiết kiệm điện </t>
  </si>
  <si>
    <t>Cải tiến giảm chi phí sử dụng khuôn, dao lưới cho năm 2025</t>
  </si>
  <si>
    <t>Cải tiến cải thiện môi trường làm việc, 5S, An toàn</t>
  </si>
  <si>
    <t>Hệ thống Palang xả bao Jumbo</t>
  </si>
  <si>
    <t>BP Tự Động hóa</t>
  </si>
  <si>
    <t>Hệ thống Robot phân loại chai trên chuyền băm</t>
  </si>
  <si>
    <t>Băng tải quay đầu chai kim loại</t>
  </si>
  <si>
    <t>Phòng mua</t>
  </si>
  <si>
    <t>Cải tiến hóa chất rửa nóng tiết kiệm chi phí rửa vảy PET</t>
  </si>
  <si>
    <t>Giảm tỷ lệ phát sinh vảy BTP chất lượng A3</t>
  </si>
  <si>
    <t>Cải tiến hóa chất XLNT, giảm định mức tiêu thụ hàng tháng</t>
  </si>
  <si>
    <t xml:space="preserve">Cải tiến chất lượng thành phẩm WSS03SD </t>
  </si>
  <si>
    <t xml:space="preserve">Cải tiến công thức hạt rP20Be01, xử lý các loại vảy PP Trắng Sữa nền chất lượng thấp, vảy trắng phó sản Taiho </t>
  </si>
  <si>
    <t>Vũ Thị Diễm Tuyết</t>
  </si>
  <si>
    <t xml:space="preserve">Công thức xử lý phó sản tạo ra sản phẩm mới (2 công thức/HD PP) </t>
  </si>
  <si>
    <t xml:space="preserve">Công thức xử lý hạt thử nghiệm tồn kho cũ </t>
  </si>
  <si>
    <t>Cải tiến thao tác nhân viên không thao tác thừa, bố trí công việc, giảm thời gian đi lại của nhân viên =&gt; giảm nhân sự, tinh gọn cơ cấu tổ chức P.QLCL</t>
  </si>
  <si>
    <t>BP QC</t>
  </si>
  <si>
    <t>Võ Thị Bích Phượng</t>
  </si>
  <si>
    <t>Cải tiến tiết kiệm hóa chất, công cụ dụng cụ, vật tư thí nghiệm</t>
  </si>
  <si>
    <t>Cải tiến tiết kiệm văn phòng phẩm, mực in, tem nhãn đề can (ví dụ tem lưu mẫu ép plastic)</t>
  </si>
  <si>
    <t>Cải tiến quy trình lưu mẫu và xử lý mẫu lưu: đơn giản hóa vẫn lưu trữ đầy đủ, dễ lấy dễ tìm.</t>
  </si>
  <si>
    <t>Cải tiến liên phòng ban (khuyến khích): xử lý phó sản, bảo quản lưu trữ hạn chế sang bao, giảm rework, giảm cân lại TP nhiều lần, …</t>
  </si>
  <si>
    <t>Cải tiến giảm chi phí nguyên liệu, cải tiến các chỉ tiêu kiểm soát chất lượng nhưng vẫn đảm bảo chất lượng</t>
  </si>
  <si>
    <t>Cải tiến quy cách tem nhãn lưu kho tránh tình trạng mất tem.</t>
  </si>
  <si>
    <t>Cải tiến quy trình kiểm soát chất lượng nguyên vật liệu</t>
  </si>
  <si>
    <t>Thử nghiệm bên ngoài, hiệu chuẩn kiểm định, ...</t>
  </si>
  <si>
    <t>Giá mua Chai/ Vảy PET mua thấp hơn giá thị trường</t>
  </si>
  <si>
    <t>Trần Văn Tám</t>
  </si>
  <si>
    <t>Chương trình gia công Chai- Vảy HDPE để thực hiện Chương trình EPR</t>
  </si>
  <si>
    <t>Deal giá, kiểm soát BOM, routing, chi phí bộ phận</t>
  </si>
  <si>
    <t>Kế toán</t>
  </si>
  <si>
    <t>Lưu Thị Minh Tâm</t>
  </si>
  <si>
    <t>Thương lượng bán usd</t>
  </si>
  <si>
    <t>Giang Văn Lộc</t>
  </si>
  <si>
    <t>Thực hiện hoàn thuế nhanh hơn thời hạn định mức</t>
  </si>
  <si>
    <t>Đảo nợ các khoản vay nhằm tiết kiệm chi phí lãi vay</t>
  </si>
  <si>
    <t xml:space="preserve">Chi phí hoạt động </t>
  </si>
  <si>
    <t>Các cải tiến mới phát sinh trong năm</t>
  </si>
  <si>
    <t>Phạm Đình Hoành</t>
  </si>
  <si>
    <t>Deal dịch vụ nhân sự (tuyển dụng - đào tạo - thuê ngoài)</t>
  </si>
  <si>
    <t>HCNS</t>
  </si>
  <si>
    <t>Trần Thị Tuyết Xuân</t>
  </si>
  <si>
    <t>Deal giá nhà cung cấp, dịch vụ</t>
  </si>
  <si>
    <t>Lưu Thị Kim Liên</t>
  </si>
  <si>
    <t>Chi phí nhân sự hành chánh</t>
  </si>
  <si>
    <t>Cải tiến quy trình, hệ thống, deal giá nhà cung cấp</t>
  </si>
  <si>
    <t>VP BGĐ</t>
  </si>
  <si>
    <t>HSE-QTHT-VP GĐ</t>
  </si>
  <si>
    <t>Năm 2025</t>
  </si>
  <si>
    <t>GIÁ TRỊ TIẾT KIỆM 2024</t>
  </si>
  <si>
    <t>GIÁ TRỊ TIẾT KIỆM 2025</t>
  </si>
  <si>
    <t>T01</t>
  </si>
  <si>
    <t>THỰC TẾ 2025</t>
  </si>
  <si>
    <t>T02</t>
  </si>
  <si>
    <t>T03</t>
  </si>
  <si>
    <t>T04</t>
  </si>
  <si>
    <t>T05</t>
  </si>
  <si>
    <t>T06</t>
  </si>
  <si>
    <t>T07</t>
  </si>
  <si>
    <t>T08</t>
  </si>
  <si>
    <t>T09</t>
  </si>
  <si>
    <t>Thương lượng giảm giá quyết toán hạng mục thi công đường hơi, nước xưởng F3, F5</t>
  </si>
  <si>
    <t>Deal giá hạng mục thi công Cung cấp và Lắp đặt ống thoát Silo mới xưởng F2 (NCC Châu Phú):</t>
  </si>
  <si>
    <t>CFO</t>
  </si>
  <si>
    <t>Lữ Ngọc Mỹ Huyền</t>
  </si>
  <si>
    <t>Thay đổi hóa chất Phenol đo IV theo ASTM D4603 từ hãng Sigma - xx Switzerland thành Labort - xx India</t>
  </si>
  <si>
    <t>Phan Thùy Mỹ Hồng</t>
  </si>
  <si>
    <t>Lũy kế 2025</t>
  </si>
  <si>
    <t>T1/25</t>
  </si>
  <si>
    <t>Mục tiêu giá trị cải tiến tiết kiệm 2025 (tỷ)</t>
  </si>
  <si>
    <t>Giá trị</t>
  </si>
  <si>
    <t>Doanh thu NS (trđ)</t>
  </si>
  <si>
    <t>% Mục tiêu giá trị tiết kiệm / doanh thu 2025</t>
  </si>
  <si>
    <t>%2025</t>
  </si>
  <si>
    <t>2.24</t>
  </si>
  <si>
    <t>3.24</t>
  </si>
  <si>
    <t>4.24</t>
  </si>
  <si>
    <t>5.24</t>
  </si>
  <si>
    <t>6.24</t>
  </si>
  <si>
    <t>7.24</t>
  </si>
  <si>
    <t>8.24</t>
  </si>
  <si>
    <t>9.24</t>
  </si>
  <si>
    <t>10.24</t>
  </si>
  <si>
    <t>11.24</t>
  </si>
  <si>
    <t>12.24</t>
  </si>
  <si>
    <t>x</t>
  </si>
  <si>
    <t>Kinh doanh</t>
  </si>
  <si>
    <t>Nhân sự</t>
  </si>
  <si>
    <t>VPGĐ</t>
  </si>
  <si>
    <t>KH 2025</t>
  </si>
  <si>
    <t>TT 2025</t>
  </si>
  <si>
    <t>T1.25</t>
  </si>
  <si>
    <t>T2.25</t>
  </si>
  <si>
    <t>T3.25</t>
  </si>
  <si>
    <t>T4.25</t>
  </si>
  <si>
    <t>T5.25</t>
  </si>
  <si>
    <t>T6.25</t>
  </si>
  <si>
    <t>T7.25</t>
  </si>
  <si>
    <t>T8.25</t>
  </si>
  <si>
    <t>T9.25</t>
  </si>
  <si>
    <t>T10.25</t>
  </si>
  <si>
    <t>T11.25</t>
  </si>
  <si>
    <t>T12.25</t>
  </si>
  <si>
    <t>Kế hoạch bán</t>
  </si>
  <si>
    <t>TT</t>
  </si>
  <si>
    <t>KH</t>
  </si>
  <si>
    <t>BQ TT 2025</t>
  </si>
  <si>
    <t>Tổng chi phí (không bao gồm thuê xưởng, kho, máy và khấu hao)</t>
  </si>
  <si>
    <t>BQ 2025 sv BQ 2024</t>
  </si>
  <si>
    <t>Tỷ trọng BQ 2025</t>
  </si>
  <si>
    <t>Tổng chi phí / tấn (không gồm thuê xưởng, kho, máy và khấu hao)</t>
  </si>
  <si>
    <t>BQ 2025</t>
  </si>
  <si>
    <t>Năm tính tiết kiệm</t>
  </si>
  <si>
    <t>KH25</t>
  </si>
  <si>
    <t>Sản lượng</t>
  </si>
  <si>
    <t>Sản lượng thu hồi</t>
  </si>
  <si>
    <t>Đơn giá</t>
  </si>
  <si>
    <t>Tác động hao hụt</t>
  </si>
  <si>
    <t>Tác động giá bán</t>
  </si>
  <si>
    <t>Biến phí/tấn-HTK</t>
  </si>
  <si>
    <t>Hàng tồn kho</t>
  </si>
  <si>
    <t>CÁC NHÂN TỐ TÁC ĐỘNG TĂNG CHI PHÍ</t>
  </si>
  <si>
    <t>Rank_Thực tế</t>
  </si>
  <si>
    <t>Rank_Kế hoạch</t>
  </si>
  <si>
    <t>Số liệu TT_Rank</t>
  </si>
  <si>
    <t>Số liệu KH_Rank</t>
  </si>
  <si>
    <t>Đề xuất sử dụng máy tách vảy của NCC SESOTEC thay thế cho máy tách vảy của NCC TOMRA cho chuyền rửa 3 tấn/h xưởng F05</t>
  </si>
  <si>
    <t>Đề xuất sử dụng máy kim loại của NCC LONGI thay thế cho máy tách kim loại của NCC FUSHUN cho chuyền rửa 3 tấn/h xưởng F05</t>
  </si>
  <si>
    <t>Cải tiến phối hợp với SX.PET giảm xe nâng dầu trong F03 (GTTK chia 2) : Tâm đăng ký ý tưởng làm 3 Palang cấp kiện - GĐ 1</t>
  </si>
  <si>
    <t>Cải tiến phối hợp với SX.PET giảm xe nâng dầu trong F03 (GTTK chia 2) : Tâm đăng ký ý tưởng làm 3 Palang cấp kiện - GĐ 2</t>
  </si>
  <si>
    <t>Lựa, phân loại và đưa vào rửa lạnh để ra được các vảy BTP đem vào tạo hạt WSS01G, ISS01G, WSS04, WSS05SB</t>
  </si>
  <si>
    <t>T1.23</t>
  </si>
  <si>
    <t>T2.23</t>
  </si>
  <si>
    <t>T3.23</t>
  </si>
  <si>
    <t>T4.23</t>
  </si>
  <si>
    <t>T5.23</t>
  </si>
  <si>
    <t>T6.23</t>
  </si>
  <si>
    <t>T7.23</t>
  </si>
  <si>
    <t>T8.23</t>
  </si>
  <si>
    <t>T9.23</t>
  </si>
  <si>
    <t>BQ TT 2023</t>
  </si>
  <si>
    <t>Sản lượng bán sản phẩm chính</t>
  </si>
  <si>
    <t>BQ KH25</t>
  </si>
  <si>
    <t>BQ TT25</t>
  </si>
  <si>
    <t>Giá trị tuyệt đối LK (triệu)</t>
  </si>
  <si>
    <t>Đã loại cp 632</t>
  </si>
  <si>
    <t>Sản lượng bán hàng</t>
  </si>
  <si>
    <t>Chia cho sl bán</t>
  </si>
  <si>
    <t>THÁNG</t>
  </si>
  <si>
    <t>LK</t>
  </si>
  <si>
    <t>2.6</t>
  </si>
  <si>
    <t>2.7</t>
  </si>
  <si>
    <t>Lũy kế TT 2024</t>
  </si>
  <si>
    <t xml:space="preserve">Hiện tại hạt MBF01 dùng vảy HV02.2 thay Tio2 đã đưa vào sx ổn định . Đề xuất thử nghiệm dùng vảy HV02.2 sx hạt PCF01 để tiết kiệm chi phí , giảm thời gian vệ sinh bồn định kỳ bồn trộn, giảm nguy cơ phát sinh chấm đen </t>
  </si>
  <si>
    <t>Hạt màu đen MT1700345 mua về thường chất lượng không ổn định, ,mỗi lô nhập về đều phải cân chỉnh công thức, tốn nhiều thời gian, công sức ảnh hưởng giá thành.
Đề xuất tìm mua hạt màu đen khác có chất lượng ổn định hơn để giảm chi phí cân chỉnh công thức , thay đổi BOM</t>
  </si>
  <si>
    <t>Chuyển đổi cách sắp ca bộ phận kho từ 2k3k sang hành chánh tăng ca, vẫn đáp ứng đúng luật và giảm nhân sự 
(chia đôi với SX HDPE)</t>
  </si>
  <si>
    <t>Chuyển đổi cách sắp ca bộ phận kho từ 2k3k sang hành chánh tăng ca, vẫn đáp ứng đúng luật và giảm nhân sự 
(chia đôi với Kho)</t>
  </si>
  <si>
    <t>Trịnh Thị Leng Ly</t>
  </si>
  <si>
    <t xml:space="preserve">Vảy sạch lưu tại F2 thay vì chuyển về F5 =&gt; giảm 2 nhân sự kho quản lý số liệu, giảm dầu xe nâng </t>
  </si>
  <si>
    <t>Tiết kiệm giá thuê xe 29c (75707) mới</t>
  </si>
  <si>
    <t>Võ Thị Hà Thi</t>
  </si>
  <si>
    <t>Thay đổi hướng xử lý rửa vảy</t>
  </si>
  <si>
    <t>Lê Minh Thanh</t>
  </si>
  <si>
    <t>Hiện tại:
Hóa chất Chất phá bọt Antifoam CS04 là hóa chất thử nghiệm, đã hết hạn. Triển khai quy trình thu gom, lưu trữ, xử lý theo CTNH.
Tận dụng Chất phá bọt Antifoam CS04 cho việc phá bọt trạm XLNT 400m3. Tiết kiệm chi phí</t>
  </si>
  <si>
    <t>a</t>
  </si>
  <si>
    <t>2.8</t>
  </si>
  <si>
    <t>Vay Ngân hàng lãi suất thấp và cho vay với lãi suất cao hơn.</t>
  </si>
  <si>
    <t>Hồ Thanh Trường</t>
  </si>
  <si>
    <t>Hiện tại thời gian vừa qua máy thường hay chạy sản xuất mã hạt MBF01 (không qua sấy khử mùi) nhưng vẫn phải mở 3 bộ hút hạt ( của hệ thống PIOVAN) chạy liên tục để đáp ứng đúng chu trình của máy từ bồn sấy chuyển sang bồn làm mát ra silo xả cân thành phẩm
Cải tiến: kết nối thêm đường ống từ vị trí máy hút cuối cùng vào trực tiếp phễu hút hạt thay cho máy hút đầu tiên =&gt; giảm được 2 máy hút hoạt động , giảm chi phí điện khi chạy sản xuất mã hạt MBF 01</t>
  </si>
  <si>
    <t>Cải tiến giảm chi phí test chứng nhận Reach của hạt nhựa rHDPE/Test gộp mã cho cùng 1 report giúp tiết kiệm chi phí do cùng công thức nguyên liệu</t>
  </si>
  <si>
    <t>Hiện tại: Sử dụng Máy nén khí Công suất: 7.5 kW (10HP), Áp suất làm việc: 8 kg/cm2 Cho việc ép bùn trạm 500m3.
Tiêu tốn điện năng: 75% công suất: 5,6 kw/giờ
1 ngày hoạt động 16 giờ: 5,6*16 = 90 kw/ngày.
giá điện năng: tạm tính trung bình 2,000 (vnđ/ kw).
1 ngày tiêu tốn: 90*2,000 = 180,000 (vnđ/ngày)
1 năm tiêu tốn: 180,000 *365 = 65, 700,000 (vnđ/năm).
Cải tiến: Tận dụng đường hơi hệ máy nén khí trung tâm lắp đặt sau xưởng f5 Áp suất làm việc: 8 kg/cm2 thỏa điều kiện cần cung cấp khí cho máy ép bùn trạm 500m3, giảm chi phí điện năng nhà máy (đặc biệt các giờ cao điểm giá điện &gt;3,200 (vnđ/kw), đáp ứng ISO 14064,...
Giá trị cải tiến: 65,700,000 (vnđ/năm) Bằng chữ: sáu mươi lăm triệu bảy trăm nghìn đồng.</t>
  </si>
  <si>
    <t>Hiện tại rửa Vảy tách màu trả NCC chỉ trả Phó sản 1, Phó sản 2, Meyer, Vảy chìm. Còn lại nhãn zigzag chưa trả =&gt; Làm việc với NCC cho trả luôn nhãn Zigzag</t>
  </si>
  <si>
    <t>Phan Minh Tân</t>
  </si>
  <si>
    <t>Dự án thay đổi logo DUYTAN Recycling</t>
  </si>
  <si>
    <t>Ghi nhạn MỚI</t>
  </si>
  <si>
    <t>Giảm chi phí thi công lắp đặt  vật tư cụm bơm nước sản xuất F3</t>
  </si>
  <si>
    <t>Khai thác nước giếng nhà hút thuốc đưa về trạm 500m3 ngày đêm xử lý - tái sử dụng tuần hoàn vào sản xuất.
=&gt; giảm chi phí mua nước thủy cục, phát triển bền vững, chủ động được nguồn nước (trường hợp nhà cung cấp mất nước, cúp nước do sự cố ngoài ý muốn).</t>
  </si>
  <si>
    <t>Nguyễn Ngọc Thụy Vy</t>
  </si>
  <si>
    <t>Deal giá: Giá bán thực tế cao hơn giá duyệt tháng</t>
  </si>
  <si>
    <t>Bộ lọc + Melt Pump của Kitech để lắp cho máy YEPP-01 với chi phí là 60,600 USD (FOB). Phòng Kỹ Thuật trao đổi với NCC giảm giá còn 58,800 USD (CIF)</t>
  </si>
  <si>
    <t>Đầu tư hệ hút hạt nâng cấp hệ thống chân không cho máy cho máy Starlinger 01 với chi phí 50,800 EUR. Phòng Kỹ Thuật trao đổi với NCC giảm giá còn 45,580 EUR.</t>
  </si>
  <si>
    <t>18 KMP</t>
  </si>
  <si>
    <t>Đơn vị</t>
  </si>
  <si>
    <t>T1.2024</t>
  </si>
  <si>
    <t>T2.2024</t>
  </si>
  <si>
    <t>T3.2024</t>
  </si>
  <si>
    <t>T4.2024</t>
  </si>
  <si>
    <t>T5.2024</t>
  </si>
  <si>
    <t>T6.2024</t>
  </si>
  <si>
    <t>T7.2024</t>
  </si>
  <si>
    <t>T8.2024</t>
  </si>
  <si>
    <t>T9.2024</t>
  </si>
  <si>
    <t>T10.2024</t>
  </si>
  <si>
    <t>T11.2024</t>
  </si>
  <si>
    <t>T12.2024</t>
  </si>
  <si>
    <t>T13.2024</t>
  </si>
  <si>
    <t>Ghi chú</t>
  </si>
  <si>
    <t>Triệu VND</t>
  </si>
  <si>
    <t>Chi phí xuất khẩu</t>
  </si>
  <si>
    <t>Chi phí chiết khấu, hoa hồng</t>
  </si>
  <si>
    <t>Chi phí khuôn</t>
  </si>
  <si>
    <t>Chi phí lưới</t>
  </si>
  <si>
    <t>Chi phí nước</t>
  </si>
  <si>
    <t>Chi phí bao jumbo quay đầu</t>
  </si>
  <si>
    <t>Thuê xe vận chuyển hàng</t>
  </si>
  <si>
    <t>Hóa chất xử lý nước thải</t>
  </si>
  <si>
    <t>Thử mẫu -khuôn</t>
  </si>
  <si>
    <t>Chi phí dao</t>
  </si>
  <si>
    <t>Lương</t>
  </si>
  <si>
    <t>Bảo trì sửa chữa máy</t>
  </si>
  <si>
    <t>Chi phí dịch vụ, tư vấn</t>
  </si>
  <si>
    <t>Sửa chữa xe nâng, xe tải, nhà xưởng</t>
  </si>
  <si>
    <t>Chi phí ủng hộ, hỗ trợ</t>
  </si>
  <si>
    <t>Chi phí dịch vụ môi trường</t>
  </si>
  <si>
    <t>Chi phí bảo hiểm tài sản</t>
  </si>
  <si>
    <t>Phúc lợi</t>
  </si>
  <si>
    <t>Thuê xe du lịch</t>
  </si>
  <si>
    <t>Đăng ký, kiểm định</t>
  </si>
  <si>
    <t>Chi phí Marketing</t>
  </si>
  <si>
    <t>Công tác</t>
  </si>
  <si>
    <t>Đồng phục</t>
  </si>
  <si>
    <t>Chi phí văn phòng phẩm</t>
  </si>
  <si>
    <t>Chi phí ngân hàng</t>
  </si>
  <si>
    <t>Điện thoại +Internet</t>
  </si>
  <si>
    <t>Chi phí tiếp khách</t>
  </si>
  <si>
    <t>Phí cầu đường xe</t>
  </si>
  <si>
    <t>Chi phí tuyển dụng</t>
  </si>
  <si>
    <t>Chi phí đào tạo</t>
  </si>
  <si>
    <t>Chi phí mực, nhũ in</t>
  </si>
  <si>
    <t>Chi phí thuê xe nâng</t>
  </si>
  <si>
    <t>Tổng chi phí</t>
  </si>
  <si>
    <t>Thuế TNDN</t>
  </si>
  <si>
    <t>Thuế TNDN'!A1</t>
  </si>
  <si>
    <t>Doanh thu/CP khác</t>
  </si>
  <si>
    <t>DT-CP khác'!A1</t>
  </si>
  <si>
    <t>Lợi nhuận sau thuế</t>
  </si>
  <si>
    <t>2.9</t>
  </si>
  <si>
    <t>Các hạng mục sửa chữa nhà xưởng đang thực hiện</t>
  </si>
  <si>
    <t>BQ LŨY KẾ NĂM NAY SO VỚI BQ CẢ NĂM TRƯỚC</t>
  </si>
  <si>
    <t>BQ24</t>
  </si>
  <si>
    <t>YTD 25</t>
  </si>
  <si>
    <t>FY24</t>
  </si>
  <si>
    <t>Thương thảo với Ngân hàng để giảm lãi suất</t>
  </si>
  <si>
    <t>Tiết kiệm chi phí hiệu chuẩn đồng hồ điện</t>
  </si>
  <si>
    <t>Nguyễn Tấn Huệ</t>
  </si>
  <si>
    <t xml:space="preserve">Deal giảm giá với nhà cung cấp CNX lập báo cáo công tác bảo vệ môi trường </t>
  </si>
  <si>
    <t>Tận dụng nước xả từ tháp giải nhiệt máy Starlinfer đưa vào hệ XLNT</t>
  </si>
  <si>
    <t>Cho toàn bộ 100% nước thải bỏ từ việc vệ sinh hồ nước sản xuất, quay về trạm XLNT, XLNT - TSD tuần hoàn về hồ sản xuất, phục vụ sản xuất.</t>
  </si>
  <si>
    <t>Trần Văn Chí Linh</t>
  </si>
  <si>
    <t>Nguyễn Huỳnh Ngọc Nhi</t>
  </si>
  <si>
    <t>Thanh toán phí cơ sở hạ tầng bằng Ngân hàng Vietcombank thay vì Ngân hàng Vietinbank</t>
  </si>
  <si>
    <t>Deal giá 2 hợp đồng thuê máy photocopy VP F2+F3 (Model RICOH MPC 4503)</t>
  </si>
  <si>
    <t>Xử lý hàng luân chuyển chậm B2.2 (28%)</t>
  </si>
  <si>
    <t>Xử lý hàng luân chuyển chậm B2.2 (18%)</t>
  </si>
  <si>
    <t>Xử lý hàng chậm luân chuyển vảy PET B6.2 và vảy nắp B6.2 (28%)</t>
  </si>
  <si>
    <t>Xử lý hàng chậm luân chuyển vảy PET B6.2 và vảy nắp B6.2 (18%)</t>
  </si>
  <si>
    <t>Lắp đặt 7 Palang xả bao vảy 1 tấn (có hệ thống thu bụi đi kèm)</t>
  </si>
  <si>
    <t>Ảnh hưởng
(triệu đồng/tấn)</t>
  </si>
  <si>
    <t>Sản lượng vảy rửa lạnh cao hơn rửa nóng nên giảm được chi phí hóa chất</t>
  </si>
  <si>
    <t>Thực tế vay ít hơn kế hoạch lập ngân sách</t>
  </si>
  <si>
    <t>Đơn giá điện tăng 4.8% từ 10/05/2025</t>
  </si>
  <si>
    <t>Kế hoạch 2025 không lập khấu hao cho các tài sản được chuyển từ Xây dựng cơ bản: 464 triệu</t>
  </si>
  <si>
    <t>Vảy rPET</t>
  </si>
  <si>
    <t>Chai rPET</t>
  </si>
  <si>
    <t>TỔNG TÁC ĐỘNG</t>
  </si>
  <si>
    <t>Tiết kiệm chi phí đánh giá ISO cho 3 trạm</t>
  </si>
  <si>
    <t xml:space="preserve"> Deal giá với Châu Phú giảm giá hạng mục thi công bậc tam cấp cho các palang nạp liệu chuyền BRT F05.</t>
  </si>
  <si>
    <t xml:space="preserve"> Deal giá với Châu Phú giảm giá chi phí nhân công hạng mục thi công thu bụi cyclone máy Zigzag 3</t>
  </si>
  <si>
    <t xml:space="preserve"> Trao đổi  với ngân hàng không thu phí Kế ước giải ngân tại ngân hàng ACB, giải ngân theo từng UNC đính kèm</t>
  </si>
  <si>
    <t>Deal giá NCC về dịch vụ thuê xe 29 chỗ</t>
  </si>
  <si>
    <t>Deal giá giảm chi phí chăm sóc cỏ</t>
  </si>
  <si>
    <t>Thay đổi quy cách hũ lưu mẫu</t>
  </si>
  <si>
    <t>Đưa phụ gia MTA 1800050 thay vảy QMT trong công thức tạo hạt MBF01</t>
  </si>
  <si>
    <t>Chuyển dời thiết bị tại khu vực F06 sang phòng đào tạo để tiết kiệm chi phí đầu tư.</t>
  </si>
  <si>
    <t>Trương Hoàng Ân</t>
  </si>
  <si>
    <t>Đặng Thị Anh Thư</t>
  </si>
  <si>
    <t>Văng Hoài Ân 
(Lâm Hoàng Hảo)</t>
  </si>
  <si>
    <t>Trịnh Minh Ninh</t>
  </si>
  <si>
    <t>QTHT</t>
  </si>
  <si>
    <t>Quản lý Chất lượng HDPE</t>
  </si>
  <si>
    <t>1.6</t>
  </si>
  <si>
    <t>rPET</t>
  </si>
  <si>
    <t>Tạo hạt</t>
  </si>
  <si>
    <t>NGUYÊN VẬT LIỆU</t>
  </si>
  <si>
    <t>SPC+SPP</t>
  </si>
  <si>
    <t xml:space="preserve">Gia hạn hợp đồng thuê kho F07 từ T12.2024 đến T12.2027 ngoài ngân sách: 150tr
Thuê thêm diện tích kho TLP ngoài ngân sách: tăng 54tr (từ T3.25 đến T2.26); tăng 26tr (từ T5.25 đến T4.26) </t>
  </si>
  <si>
    <t>Đến T6/25 đã thanh lý 4 xe nâng dầu chuyển sang dùng xe nâng điện =&gt; giảm chi phí sử dụng dầu DO</t>
  </si>
  <si>
    <t>NGUYÊN VẬT LIỆU-LŨY KẾ</t>
  </si>
  <si>
    <t>SPC+SPP-LŨY KẾ</t>
  </si>
  <si>
    <t>TỶ LỆ THU HỒI</t>
  </si>
  <si>
    <t>Hao hụt Chai+Vảy PET</t>
  </si>
  <si>
    <t>TỶ LỆ THU HỒI-LŨY KẾ</t>
  </si>
  <si>
    <r>
      <t xml:space="preserve">Băm </t>
    </r>
    <r>
      <rPr>
        <b/>
        <sz val="11"/>
        <color theme="1"/>
        <rFont val="Wingdings 3"/>
        <family val="1"/>
        <charset val="2"/>
      </rPr>
      <t></t>
    </r>
    <r>
      <rPr>
        <b/>
        <sz val="11"/>
        <color theme="1"/>
        <rFont val="Aptos Narrow"/>
        <family val="2"/>
        <scheme val="minor"/>
      </rPr>
      <t xml:space="preserve">  Rửa</t>
    </r>
  </si>
  <si>
    <t>Nguyên liệu nhựa</t>
  </si>
  <si>
    <t>Tận dụng bao, màng PE thu lại từ quấn bao jumpo PET để tạo hạt rLDPE</t>
  </si>
  <si>
    <t xml:space="preserve"> Làm hệ thống nước để vệ sinh chuyền MOOG và chuyền ACTI để tiết kiệm giờ nhân công</t>
  </si>
  <si>
    <t xml:space="preserve">Thay logo mới cho đồng phục kỹ thuật logo cũ </t>
  </si>
  <si>
    <t>Võ Minh Đức</t>
  </si>
  <si>
    <t>Vệ sinh máng xối</t>
  </si>
  <si>
    <t>Sơn nước văn phòng F03</t>
  </si>
  <si>
    <t>Đàm phán với NCC để được miễn phí trục vít HAD cho máy STAR-03</t>
  </si>
  <si>
    <t>Sản lượng sản xuất thực tế đạt 90% (4,562 tấn /5,050 tấn)</t>
  </si>
  <si>
    <t>%Hao hụt PET (Chai+vảy)</t>
  </si>
  <si>
    <t>Phân bổ</t>
  </si>
  <si>
    <t>Sản lượng hạt (kg)</t>
  </si>
  <si>
    <t>Tác động mix</t>
  </si>
  <si>
    <t>- Giá mua chai/vảy tăng
+ Chai trung bình: 18,789 / 16,566 đ/kg; +2,223~ + 13.4%. 
+ Vảy trung bình: 20,104 / 18,780 đ/kg; +1,324 ~ +7%.
- Tỷ lệ hao hụt PET tăng từ 11.3% lên 18%</t>
  </si>
  <si>
    <t>Chi phí teambuilding chưa thực hiện</t>
  </si>
  <si>
    <t>Tuyển nhân sự chưa đủ so với định biên: định biên 671 người, thực tế 635</t>
  </si>
  <si>
    <t>Chi phí hoa hồng tăng do sản lượng bán Niagara tăng từ 934 tấn =&gt; 1.672 tấn</t>
  </si>
  <si>
    <t>Trần Hồng Lĩnh</t>
  </si>
  <si>
    <t>Tách hỗn hợp cuối Olefin bằng sàn rung để loại vảy nhỏ, phân loại 7 màu đơn (Đỏ, Dương, Vàng, Lá, Trắng, Đồng, Đen), và thu hồi vảy HD từ hỗn hợp cuối &amp; phó sản nắp 2 để làm nhựa nền hoặc bán thành phẩm.</t>
  </si>
  <si>
    <t>Lê Ngọc Trúc</t>
  </si>
  <si>
    <t>Tận dụng nước chuyền rửa 02 sử dụng cho băm 01</t>
  </si>
  <si>
    <t>Deal giảm giá NCC Báo giá thi công hệ quan trắc khí thải máy STAR 03</t>
  </si>
  <si>
    <t>Tiết kiệm chi phí hệ nạp hạt cho 3 máy Starlinger</t>
  </si>
  <si>
    <t>Deal giảm giá lắp đặt cảm biến cho các bồn HAD,PDU (FOC) từ NCC Starlinger</t>
  </si>
  <si>
    <t>Lắp biến tần các máy vắt ly tâm tiết kiệm điện</t>
  </si>
  <si>
    <t>Đặng Tấn Cảnh</t>
  </si>
  <si>
    <t>Deal giảm giá hóa chất dự án FDA</t>
  </si>
  <si>
    <t xml:space="preserve"> TT-T10</t>
  </si>
  <si>
    <t xml:space="preserve"> TT-T11</t>
  </si>
  <si>
    <t xml:space="preserve"> TT-T12</t>
  </si>
  <si>
    <t>Tổng chi phí / tấn</t>
  </si>
  <si>
    <t>Lắp đặt 4 cân đóng bao hạt tự động cho Star 1-2-3</t>
  </si>
  <si>
    <t>Deal giá vượt bản máy photocopy VP F02 &amp; F03</t>
  </si>
  <si>
    <t>Thương lượng với nhà thầu Thành Công yêu cầu giảm giá báo giá hạng mục "Lắp đặt khung sàn chuyền băm rửa F05</t>
  </si>
  <si>
    <t>Thương lượng với nhà thầu xây lắp điện Thịnh Phát giảm giá quyết toán "Cấp nguồn tủ điện T04-03 và Máy nén khí</t>
  </si>
  <si>
    <t>Vũ Thị Hiên</t>
  </si>
  <si>
    <t>Nguyễn Việt Thế</t>
  </si>
  <si>
    <t>Tận dụng đồng phục cũ tồn lâu</t>
  </si>
  <si>
    <t>Tiết kiệm chi phí mua holer mới</t>
  </si>
  <si>
    <t>Tiết kiệm chi phí đánh giá TNXH của khách hàng Unilever</t>
  </si>
  <si>
    <t>Thay đổi nhà cung cấp hiệu chuẩn máy</t>
  </si>
  <si>
    <t>Tiết kiệm chi phí truyền hợp tác truyền thông cùng Uniliver</t>
  </si>
  <si>
    <t>Tiết kiệm chi phí đánh giá RecyClass Module A1, A2</t>
  </si>
  <si>
    <t>Sửa đường nội bộ lần 3</t>
  </si>
  <si>
    <t>Sửa đường nội bộ lần 2</t>
  </si>
  <si>
    <t>Thay mái nhà bạt F06</t>
  </si>
  <si>
    <t>Chi phí bồi thường</t>
  </si>
  <si>
    <t>Tiết kiệm chi phí chuyển khoản, khi chuyển tiền ngoài hệ thống ngân hàng VCB</t>
  </si>
  <si>
    <t>Lê Thị Huỳnh Như</t>
  </si>
  <si>
    <t>Huỳnh Ngô Diễm Nhi</t>
  </si>
  <si>
    <t>Cải tiến công thức mix vảy bán cho khách hàng nhằm tăng giá trị</t>
  </si>
  <si>
    <t>Cải tiến Giảm nhân công chuyền rửa 1,2 PET</t>
  </si>
  <si>
    <t>Thương lượng giảm chi phí phân tích hóa học cho dự án REACH compliance rHDPE</t>
  </si>
  <si>
    <t>Thương lượng giảm chi phí LOA compliance rHDPE</t>
  </si>
  <si>
    <t>Từ Thị Yến Oanh</t>
  </si>
  <si>
    <t>Tiết kiệm chi phí mua NVL</t>
  </si>
  <si>
    <t>KTQT</t>
  </si>
  <si>
    <t>Danh</t>
  </si>
  <si>
    <t>Diễm</t>
  </si>
  <si>
    <t>Nhâm</t>
  </si>
  <si>
    <t>Huyền</t>
  </si>
  <si>
    <t>Tận dụng bộ tạ sẵn có để đo chỉ tiêu MI của rHDPE</t>
  </si>
  <si>
    <t>Tiết kiệm di dời đồng hồ nước Starlinger 2</t>
  </si>
  <si>
    <t>Tiết kiệm chi phí tháo lắp đồng hồ nước mang đi hiệu chuẩn</t>
  </si>
  <si>
    <t>Nguyễn Hồng Hân</t>
  </si>
  <si>
    <t>Tiết kiệm thời gian thao tác thủ công bằng việc ứng dụng Python</t>
  </si>
  <si>
    <t>Thiết lập iform "Duyệt giá" cho phòng Mua hàng giúp tiết kiệm giấy và chi phí ký econtract:</t>
  </si>
  <si>
    <t>Nguyễn Ngọc Kiều My</t>
  </si>
  <si>
    <t>Tiết kiệm chi phí sản xuất</t>
  </si>
  <si>
    <t>Thuy</t>
  </si>
  <si>
    <t>GIÁ TRỊ TIẾT KIỆM 2026</t>
  </si>
  <si>
    <t>KH26</t>
  </si>
  <si>
    <t>KH T1.2026</t>
  </si>
  <si>
    <t>KH T2.2026</t>
  </si>
  <si>
    <t>KH T3.2026</t>
  </si>
  <si>
    <t>KH T4.2026</t>
  </si>
  <si>
    <t>KH T5.2026</t>
  </si>
  <si>
    <t>KH T6.2026</t>
  </si>
  <si>
    <t>KH T7.2026</t>
  </si>
  <si>
    <t>KH T8.2026</t>
  </si>
  <si>
    <t>KH T9.2026</t>
  </si>
  <si>
    <t>KH T10.2026</t>
  </si>
  <si>
    <t>KH T11.2026</t>
  </si>
  <si>
    <t>KH T12.2026</t>
  </si>
  <si>
    <t>BQ KH 2026</t>
  </si>
  <si>
    <t>T1.26</t>
  </si>
  <si>
    <t>T2.26</t>
  </si>
  <si>
    <t>T3.26</t>
  </si>
  <si>
    <t>T4.26</t>
  </si>
  <si>
    <t>T5.26</t>
  </si>
  <si>
    <t>T6.26</t>
  </si>
  <si>
    <t>T7.26</t>
  </si>
  <si>
    <t>T8.26</t>
  </si>
  <si>
    <t>T9.26</t>
  </si>
  <si>
    <t>T10.26</t>
  </si>
  <si>
    <t>T11.26</t>
  </si>
  <si>
    <t>T12.26</t>
  </si>
  <si>
    <t>BQ TT 2026</t>
  </si>
  <si>
    <t>Lũy kế 2026</t>
  </si>
  <si>
    <t>Tỷ trọng lũy kế 2026</t>
  </si>
  <si>
    <t>BQ 2026 sv BQ 2025</t>
  </si>
  <si>
    <t>NS 2026</t>
  </si>
  <si>
    <t>Tỷ trọng KH 2026</t>
  </si>
  <si>
    <t>Tỷ trọng BQ 2026</t>
  </si>
  <si>
    <t>Tỷ trọng 2026 sv tỷ trọng 2025</t>
  </si>
  <si>
    <t>Tỷ trọng 2026 sv KH 2026</t>
  </si>
  <si>
    <t>CHI PHÍ /TẤN THÀNH PHẨM</t>
  </si>
  <si>
    <t>BQ 2026</t>
  </si>
  <si>
    <t>NS1.2026</t>
  </si>
  <si>
    <t>NS2.2026</t>
  </si>
  <si>
    <t>NS3.2026</t>
  </si>
  <si>
    <t>NS4.2026</t>
  </si>
  <si>
    <t>NS5.2026</t>
  </si>
  <si>
    <t>NS6.2026</t>
  </si>
  <si>
    <t>NS7.2026</t>
  </si>
  <si>
    <t>NS8.2026</t>
  </si>
  <si>
    <t>NS9.2026</t>
  </si>
  <si>
    <t>NS10.2026</t>
  </si>
  <si>
    <t>NS11.2026</t>
  </si>
  <si>
    <t>NS12.2026</t>
  </si>
  <si>
    <t>CỘNG NS.2026</t>
  </si>
  <si>
    <t>SLSX</t>
  </si>
  <si>
    <t>TK621</t>
  </si>
  <si>
    <t>TK622</t>
  </si>
  <si>
    <t>TK627</t>
  </si>
  <si>
    <t>TK635</t>
  </si>
  <si>
    <t>TK641</t>
  </si>
  <si>
    <t>TK642</t>
  </si>
  <si>
    <t>TK811</t>
  </si>
  <si>
    <t>T13.25</t>
  </si>
  <si>
    <t>YTD 26</t>
  </si>
  <si>
    <t>FY25</t>
  </si>
  <si>
    <t>BQ25</t>
  </si>
  <si>
    <t>Thực tế vay ít hơn kế hoạch lập ngân sách (do chưa mua lại máy TNHH)</t>
  </si>
  <si>
    <t>KH T1.2026 DTR mua lại máy từ TNHH, thực tế chưa mua =&gt; PS chi phí thuê: 3,517 tỷ</t>
  </si>
  <si>
    <t>KH T1.2026 DTR mua lại máy từ TNHH, thực tế chưa mua =&gt; chưa PS chi phí khấu hao : 2,84 tỷ</t>
  </si>
  <si>
    <t>Chưa phát sinh mua công cụ dụng cụ theo kế hoạch</t>
  </si>
  <si>
    <t xml:space="preserve">Tăng 1 tỷ/ tháng chi phí thuê kho TĐH </t>
  </si>
  <si>
    <t>Giảm chi phí điện do hệ thống Solar đi vào hoạt động</t>
  </si>
  <si>
    <t>Giảm chi phí do kéo dài thời gian khấu hao theo chỉ đạo của BGĐ</t>
  </si>
  <si>
    <t>2025 phát sinh chi phí luật sư cho dự án chống phá giá EU</t>
  </si>
  <si>
    <t>SL bán</t>
  </si>
  <si>
    <t>CP/ tấn</t>
  </si>
  <si>
    <t>Băm (lấy chai)</t>
  </si>
  <si>
    <t>Băm | Rửa (lấy chai)</t>
  </si>
  <si>
    <t>Rửa (lấy vảy)</t>
  </si>
  <si>
    <t>Băm   Rửa</t>
  </si>
  <si>
    <t>Các chi phí: ủng hộ hỗ trợ, đào tạo, tuyển dụng chưa thực hiện theo kế hoạch NS</t>
  </si>
  <si>
    <t>Các hạng mục bảo trì, sửa chữa chưa thực hiện theo kế hoạch NS</t>
  </si>
  <si>
    <t>Chưa phát sinh mua CCDC theo kế hoạch</t>
  </si>
  <si>
    <t>Chưa phát sinh hoạt động chữa sữa MMTB nhiều</t>
  </si>
  <si>
    <t>Vảy MN</t>
  </si>
  <si>
    <t>Vảy TSX</t>
  </si>
  <si>
    <t>RỬA VẢY NGUYÊN LIỆU</t>
  </si>
  <si>
    <t>Năm</t>
  </si>
  <si>
    <t>150000051</t>
  </si>
  <si>
    <t>Vảy PET B1_A5.1</t>
  </si>
  <si>
    <t>160012368</t>
  </si>
  <si>
    <t>Vảy PET B1 chưa rửa 2</t>
  </si>
  <si>
    <t>160012244</t>
  </si>
  <si>
    <t>Vảy PET B6 chưa rửa 1</t>
  </si>
  <si>
    <t>160012239</t>
  </si>
  <si>
    <t>Vảy PET B1 chưa rửa 1</t>
  </si>
  <si>
    <t>150000052</t>
  </si>
  <si>
    <t>Vảy PET B1_A5.2_R2</t>
  </si>
  <si>
    <t>160012689</t>
  </si>
  <si>
    <t>Vảy PET B6.2_A3.2</t>
  </si>
  <si>
    <t>150000061</t>
  </si>
  <si>
    <t>Vảy PET B6.2_A6</t>
  </si>
  <si>
    <t>150000053</t>
  </si>
  <si>
    <t>Vảy PET B1_A6</t>
  </si>
  <si>
    <t>160011727</t>
  </si>
  <si>
    <t>Vảy PET B7.1 chưa rửa 1</t>
  </si>
  <si>
    <t>160012856</t>
  </si>
  <si>
    <t>Vảy PET Cổ Chai Sau Băm</t>
  </si>
  <si>
    <t>160012297</t>
  </si>
  <si>
    <t>Vảy PET B1_A3 MN</t>
  </si>
  <si>
    <t>160012372</t>
  </si>
  <si>
    <t>Vảy PET B6 chưa rửa 2</t>
  </si>
  <si>
    <t>Xuất</t>
  </si>
  <si>
    <t>Nhập-SPC</t>
  </si>
  <si>
    <t>Nhập-SPP</t>
  </si>
  <si>
    <t>Nhập-PS</t>
  </si>
  <si>
    <t>Mã xuất</t>
  </si>
  <si>
    <t>Tên mã xuất</t>
  </si>
  <si>
    <t>160012293</t>
  </si>
  <si>
    <t>Vảy PET B1_A2.2 DT</t>
  </si>
  <si>
    <t>150000189</t>
  </si>
  <si>
    <t>Vảy PET B1_A5.2_R1</t>
  </si>
  <si>
    <t>160012294</t>
  </si>
  <si>
    <t>Vảy PET B1_A3 DT</t>
  </si>
  <si>
    <t>160012926</t>
  </si>
  <si>
    <t>Vảy PET B1_A3 MN PL</t>
  </si>
  <si>
    <t>160012242</t>
  </si>
  <si>
    <t>Vảy PET B4 Chưa Rửa 1</t>
  </si>
  <si>
    <t>160012925</t>
  </si>
  <si>
    <t>Vảy PET B1_A3 DT PL</t>
  </si>
  <si>
    <t>160012964</t>
  </si>
  <si>
    <t>Vảy PET B1.2_A3 DT</t>
  </si>
  <si>
    <t>160012392</t>
  </si>
  <si>
    <t>Vảy PET B7.1 chưa rửa 2</t>
  </si>
  <si>
    <t>160012682</t>
  </si>
  <si>
    <t>Vảy PET B2.2 chưa rửa 2</t>
  </si>
  <si>
    <t>160012371</t>
  </si>
  <si>
    <t>Vảy PET B5 chưa rửa 2</t>
  </si>
  <si>
    <t>160012801</t>
  </si>
  <si>
    <t>Vảy PET GC Dây Đai</t>
  </si>
  <si>
    <t>160012243</t>
  </si>
  <si>
    <t>Vảy PET B5 chưa rửa 1</t>
  </si>
  <si>
    <t>150000171</t>
  </si>
  <si>
    <t>Vảy PET B2.2_A6</t>
  </si>
  <si>
    <t>160012369</t>
  </si>
  <si>
    <t>Vảy PET B2 chưa rửa 2</t>
  </si>
  <si>
    <t>160012906</t>
  </si>
  <si>
    <t>Vảy PET B1.3 Chưa Rửa 2</t>
  </si>
  <si>
    <t>160009895</t>
  </si>
  <si>
    <t>Vảy PET B1_A1 DT</t>
  </si>
  <si>
    <t>160012659</t>
  </si>
  <si>
    <t>Vảy PET B1_A2.1 DT</t>
  </si>
  <si>
    <t>160012296</t>
  </si>
  <si>
    <t>Vảy PET B1_A2.2 MN</t>
  </si>
  <si>
    <t>160012393</t>
  </si>
  <si>
    <t>Vảy PET B4 Chưa Rửa 2</t>
  </si>
  <si>
    <t>160012370</t>
  </si>
  <si>
    <t>Vảy PET B3 chưa rửa 2</t>
  </si>
  <si>
    <t>160012396</t>
  </si>
  <si>
    <t>Vảy PET B4_A3</t>
  </si>
  <si>
    <t>160012681</t>
  </si>
  <si>
    <t>Vảy PET B2.2 chưa rửa 1</t>
  </si>
  <si>
    <t>160012303</t>
  </si>
  <si>
    <t>Vảy PET B3_A3 DT</t>
  </si>
  <si>
    <t>160012295</t>
  </si>
  <si>
    <t>Vảy PET B1_A3.RN</t>
  </si>
  <si>
    <t>160012298</t>
  </si>
  <si>
    <t>Vảy PET A3.RN</t>
  </si>
  <si>
    <t>160012395</t>
  </si>
  <si>
    <t>Vảy PET B4_A2</t>
  </si>
  <si>
    <t>160012688</t>
  </si>
  <si>
    <t>Vảy PET B6.2_A2</t>
  </si>
  <si>
    <t>160011761</t>
  </si>
  <si>
    <t>Vảy PET B1_A1 MN</t>
  </si>
  <si>
    <t>160012384</t>
  </si>
  <si>
    <t>Vảy PET B6.1_A3</t>
  </si>
  <si>
    <t>160012910</t>
  </si>
  <si>
    <t>Vảy PET B1.3_A3 DT</t>
  </si>
  <si>
    <t>160012905</t>
  </si>
  <si>
    <t>Vảy PET B1.3 Chưa Rửa 1</t>
  </si>
  <si>
    <t>150000079</t>
  </si>
  <si>
    <t>Vảy PET B3_A5.2</t>
  </si>
  <si>
    <t>160012685</t>
  </si>
  <si>
    <t>Vảy PET B2.2_A3</t>
  </si>
  <si>
    <t>160012415</t>
  </si>
  <si>
    <t>Vảy PET B3_A6_A3</t>
  </si>
  <si>
    <t>160012380</t>
  </si>
  <si>
    <t>Vảy PET B7.1_A3</t>
  </si>
  <si>
    <t>160012413</t>
  </si>
  <si>
    <t>Vảy PET B3_A6_A1</t>
  </si>
  <si>
    <t>160012687</t>
  </si>
  <si>
    <t>Vảy PET B6.2_A1</t>
  </si>
  <si>
    <t>160012428</t>
  </si>
  <si>
    <t>Vảy PET B1-B7.1</t>
  </si>
  <si>
    <t>160012830</t>
  </si>
  <si>
    <t>Vảy PET B1_A1 DT-L</t>
  </si>
  <si>
    <t>160012667</t>
  </si>
  <si>
    <t>Vảy PET B6.2_A6 GC</t>
  </si>
  <si>
    <t>160011808</t>
  </si>
  <si>
    <t>Vảy PET B7_A1</t>
  </si>
  <si>
    <t>160012907</t>
  </si>
  <si>
    <t>Vảy PET B1.3_A1 DT</t>
  </si>
  <si>
    <t>160012909</t>
  </si>
  <si>
    <t>Vảy PET B1.3_A2.2 DT</t>
  </si>
  <si>
    <t>160012908</t>
  </si>
  <si>
    <t>Vảy PET B1.3_A2.1 DT</t>
  </si>
  <si>
    <t>160012961</t>
  </si>
  <si>
    <t>Vảy PET B1.2 Chưa Rửa 2</t>
  </si>
  <si>
    <t>160012241</t>
  </si>
  <si>
    <t>Vảy PET B3 chưa rửa 1</t>
  </si>
  <si>
    <t>160012960</t>
  </si>
  <si>
    <t>Vảy PET B1.2 Chưa Rửa 1</t>
  </si>
  <si>
    <t>160012869</t>
  </si>
  <si>
    <t>Vảy PET WSS03G Mixed</t>
  </si>
  <si>
    <t>160012265</t>
  </si>
  <si>
    <t>Vảy PET B8 chưa rửa 1</t>
  </si>
  <si>
    <t>160012674</t>
  </si>
  <si>
    <t>Vảy PET B8 Chưa Rửa Sau Sàn Rung</t>
  </si>
  <si>
    <t>160012388</t>
  </si>
  <si>
    <t>Vảy PET B8_A3</t>
  </si>
  <si>
    <t>150000018</t>
  </si>
  <si>
    <t>Vảy PET B3_A6</t>
  </si>
  <si>
    <t>160012302</t>
  </si>
  <si>
    <t>Vảy PET B3_A2.2 DT</t>
  </si>
  <si>
    <t>160012304</t>
  </si>
  <si>
    <t>Vảy PET B3_A3.RN</t>
  </si>
  <si>
    <t>160012407</t>
  </si>
  <si>
    <t>Vảy PET B3_A5.1_A3</t>
  </si>
  <si>
    <t>160012373</t>
  </si>
  <si>
    <t>Vảy PET B8 chưa rửa 2</t>
  </si>
  <si>
    <t>160012282</t>
  </si>
  <si>
    <t>Vảy PET Mix  B2-B3-B7</t>
  </si>
  <si>
    <t>MN/TSX</t>
  </si>
  <si>
    <t>TSX</t>
  </si>
  <si>
    <t>Unknown</t>
  </si>
  <si>
    <t>MN</t>
  </si>
  <si>
    <t>Loại vảy</t>
  </si>
  <si>
    <t>NHẬP SPC+SPP</t>
  </si>
  <si>
    <t>CHECK</t>
  </si>
  <si>
    <t>Sản lượng sản xuất thực tế đạt 105.2% (4,370 tấn /4,155 tấn)</t>
  </si>
  <si>
    <t>Giá Nguyên vật liệu nhựa giảm chủ yếu là do cơ cấu chai/vảy tăng so với Kế hoạch: thực hiện là 60/40 còn kế hoạch là 50/50.
+ Đơn giá chai B1 trung bình 14,967/15,000 đ/kg (-33đ ~ -0.2%). Tuy nhiên, vảy B1 giá mua trung bình: 16,979/16,500 đ/kg (+479đ ~ +2.9%)
+ Tỷ lệ hao hụt PET giảm nhẹ: đạt 18.1% (Kế hoạch là 18.4%)</t>
  </si>
  <si>
    <t>Sản lượng sản xuất bình quân giảm 21% (2026: 3,332 tấn / 2025: 3,792 tấn)</t>
  </si>
  <si>
    <t>Giá mua chai/vảy giảm:
+ Giá mua chai B1: 14,967 đ/kg (BQ25 là 17,434 đ/kg ~ -2,374 đ/kg; -13.6%).
+ Giá mua vảy B1: 16,190 đ/kg (BQ25 là 18,817 đ/kg ~ -2,627 đ/kg; -14.0%
Tỷ lệ hao hụt PET tăng từ 17.9% lên 18.0%</t>
  </si>
  <si>
    <t>Tăng chi phí hoa hồng, chiết khấu do:
'- SL bán Niagara tăng: 1.320/ 1.100 tấn
- Rebate Suntory tăng: từ 0,5% lên 6%, sản lượng bán tăng: 748 tấn/ 374 tấn</t>
  </si>
  <si>
    <t>Tăng các khoản mục chi phí:
'- Xăng dầu: tăng đơn giá dầu:  xe nâng đơn giá NS: 20.000đ/lit, TT: 33.470đ/lit, xe tải đơn giá NS: 20.000 đ/lit, TT: 35.000đ/lit
- Chi phí bao bì: tăng do thay đổi cơ cấu bán vảy FPET01 +02 
- Chi phí thử mẫu:  xuất mẫu 4,4 tấn cho NNG TN để chạy mẫu màu</t>
  </si>
  <si>
    <t>Số nhân sự thực tế 571, kế hoạch 664 người</t>
  </si>
  <si>
    <t>Giảm chi phí hóa chất do:
'- Sản lượng rửa vảy giảm 151 tấn~3% (KH: 4.073 tấn; TT: 3.922 tấn)
- Cải tiến kỹ thuật: gắn bơm định lượng kiểm soát chất phá bọt</t>
  </si>
  <si>
    <t>Tăng chi phí rebate cho Suntory : từ 1,5% lên 6%</t>
  </si>
  <si>
    <t>Tăng các khoản mục phí:
- Thử mẫu: chi phí sorting cho Sri Thái
- Xăng dầu: tăng đơn giá dầu, BQ 2025: 16.585 đ/lit, BQ 2026: 25.897 đ/lit
- Màu: sử dụng thêm hạt màu để SX HD ép lá, HD thổi đen, vảy GCĐL
- Bao bì: chuyển đổi bán vảy fPET làm tăng chi phí bao</t>
  </si>
  <si>
    <t>Định biên nhân sự bình quân giảm 7% (2025: 626 người / 2026: 585 người)</t>
  </si>
  <si>
    <t>Giảm chi phí:
'- Phụ gia: do hiệu suất máy STAR-02 giảm 4% ( 2025: 57%/ 2026: 53%)
- Hóa chất: do hiệu suất các chuyền rửa giảm 15% ( 2025: 83%/ 2026: 68%)</t>
  </si>
  <si>
    <t>Hiệu suất máy tăng so với kế hoạch:
+ Chuyền rửa PET tăng 3% so với kế hoạch (KH: 86%, thực tế: 89%)
+ Chuyền tạo hạt PET: Star-01, Star-02, Star-03 tăng 10% so với kế hoạch (KH: 80%, thực tế 90%)
+ Trộn vảy PET tăng 23% so với kế hoạch (KH: 59%, thực tế: 82%)
+ Xơ sợi tăng 13% so với kế hoạch (KH: 0%, thực tế 13%)
+ Trộn vảy HDPP tăng 10% so với kế hoạch (KH: 39%, thực tế 49%)</t>
  </si>
  <si>
    <t>1.7</t>
  </si>
  <si>
    <t>1.8</t>
  </si>
  <si>
    <t>Sản lượng sản xuất thực tế đạt 86.7% (3,593 tấn /4,145 tấn)</t>
  </si>
  <si>
    <t>- Giá Nguyên vật liệu nhựa tăng chủ yếu là do giá chai, vảy PET tăng
+ Đơn giá chai B1 trung bình 16,062/15,000 đ/kg (+1,062đ ~ +7.1%).
+ Đơn giá vảy B1 trung bình: 18,121/16,500 đ/kg (+1,621đ ~ +9.8%)
-  Tỷ lệ hao hụt PET giảm đạt 16.4% (kế hoạch là 18.4%)</t>
  </si>
  <si>
    <t>Sản lượng sản xuất bình quân giảm 11% (2026: 3,384 tấn / 2025: 3,792 tấn)</t>
  </si>
  <si>
    <t>- Giá mua chai/vảy giảm:
+ Giá mua chai B1: 15,376 đ/kg (BQ25 là 17,434 đ/kg ~ -2,059 đ/kg; -11.8%).
+ Giá mua vảy B1: 16,842 đ/kg (BQ25 là 18,817 đ/kg ~ -1,976 đ/kg; -10.5%
- Tỷ lệ hao hụt PET giảm nhẹ từ 17.9%  xuống 17.6%</t>
  </si>
  <si>
    <t xml:space="preserve">Hiệu suất máy tăng so với kế hoạch:
+ Chuyền rửa PET BORE-R03 tăng 90% so với kế hoạch (KH: không chạy, thực tế: 90%) (Điện năng tiêu thụ T05: 224,876 kwh) ~ 450tr
+ Các chuyền rửa PET còn lại (CHWO-R01, CHWO-R02, BORE-R01, BORE-R02) tăng 6% so với kế hoạch (KH: 86%, thực tế: 92%)
+ Điện Solar giảm 5% ~ 25,444 kwh do các ngày mưa giảm sản lượng điện (Ngân sách: 490,075 kwh, thực tế: 464,631 kwh)
+ Giảm dừng máy giờ cao điểm do tăng sản lượng sản xuất (tháng 5 chỉ dừng máy giờ cao điểm 6h)
</t>
  </si>
  <si>
    <t>Tăng chi phí  do:
'- Rebate Suntory tăng từ 0,5% lên 6% ~ vượt 1.196tr, sản lượng bán 666 tấn/ 396 tấn 
- Chi phí vận chuyển: Suntory miền bắc bán 446 tấn/ 66 tấn, đơn giá vận chuyển thực tế: 774/ 610đ/kg
- Chi phí sorting phôi Sri Thái: 133tr</t>
  </si>
  <si>
    <t>Tăng chi phí phụ gia:
'- Chuyền STAR-02 hoạt động vượt hiệu suất so với kế hoạch ( kế hoạch: 66%, thực tế 87% )
- Sử dụng hóa chất nâng IV 409 hết hạn, tăng lượng sử dụng thực tế ( BQ2026 : 0,117%, BQ tháng 5: 0,125%)</t>
  </si>
  <si>
    <t>Tăng chi phí bao bì, xăng dầu:
'- Bao bì: sản xuất thêm vảy FPET201/ FPET202 ngoài NS, thay bao do rework 768 tấn
- Xăng dầu: đơn giá đầu tăng 40% so với ngân sách ( 27.984/ 20.000 VND/lit)</t>
  </si>
  <si>
    <t>Trđ</t>
  </si>
  <si>
    <t>Số nhân sự thực tế 559, kế hoạch 670 người</t>
  </si>
  <si>
    <t>Tăng các khoản mục phí:
'- Xăng dầu: tăng đơn giá dầu 54%, BQ 2025: 16.585 đ/lit, BQ 2026: 25.619 đ/lit
- Màu: sử dụng thêm hạt màu để SX HD ép lá, HD thổi đen, vảy GCĐL
- Bao bì: chuyển đổi bán vảy fPET làm tăng chi phí bao</t>
  </si>
  <si>
    <t>Định biên nhân sự bình quân giảm 7% (2025: 626 người / 2026: 580 người)</t>
  </si>
  <si>
    <t>- Quyết toán chi phí cải tạo hồ cá 2025
- Chi phí kiểm định cân và xe nâng thực hiện lệch kỳ ( ngân sách T4, thực hiện T5)</t>
  </si>
  <si>
    <t xml:space="preserve"> - Phụ gia: cải tiến công thức không sử dụng phụ gia AY090 khi sản xuất WSS03G trên máy STAR-02 (công thức mới mix B6.2 + B5)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</si>
</sst>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1" formatCode="_(* #,##0_);_(* \(#,##0\);_(* &quot;-&quot;_);_(@_)"/>
    <numFmt numFmtId="43" formatCode="_(* #,##0.00_);_(* \(#,##0.00\);_(* &quot;-&quot;??_);_(@_)"/>
    <numFmt numFmtId="164" formatCode="_-* #,##0_-;\-* #,##0_-;_-* &quot;-&quot;_-;_-@_-"/>
    <numFmt numFmtId="165" formatCode="_-* #,##0.00_-;\-* #,##0.00_-;_-* &quot;-&quot;??_-;_-@_-"/>
    <numFmt numFmtId="166" formatCode="_(* #,##0_);_(* \(#,##0\);_(* &quot;-&quot;??_);_(@_)"/>
    <numFmt numFmtId="167" formatCode="_(* #,##0.000_);_(* \(#,##0.000\);_(* &quot;-&quot;??_);_(@_)"/>
    <numFmt numFmtId="168" formatCode="0.0%"/>
    <numFmt numFmtId="169" formatCode="00"/>
    <numFmt numFmtId="170" formatCode="0.0%;\-0.0%;;"/>
    <numFmt numFmtId="171" formatCode="_(* #,##0.0_);_(* \(#,##0.0\);_(* &quot;-&quot;??_);_(@_)"/>
    <numFmt numFmtId="172" formatCode="[Color3]\▲_(* #,##0.00_);_(* \(#,##0.00\);;_(@_)"/>
    <numFmt numFmtId="173" formatCode="[Color10]\▼_(* #,##0.00_);_(* \(#,##0.00\);;_(@_)"/>
    <numFmt numFmtId="174" formatCode="_-* #,##0_-;\-* #,##0_-;_-* &quot;-&quot;??_-;_-@_-"/>
    <numFmt numFmtId="175" formatCode="#,##0.0"/>
    <numFmt numFmtId="176" formatCode="_-* #,##0.0_-;\-* #,##0.0_-;_-* &quot;-&quot;??_-;_-@_-"/>
    <numFmt numFmtId="177" formatCode="#,##0;\(#,##0\);_(* &quot;-&quot;??_);_(@_)"/>
    <numFmt numFmtId="178" formatCode="#,##0;\(#,##0\);;_(@_)"/>
    <numFmt numFmtId="179" formatCode="_-* #,##0.000_-;\-* #,##0.000_-;_-* &quot;-&quot;??_-;_-@_-"/>
    <numFmt numFmtId="180" formatCode="_(* #,##0.0_);_(* \(#,##0.0\);_(* &quot;-&quot;_);_(@_)"/>
    <numFmt numFmtId="181" formatCode="_-* #,##0.00\ _₫_-;\-* #,##0.00\ _₫_-;_-* &quot;-&quot;??\ _₫_-;_-@_-"/>
    <numFmt numFmtId="182" formatCode="_(* #,##0.0000_);_(* \(#,##0.0000\);_(* &quot;-&quot;??_);_(@_)"/>
    <numFmt numFmtId="183" formatCode="_(* #,##0.000_);_(* \(#,##0.000\);_(* &quot;-&quot;_);_(@_)"/>
    <numFmt numFmtId="184" formatCode="0.0000%"/>
    <numFmt numFmtId="185" formatCode="_(* #,##0_);_(* \(#,##0\);_(* &quot;-&quot;????_);_(@_)"/>
    <numFmt numFmtId="186" formatCode="_-* #,##0.00_-;\-* #,##0.00_-;_-* &quot;-&quot;_-;_-@_-"/>
    <numFmt numFmtId="187" formatCode="_-* #,##0.000\ _₫_-;\-* #,##0.000\ _₫_-;_-* &quot;-&quot;??\ _₫_-;_-@_-"/>
    <numFmt numFmtId="188" formatCode="_(* #,##0.00_);_(* \(#,##0.00\);_(* &quot;-&quot;_);_(@_)"/>
    <numFmt numFmtId="189" formatCode="0.00000000000000000%"/>
    <numFmt numFmtId="190" formatCode="0.000000000000000%"/>
  </numFmts>
  <fonts count="167">
    <font>
      <sz val="11"/>
      <color theme="1"/>
      <name val="Aptos Narrow"/>
      <family val="2"/>
      <scheme val="minor"/>
    </font>
    <font>
      <sz val="11"/>
      <color theme="1"/>
      <name val="Aptos Display"/>
      <family val="2"/>
      <scheme val="major"/>
    </font>
    <font>
      <sz val="11"/>
      <color theme="1"/>
      <name val="Aptos Display"/>
      <family val="2"/>
      <scheme val="major"/>
    </font>
    <font>
      <sz val="11"/>
      <color theme="1"/>
      <name val="Aptos Narrow"/>
      <family val="2"/>
      <scheme val="minor"/>
    </font>
    <font>
      <sz val="10"/>
      <name val="Arial"/>
      <family val="2"/>
    </font>
    <font>
      <sz val="12"/>
      <name val="VNI-Times"/>
    </font>
    <font>
      <b/>
      <sz val="11"/>
      <color theme="1"/>
      <name val="Aptos Narrow"/>
      <family val="2"/>
      <scheme val="minor"/>
    </font>
    <font>
      <b/>
      <sz val="11"/>
      <name val="Aptos Narrow"/>
      <family val="2"/>
      <scheme val="minor"/>
    </font>
    <font>
      <b/>
      <sz val="10"/>
      <name val="Arial"/>
      <family val="2"/>
    </font>
    <font>
      <sz val="10"/>
      <color theme="1"/>
      <name val="Arial"/>
      <family val="2"/>
    </font>
    <font>
      <b/>
      <sz val="10"/>
      <color theme="0"/>
      <name val="Arial"/>
      <family val="2"/>
    </font>
    <font>
      <sz val="10"/>
      <color theme="0"/>
      <name val="Arial"/>
      <family val="2"/>
    </font>
    <font>
      <sz val="11"/>
      <name val="Aptos Narrow"/>
      <family val="2"/>
      <scheme val="minor"/>
    </font>
    <font>
      <b/>
      <sz val="11"/>
      <color theme="0"/>
      <name val="Aptos Narrow"/>
      <family val="2"/>
      <scheme val="minor"/>
    </font>
    <font>
      <sz val="8"/>
      <name val="Aptos Narrow"/>
      <family val="2"/>
      <scheme val="minor"/>
    </font>
    <font>
      <u/>
      <sz val="11"/>
      <color theme="10"/>
      <name val="Aptos Narrow"/>
      <family val="2"/>
      <scheme val="minor"/>
    </font>
    <font>
      <sz val="11"/>
      <color theme="1"/>
      <name val="Aptos Display"/>
      <family val="2"/>
    </font>
    <font>
      <b/>
      <sz val="11"/>
      <color theme="1"/>
      <name val="Aptos Display"/>
      <family val="2"/>
    </font>
    <font>
      <sz val="18"/>
      <color theme="1"/>
      <name val="Aptos Display"/>
      <family val="2"/>
    </font>
    <font>
      <b/>
      <sz val="20"/>
      <color theme="0"/>
      <name val="Aptos Display"/>
      <family val="2"/>
    </font>
    <font>
      <b/>
      <sz val="18"/>
      <color theme="1"/>
      <name val="Aptos Display"/>
      <family val="2"/>
    </font>
    <font>
      <b/>
      <sz val="20"/>
      <color theme="1"/>
      <name val="Aptos Display"/>
      <family val="2"/>
    </font>
    <font>
      <sz val="20"/>
      <color theme="1"/>
      <name val="Aptos Display"/>
      <family val="2"/>
    </font>
    <font>
      <u/>
      <sz val="18"/>
      <color theme="10"/>
      <name val="Aptos Display"/>
      <family val="2"/>
    </font>
    <font>
      <sz val="18"/>
      <name val="Aptos Display"/>
      <family val="2"/>
    </font>
    <font>
      <b/>
      <sz val="18"/>
      <color rgb="FF0000FF"/>
      <name val="Aptos Display"/>
      <family val="2"/>
    </font>
    <font>
      <b/>
      <sz val="18"/>
      <name val="Aptos Display"/>
      <family val="2"/>
    </font>
    <font>
      <sz val="14"/>
      <color theme="1"/>
      <name val="Aptos Display"/>
      <family val="2"/>
    </font>
    <font>
      <sz val="12"/>
      <color theme="1"/>
      <name val="Aptos Display"/>
      <family val="2"/>
    </font>
    <font>
      <sz val="11"/>
      <color theme="0"/>
      <name val="Aptos Display"/>
      <family val="2"/>
    </font>
    <font>
      <sz val="11"/>
      <color rgb="FF0633B2"/>
      <name val="Aptos Display"/>
      <family val="2"/>
    </font>
    <font>
      <sz val="18"/>
      <color rgb="FF0633B2"/>
      <name val="Aptos Display"/>
      <family val="2"/>
    </font>
    <font>
      <sz val="12"/>
      <color rgb="FF0000FF"/>
      <name val="Aptos Display"/>
      <family val="2"/>
    </font>
    <font>
      <b/>
      <sz val="11"/>
      <color theme="0"/>
      <name val="Aptos Display"/>
      <family val="2"/>
    </font>
    <font>
      <b/>
      <sz val="22"/>
      <color rgb="FF0070C4"/>
      <name val="Aptos Display"/>
      <family val="2"/>
    </font>
    <font>
      <sz val="8"/>
      <color theme="1"/>
      <name val="Aptos Display"/>
      <family val="2"/>
    </font>
    <font>
      <b/>
      <sz val="10"/>
      <name val="Aptos Display"/>
      <family val="2"/>
    </font>
    <font>
      <sz val="10"/>
      <name val="Aptos Display"/>
      <family val="2"/>
    </font>
    <font>
      <sz val="9"/>
      <name val="Aptos Display"/>
      <family val="2"/>
    </font>
    <font>
      <b/>
      <sz val="20"/>
      <color theme="4" tint="-0.249977111117893"/>
      <name val="Aptos Display"/>
      <family val="2"/>
    </font>
    <font>
      <b/>
      <sz val="12"/>
      <color rgb="FFFFFFFF"/>
      <name val="Aptos Display"/>
      <family val="2"/>
    </font>
    <font>
      <sz val="12"/>
      <color rgb="FF000000"/>
      <name val="Aptos Display"/>
      <family val="2"/>
    </font>
    <font>
      <b/>
      <sz val="14"/>
      <color theme="1"/>
      <name val="Aptos Display"/>
      <family val="2"/>
    </font>
    <font>
      <i/>
      <sz val="11"/>
      <color rgb="FF00B0F0"/>
      <name val="Aptos Display"/>
      <family val="2"/>
    </font>
    <font>
      <i/>
      <sz val="14"/>
      <color rgb="FF00B0F0"/>
      <name val="Aptos Display"/>
      <family val="2"/>
    </font>
    <font>
      <i/>
      <sz val="18"/>
      <color rgb="FF00B0F0"/>
      <name val="Aptos Display"/>
      <family val="2"/>
    </font>
    <font>
      <i/>
      <sz val="11"/>
      <color rgb="FF00B0F0"/>
      <name val="Aptos Narrow"/>
      <family val="2"/>
      <scheme val="minor"/>
    </font>
    <font>
      <b/>
      <sz val="11"/>
      <color theme="5" tint="-0.249977111117893"/>
      <name val="Aptos Display"/>
      <family val="2"/>
    </font>
    <font>
      <b/>
      <sz val="14"/>
      <color theme="5" tint="-0.249977111117893"/>
      <name val="Aptos Display"/>
      <family val="2"/>
    </font>
    <font>
      <b/>
      <sz val="18"/>
      <color theme="5" tint="-0.249977111117893"/>
      <name val="Aptos Display"/>
      <family val="2"/>
    </font>
    <font>
      <b/>
      <sz val="16"/>
      <color rgb="FF119303"/>
      <name val="Atops display"/>
    </font>
    <font>
      <b/>
      <sz val="16"/>
      <color rgb="FF0000FF"/>
      <name val="Atops display"/>
    </font>
    <font>
      <sz val="11"/>
      <color theme="1"/>
      <name val="Atops display"/>
    </font>
    <font>
      <b/>
      <sz val="12"/>
      <color rgb="FFFFFFFF"/>
      <name val="Atops display"/>
    </font>
    <font>
      <sz val="12"/>
      <color rgb="FF000000"/>
      <name val="Atops display"/>
    </font>
    <font>
      <sz val="12"/>
      <color theme="1"/>
      <name val="Atops display"/>
    </font>
    <font>
      <b/>
      <sz val="11"/>
      <color theme="0"/>
      <name val="Atops display"/>
    </font>
    <font>
      <b/>
      <sz val="11"/>
      <color rgb="FF0000FF"/>
      <name val="Atops display"/>
    </font>
    <font>
      <sz val="11"/>
      <color rgb="FF0000FF"/>
      <name val="Atops display"/>
    </font>
    <font>
      <b/>
      <u/>
      <sz val="13"/>
      <name val="Atops display"/>
    </font>
    <font>
      <sz val="13"/>
      <name val="Atops display"/>
    </font>
    <font>
      <u/>
      <sz val="11"/>
      <color theme="10"/>
      <name val="Atops display"/>
    </font>
    <font>
      <b/>
      <sz val="13"/>
      <color rgb="FFFF0000"/>
      <name val="Atops display"/>
    </font>
    <font>
      <b/>
      <sz val="18"/>
      <color rgb="FF119303"/>
      <name val="Atops display"/>
    </font>
    <font>
      <b/>
      <sz val="14"/>
      <color theme="0"/>
      <name val="Atops display"/>
    </font>
    <font>
      <sz val="14"/>
      <name val="Atops display"/>
    </font>
    <font>
      <sz val="14"/>
      <color rgb="FF0033CC"/>
      <name val="Atops display"/>
    </font>
    <font>
      <sz val="14"/>
      <color rgb="FFFF0000"/>
      <name val="Atops display"/>
    </font>
    <font>
      <sz val="13"/>
      <color rgb="FFFF0000"/>
      <name val="Atops display"/>
    </font>
    <font>
      <b/>
      <sz val="18"/>
      <color rgb="FF0000FF"/>
      <name val="Atops display"/>
    </font>
    <font>
      <b/>
      <sz val="28"/>
      <color rgb="FF0804A7"/>
      <name val="Atops display"/>
    </font>
    <font>
      <b/>
      <sz val="28"/>
      <name val="Atops display"/>
    </font>
    <font>
      <b/>
      <sz val="13"/>
      <color rgb="FF119303"/>
      <name val="Atops display"/>
    </font>
    <font>
      <sz val="13"/>
      <color theme="1"/>
      <name val="Atops display"/>
    </font>
    <font>
      <i/>
      <sz val="11"/>
      <color rgb="FF727376"/>
      <name val="Atops display"/>
    </font>
    <font>
      <sz val="11"/>
      <color theme="0" tint="-0.249977111117893"/>
      <name val="Atops display"/>
    </font>
    <font>
      <i/>
      <sz val="10"/>
      <color rgb="FFFF33CC"/>
      <name val="Atops display"/>
    </font>
    <font>
      <b/>
      <i/>
      <sz val="10"/>
      <color rgb="FFFF33CC"/>
      <name val="Atops display"/>
    </font>
    <font>
      <i/>
      <sz val="10"/>
      <color rgb="FF727376"/>
      <name val="Atops display"/>
    </font>
    <font>
      <b/>
      <sz val="11"/>
      <color theme="1"/>
      <name val="Atops display"/>
    </font>
    <font>
      <i/>
      <sz val="9"/>
      <color theme="0" tint="-0.249977111117893"/>
      <name val="Atops display"/>
    </font>
    <font>
      <i/>
      <sz val="11"/>
      <color rgb="FF00B0F0"/>
      <name val="Atops display"/>
    </font>
    <font>
      <b/>
      <sz val="11"/>
      <color rgb="FF008000"/>
      <name val="Atops display"/>
    </font>
    <font>
      <b/>
      <sz val="18"/>
      <color theme="5"/>
      <name val="Aptos Display"/>
      <family val="2"/>
    </font>
    <font>
      <sz val="11"/>
      <color theme="0"/>
      <name val="Aptos Narrow"/>
      <family val="2"/>
      <scheme val="minor"/>
    </font>
    <font>
      <b/>
      <sz val="11"/>
      <color rgb="FFFF0000"/>
      <name val="Aptos Narrow"/>
      <family val="2"/>
      <scheme val="minor"/>
    </font>
    <font>
      <b/>
      <u/>
      <sz val="11"/>
      <color theme="1"/>
      <name val="Aptos Narrow"/>
      <family val="2"/>
      <scheme val="minor"/>
    </font>
    <font>
      <b/>
      <sz val="11"/>
      <color rgb="FF0000FF"/>
      <name val="Aptos Narrow"/>
      <family val="2"/>
      <scheme val="minor"/>
    </font>
    <font>
      <b/>
      <sz val="15"/>
      <color rgb="FF119303"/>
      <name val="Aptos Narrow"/>
      <family val="2"/>
      <scheme val="minor"/>
    </font>
    <font>
      <sz val="15"/>
      <color rgb="FF119303"/>
      <name val="Aptos Narrow"/>
      <family val="2"/>
      <scheme val="minor"/>
    </font>
    <font>
      <i/>
      <sz val="11"/>
      <color theme="5" tint="-0.249977111117893"/>
      <name val="Aptos Narrow"/>
      <family val="2"/>
      <scheme val="minor"/>
    </font>
    <font>
      <b/>
      <sz val="9"/>
      <color indexed="81"/>
      <name val="Tahoma"/>
      <family val="2"/>
    </font>
    <font>
      <sz val="9"/>
      <color indexed="81"/>
      <name val="Tahoma"/>
      <family val="2"/>
    </font>
    <font>
      <b/>
      <sz val="10"/>
      <color theme="3" tint="0.249977111117893"/>
      <name val="Aptos Display"/>
      <family val="2"/>
    </font>
    <font>
      <sz val="10"/>
      <color theme="3" tint="0.249977111117893"/>
      <name val="Aptos Display"/>
      <family val="2"/>
    </font>
    <font>
      <i/>
      <sz val="9"/>
      <color theme="5" tint="-0.249977111117893"/>
      <name val="Atops display"/>
    </font>
    <font>
      <b/>
      <sz val="11"/>
      <color theme="1"/>
      <name val="Aptos Display"/>
      <family val="2"/>
      <scheme val="major"/>
    </font>
    <font>
      <b/>
      <sz val="14"/>
      <color theme="0"/>
      <name val="Aptos Narrow"/>
      <family val="2"/>
      <scheme val="minor"/>
    </font>
    <font>
      <b/>
      <sz val="13"/>
      <color rgb="FF0000FF"/>
      <name val="Aptos Narrow"/>
      <family val="2"/>
      <scheme val="minor"/>
    </font>
    <font>
      <b/>
      <sz val="13"/>
      <color theme="1"/>
      <name val="Aptos Narrow"/>
      <family val="2"/>
      <scheme val="minor"/>
    </font>
    <font>
      <sz val="11"/>
      <color rgb="FFFF0000"/>
      <name val="Aptos Narrow"/>
      <family val="2"/>
      <scheme val="minor"/>
    </font>
    <font>
      <sz val="13"/>
      <color theme="1"/>
      <name val="Aptos Narrow"/>
      <family val="2"/>
      <scheme val="minor"/>
    </font>
    <font>
      <b/>
      <sz val="14"/>
      <color rgb="FF0000FF"/>
      <name val="Aptos Narrow"/>
      <family val="2"/>
      <scheme val="minor"/>
    </font>
    <font>
      <b/>
      <sz val="14"/>
      <color rgb="FFFF0000"/>
      <name val="Aptos Narrow"/>
      <family val="2"/>
      <scheme val="minor"/>
    </font>
    <font>
      <sz val="14"/>
      <color theme="1"/>
      <name val="Aptos Narrow"/>
      <family val="2"/>
      <scheme val="minor"/>
    </font>
    <font>
      <b/>
      <sz val="10"/>
      <color theme="0"/>
      <name val="Times New Roman"/>
      <family val="1"/>
    </font>
    <font>
      <b/>
      <sz val="11"/>
      <color theme="0"/>
      <name val="Times New Roman"/>
      <family val="1"/>
    </font>
    <font>
      <b/>
      <sz val="10"/>
      <name val="Times New Roman"/>
      <family val="1"/>
    </font>
    <font>
      <b/>
      <sz val="11"/>
      <name val="Times New Roman"/>
      <family val="1"/>
    </font>
    <font>
      <sz val="11"/>
      <color theme="1"/>
      <name val="Times New Roman"/>
      <family val="1"/>
    </font>
    <font>
      <sz val="11"/>
      <name val="Times New Roman"/>
      <family val="1"/>
    </font>
    <font>
      <b/>
      <sz val="11"/>
      <color theme="1"/>
      <name val="Times New Roman"/>
      <family val="1"/>
    </font>
    <font>
      <sz val="12"/>
      <color theme="1"/>
      <name val="Aptos Display"/>
      <family val="2"/>
      <scheme val="major"/>
    </font>
    <font>
      <sz val="12"/>
      <color rgb="FFFF0000"/>
      <name val="Aptos Display"/>
      <family val="2"/>
      <scheme val="major"/>
    </font>
    <font>
      <b/>
      <sz val="16"/>
      <color rgb="FF0000FF"/>
      <name val="Aptos Display"/>
      <family val="2"/>
      <scheme val="major"/>
    </font>
    <font>
      <i/>
      <u/>
      <sz val="12"/>
      <color theme="5" tint="-0.249977111117893"/>
      <name val="Aptos Display"/>
      <family val="2"/>
      <scheme val="major"/>
    </font>
    <font>
      <i/>
      <sz val="11"/>
      <color theme="5" tint="-0.249977111117893"/>
      <name val="Aptos Display"/>
      <family val="2"/>
      <scheme val="major"/>
    </font>
    <font>
      <b/>
      <sz val="12"/>
      <color theme="0"/>
      <name val="Aptos Display"/>
      <family val="2"/>
      <scheme val="major"/>
    </font>
    <font>
      <b/>
      <sz val="12"/>
      <color rgb="FFFFC000"/>
      <name val="Aptos Display"/>
      <family val="2"/>
      <scheme val="major"/>
    </font>
    <font>
      <sz val="12"/>
      <color theme="0"/>
      <name val="Aptos Display"/>
      <family val="2"/>
      <scheme val="major"/>
    </font>
    <font>
      <b/>
      <sz val="12"/>
      <name val="Aptos Display"/>
      <family val="2"/>
      <scheme val="major"/>
    </font>
    <font>
      <sz val="12"/>
      <name val="Aptos Display"/>
      <family val="2"/>
      <scheme val="major"/>
    </font>
    <font>
      <b/>
      <sz val="12"/>
      <color rgb="FF0000FF"/>
      <name val="Aptos Display"/>
      <family val="2"/>
      <scheme val="major"/>
    </font>
    <font>
      <b/>
      <sz val="12"/>
      <color theme="1"/>
      <name val="Aptos Display"/>
      <family val="2"/>
      <scheme val="major"/>
    </font>
    <font>
      <b/>
      <i/>
      <sz val="11"/>
      <color theme="5" tint="-0.249977111117893"/>
      <name val="Aptos Display"/>
      <family val="2"/>
      <scheme val="major"/>
    </font>
    <font>
      <b/>
      <sz val="11"/>
      <color rgb="FF0000FF"/>
      <name val="Aptos Display"/>
      <family val="2"/>
      <scheme val="major"/>
    </font>
    <font>
      <b/>
      <i/>
      <sz val="12"/>
      <color rgb="FFFFC000"/>
      <name val="Aptos Display"/>
      <family val="2"/>
      <scheme val="major"/>
    </font>
    <font>
      <sz val="12"/>
      <color rgb="FF0000FF"/>
      <name val="Aptos Display"/>
      <family val="2"/>
      <scheme val="major"/>
    </font>
    <font>
      <sz val="18"/>
      <color theme="1"/>
      <name val="Times New Roman"/>
      <family val="1"/>
    </font>
    <font>
      <sz val="11"/>
      <color theme="1"/>
      <name val="Aptos Narrow"/>
      <family val="2"/>
      <charset val="163"/>
      <scheme val="minor"/>
    </font>
    <font>
      <b/>
      <sz val="16"/>
      <color rgb="FF0033CC"/>
      <name val="Aptos Display"/>
      <family val="2"/>
    </font>
    <font>
      <sz val="11"/>
      <color rgb="FFFF0000"/>
      <name val="Aptos Display"/>
      <family val="2"/>
    </font>
    <font>
      <b/>
      <sz val="11"/>
      <color rgb="FF0033CC"/>
      <name val="Aptos Display"/>
      <family val="2"/>
    </font>
    <font>
      <b/>
      <sz val="13"/>
      <color theme="0"/>
      <name val="Aptos Display"/>
      <family val="2"/>
    </font>
    <font>
      <sz val="18"/>
      <color theme="5"/>
      <name val="Aptos Display"/>
      <family val="2"/>
    </font>
    <font>
      <sz val="12"/>
      <color theme="0" tint="-0.249977111117893"/>
      <name val="Aptos Display"/>
      <family val="2"/>
      <scheme val="major"/>
    </font>
    <font>
      <i/>
      <u/>
      <sz val="12"/>
      <color theme="0" tint="-0.249977111117893"/>
      <name val="Aptos Display"/>
      <family val="2"/>
      <scheme val="major"/>
    </font>
    <font>
      <i/>
      <sz val="12"/>
      <color theme="0" tint="-0.249977111117893"/>
      <name val="Aptos Display"/>
      <family val="2"/>
      <scheme val="major"/>
    </font>
    <font>
      <sz val="10"/>
      <color rgb="FF0000FF"/>
      <name val="Arial"/>
      <family val="2"/>
    </font>
    <font>
      <sz val="10"/>
      <color rgb="FF0000FF"/>
      <name val="Aptos Display"/>
      <family val="2"/>
    </font>
    <font>
      <sz val="11"/>
      <color theme="0"/>
      <name val="Times New Roman"/>
      <family val="1"/>
    </font>
    <font>
      <sz val="10"/>
      <name val="Times New Roman"/>
      <family val="1"/>
    </font>
    <font>
      <u/>
      <sz val="11"/>
      <color theme="10"/>
      <name val="Times New Roman"/>
      <family val="1"/>
    </font>
    <font>
      <sz val="12"/>
      <color theme="1"/>
      <name val="Times New Roman"/>
      <family val="1"/>
    </font>
    <font>
      <sz val="11"/>
      <color rgb="FFFF0000"/>
      <name val="Times New Roman"/>
      <family val="1"/>
    </font>
    <font>
      <b/>
      <sz val="8"/>
      <color indexed="81"/>
      <name val="Tahoma"/>
      <family val="2"/>
    </font>
    <font>
      <b/>
      <sz val="12"/>
      <color theme="0"/>
      <name val="Aptos Narrow"/>
      <family val="2"/>
      <scheme val="minor"/>
    </font>
    <font>
      <b/>
      <sz val="13"/>
      <color rgb="FFC00000"/>
      <name val="Aptos Narrow"/>
      <family val="2"/>
      <scheme val="minor"/>
    </font>
    <font>
      <sz val="11"/>
      <color theme="4" tint="0.39997558519241921"/>
      <name val="Aptos Narrow"/>
      <family val="2"/>
      <scheme val="minor"/>
    </font>
    <font>
      <b/>
      <sz val="11"/>
      <color theme="4" tint="0.39997558519241921"/>
      <name val="Aptos Narrow"/>
      <family val="2"/>
      <scheme val="minor"/>
    </font>
    <font>
      <b/>
      <sz val="12"/>
      <color theme="4"/>
      <name val="Aptos Narrow"/>
      <family val="2"/>
      <scheme val="minor"/>
    </font>
    <font>
      <sz val="11"/>
      <color theme="8" tint="0.39997558519241921"/>
      <name val="Aptos Narrow"/>
      <family val="2"/>
      <scheme val="minor"/>
    </font>
    <font>
      <b/>
      <sz val="12"/>
      <color theme="7" tint="-0.249977111117893"/>
      <name val="Aptos Narrow"/>
      <family val="2"/>
      <scheme val="minor"/>
    </font>
    <font>
      <b/>
      <sz val="11"/>
      <color theme="1"/>
      <name val="Wingdings 3"/>
      <family val="1"/>
      <charset val="2"/>
    </font>
    <font>
      <sz val="18"/>
      <color rgb="FFFF0000"/>
      <name val="Aptos Display"/>
      <family val="2"/>
    </font>
    <font>
      <b/>
      <sz val="14"/>
      <color theme="0"/>
      <name val="Aptos Display"/>
      <family val="2"/>
    </font>
    <font>
      <b/>
      <sz val="13"/>
      <color rgb="FF0000FF"/>
      <name val="Aptos Display"/>
      <family val="2"/>
    </font>
    <font>
      <b/>
      <sz val="14"/>
      <color rgb="FF0000FF"/>
      <name val="Aptos Display"/>
      <family val="2"/>
    </font>
    <font>
      <b/>
      <sz val="14"/>
      <color rgb="FFFF0000"/>
      <name val="Aptos Display"/>
      <family val="2"/>
    </font>
    <font>
      <b/>
      <sz val="13"/>
      <color rgb="FFFF0000"/>
      <name val="Aptos Display"/>
      <family val="2"/>
    </font>
    <font>
      <b/>
      <sz val="11"/>
      <name val="Aptos Display"/>
      <family val="2"/>
      <scheme val="major"/>
    </font>
    <font>
      <sz val="11"/>
      <name val="Aptos Display"/>
      <family val="2"/>
      <scheme val="major"/>
    </font>
    <font>
      <sz val="11"/>
      <color rgb="FF0000FF"/>
      <name val="Aptos Display"/>
      <family val="2"/>
      <scheme val="major"/>
    </font>
    <font>
      <b/>
      <sz val="11"/>
      <color theme="3" tint="0.249977111117893"/>
      <name val="Aptos Display"/>
      <family val="2"/>
      <scheme val="major"/>
    </font>
    <font>
      <sz val="11"/>
      <color theme="3" tint="0.249977111117893"/>
      <name val="Aptos Display"/>
      <family val="2"/>
      <scheme val="major"/>
    </font>
    <font>
      <b/>
      <sz val="11"/>
      <color theme="7" tint="-0.249977111117893"/>
      <name val="Aptos Narrow"/>
      <family val="2"/>
      <scheme val="minor"/>
    </font>
    <font>
      <sz val="11"/>
      <color theme="0" tint="-0.249977111117893"/>
      <name val="Aptos Narrow"/>
      <family val="2"/>
      <scheme val="minor"/>
    </font>
  </fonts>
  <fills count="54">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7030A0"/>
        <bgColor indexed="64"/>
      </patternFill>
    </fill>
    <fill>
      <patternFill patternType="solid">
        <fgColor rgb="FFC0000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rgb="FF30549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119303"/>
        <bgColor indexed="64"/>
      </patternFill>
    </fill>
    <fill>
      <patternFill patternType="solid">
        <fgColor theme="6" tint="0.79998168889431442"/>
        <bgColor indexed="64"/>
      </patternFill>
    </fill>
    <fill>
      <patternFill patternType="solid">
        <fgColor theme="8" tint="-0.499984740745262"/>
        <bgColor indexed="64"/>
      </patternFill>
    </fill>
    <fill>
      <patternFill patternType="solid">
        <fgColor theme="6" tint="-0.249977111117893"/>
        <bgColor indexed="64"/>
      </patternFill>
    </fill>
    <fill>
      <patternFill patternType="solid">
        <fgColor rgb="FFFFFF99"/>
        <bgColor indexed="64"/>
      </patternFill>
    </fill>
    <fill>
      <patternFill patternType="solid">
        <fgColor rgb="FF0070C0"/>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rgb="FFCCCC00"/>
        <bgColor indexed="64"/>
      </patternFill>
    </fill>
    <fill>
      <patternFill patternType="solid">
        <fgColor theme="0" tint="-0.249977111117893"/>
        <bgColor indexed="64"/>
      </patternFill>
    </fill>
    <fill>
      <patternFill patternType="solid">
        <fgColor theme="3" tint="0.249977111117893"/>
        <bgColor theme="4"/>
      </patternFill>
    </fill>
    <fill>
      <patternFill patternType="solid">
        <fgColor theme="9" tint="0.79998168889431442"/>
        <bgColor theme="4"/>
      </patternFill>
    </fill>
    <fill>
      <patternFill patternType="solid">
        <fgColor theme="5" tint="0.59999389629810485"/>
        <bgColor indexed="64"/>
      </patternFill>
    </fill>
    <fill>
      <patternFill patternType="solid">
        <fgColor rgb="FF963634"/>
        <bgColor indexed="64"/>
      </patternFill>
    </fill>
    <fill>
      <patternFill patternType="solid">
        <fgColor theme="3" tint="0.499984740745262"/>
        <bgColor theme="4"/>
      </patternFill>
    </fill>
    <fill>
      <patternFill patternType="solid">
        <fgColor theme="4"/>
        <bgColor theme="4"/>
      </patternFill>
    </fill>
    <fill>
      <patternFill patternType="solid">
        <fgColor rgb="FF119303"/>
        <bgColor theme="4"/>
      </patternFill>
    </fill>
    <fill>
      <patternFill patternType="solid">
        <fgColor indexed="65"/>
        <bgColor indexed="64"/>
      </patternFill>
    </fill>
    <fill>
      <patternFill patternType="solid">
        <fgColor rgb="FF008000"/>
        <bgColor indexed="64"/>
      </patternFill>
    </fill>
    <fill>
      <patternFill patternType="solid">
        <fgColor theme="0" tint="-0.499984740745262"/>
        <bgColor indexed="64"/>
      </patternFill>
    </fill>
    <fill>
      <patternFill patternType="solid">
        <fgColor theme="3" tint="0.749992370372631"/>
        <bgColor indexed="64"/>
      </patternFill>
    </fill>
    <fill>
      <patternFill patternType="lightUp"/>
    </fill>
    <fill>
      <patternFill patternType="solid">
        <fgColor theme="9" tint="0.39997558519241921"/>
        <bgColor indexed="64"/>
      </patternFill>
    </fill>
    <fill>
      <patternFill patternType="solid">
        <fgColor theme="0" tint="-0.34998626667073579"/>
        <bgColor indexed="64"/>
      </patternFill>
    </fill>
    <fill>
      <patternFill patternType="solid">
        <fgColor theme="0" tint="-0.499984740745262"/>
        <bgColor theme="4"/>
      </patternFill>
    </fill>
    <fill>
      <patternFill patternType="solid">
        <fgColor theme="5" tint="-0.249977111117893"/>
        <bgColor theme="4"/>
      </patternFill>
    </fill>
    <fill>
      <patternFill patternType="solid">
        <fgColor rgb="FFBE3455"/>
        <bgColor theme="4"/>
      </patternFill>
    </fill>
    <fill>
      <patternFill patternType="solid">
        <fgColor theme="5" tint="-0.249977111117893"/>
        <bgColor indexed="64"/>
      </patternFill>
    </fill>
    <fill>
      <patternFill patternType="solid">
        <fgColor theme="1"/>
        <bgColor indexed="64"/>
      </patternFill>
    </fill>
    <fill>
      <patternFill patternType="gray0625">
        <fgColor theme="0" tint="-0.14996795556505021"/>
        <bgColor indexed="65"/>
      </patternFill>
    </fill>
    <fill>
      <patternFill patternType="solid">
        <fgColor theme="0"/>
        <bgColor indexed="64"/>
      </patternFill>
    </fill>
    <fill>
      <patternFill patternType="solid">
        <fgColor rgb="FFFFC000"/>
        <bgColor theme="4"/>
      </patternFill>
    </fill>
    <fill>
      <patternFill patternType="solid">
        <fgColor theme="0" tint="-0.14999847407452621"/>
        <bgColor indexed="64"/>
      </patternFill>
    </fill>
    <fill>
      <patternFill patternType="solid">
        <fgColor rgb="FFDDDDDD"/>
        <bgColor indexed="64"/>
      </patternFill>
    </fill>
    <fill>
      <patternFill patternType="solid">
        <fgColor theme="0" tint="-0.249977111117893"/>
        <bgColor theme="4"/>
      </patternFill>
    </fill>
    <fill>
      <patternFill patternType="solid">
        <fgColor theme="0" tint="-0.34998626667073579"/>
        <bgColor theme="4"/>
      </patternFill>
    </fill>
    <fill>
      <patternFill patternType="solid">
        <fgColor theme="5"/>
        <bgColor indexed="64"/>
      </patternFill>
    </fill>
  </fills>
  <borders count="1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theme="0"/>
      </bottom>
      <diagonal/>
    </border>
    <border>
      <left/>
      <right/>
      <top style="thin">
        <color theme="0"/>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medium">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hair">
        <color indexed="64"/>
      </top>
      <bottom/>
      <diagonal/>
    </border>
    <border>
      <left/>
      <right style="medium">
        <color indexed="64"/>
      </right>
      <top style="hair">
        <color indexed="64"/>
      </top>
      <bottom/>
      <diagonal/>
    </border>
    <border>
      <left style="medium">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style="hair">
        <color auto="1"/>
      </top>
      <bottom style="medium">
        <color auto="1"/>
      </bottom>
      <diagonal/>
    </border>
    <border>
      <left/>
      <right/>
      <top style="hair">
        <color auto="1"/>
      </top>
      <bottom style="hair">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theme="0"/>
      </left>
      <right style="thin">
        <color theme="0"/>
      </right>
      <top style="thin">
        <color indexed="64"/>
      </top>
      <bottom/>
      <diagonal/>
    </border>
    <border>
      <left style="thin">
        <color indexed="64"/>
      </left>
      <right style="thin">
        <color indexed="64"/>
      </right>
      <top/>
      <bottom/>
      <diagonal/>
    </border>
    <border>
      <left/>
      <right/>
      <top style="thin">
        <color theme="0" tint="-0.24994659260841701"/>
      </top>
      <bottom/>
      <diagonal/>
    </border>
    <border>
      <left/>
      <right/>
      <top style="hair">
        <color theme="0" tint="-0.24994659260841701"/>
      </top>
      <bottom style="hair">
        <color theme="0" tint="-0.24994659260841701"/>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hair">
        <color indexed="64"/>
      </bottom>
      <diagonal/>
    </border>
    <border>
      <left/>
      <right/>
      <top style="thin">
        <color rgb="FF000000"/>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auto="1"/>
      </left>
      <right/>
      <top style="medium">
        <color auto="1"/>
      </top>
      <bottom style="medium">
        <color auto="1"/>
      </bottom>
      <diagonal/>
    </border>
    <border>
      <left style="thin">
        <color indexed="64"/>
      </left>
      <right style="thin">
        <color indexed="64"/>
      </right>
      <top/>
      <bottom style="medium">
        <color indexed="64"/>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hair">
        <color auto="1"/>
      </bottom>
      <diagonal/>
    </border>
    <border>
      <left style="medium">
        <color indexed="64"/>
      </left>
      <right style="medium">
        <color indexed="64"/>
      </right>
      <top/>
      <bottom/>
      <diagonal/>
    </border>
    <border>
      <left style="medium">
        <color indexed="64"/>
      </left>
      <right style="thin">
        <color indexed="64"/>
      </right>
      <top/>
      <bottom style="hair">
        <color auto="1"/>
      </bottom>
      <diagonal/>
    </border>
    <border>
      <left style="thin">
        <color indexed="64"/>
      </left>
      <right style="medium">
        <color indexed="64"/>
      </right>
      <top/>
      <bottom style="hair">
        <color auto="1"/>
      </bottom>
      <diagonal/>
    </border>
    <border>
      <left style="medium">
        <color indexed="64"/>
      </left>
      <right style="thin">
        <color indexed="64"/>
      </right>
      <top style="hair">
        <color auto="1"/>
      </top>
      <bottom/>
      <diagonal/>
    </border>
    <border>
      <left style="thin">
        <color indexed="64"/>
      </left>
      <right style="medium">
        <color indexed="64"/>
      </right>
      <top style="hair">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hair">
        <color indexed="64"/>
      </bottom>
      <diagonal/>
    </border>
    <border>
      <left style="thick">
        <color indexed="64"/>
      </left>
      <right style="thick">
        <color indexed="64"/>
      </right>
      <top/>
      <bottom style="hair">
        <color indexed="64"/>
      </bottom>
      <diagonal/>
    </border>
    <border>
      <left style="thick">
        <color indexed="64"/>
      </left>
      <right style="thick">
        <color indexed="64"/>
      </right>
      <top style="hair">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ck">
        <color indexed="64"/>
      </left>
      <right style="thick">
        <color indexed="64"/>
      </right>
      <top style="hair">
        <color indexed="64"/>
      </top>
      <bottom style="thin">
        <color indexed="64"/>
      </bottom>
      <diagonal/>
    </border>
    <border>
      <left style="thick">
        <color indexed="64"/>
      </left>
      <right style="thick">
        <color indexed="64"/>
      </right>
      <top style="hair">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diagonal/>
    </border>
    <border>
      <left style="thick">
        <color indexed="64"/>
      </left>
      <right style="thin">
        <color indexed="64"/>
      </right>
      <top style="thin">
        <color indexed="64"/>
      </top>
      <bottom style="hair">
        <color indexed="64"/>
      </bottom>
      <diagonal/>
    </border>
    <border>
      <left style="thin">
        <color indexed="64"/>
      </left>
      <right style="thick">
        <color indexed="64"/>
      </right>
      <top style="thin">
        <color indexed="64"/>
      </top>
      <bottom style="hair">
        <color indexed="64"/>
      </bottom>
      <diagonal/>
    </border>
    <border>
      <left style="thick">
        <color indexed="64"/>
      </left>
      <right style="thin">
        <color indexed="64"/>
      </right>
      <top style="hair">
        <color indexed="64"/>
      </top>
      <bottom style="hair">
        <color indexed="64"/>
      </bottom>
      <diagonal/>
    </border>
    <border>
      <left style="thin">
        <color indexed="64"/>
      </left>
      <right style="thick">
        <color indexed="64"/>
      </right>
      <top style="hair">
        <color indexed="64"/>
      </top>
      <bottom style="hair">
        <color indexed="64"/>
      </bottom>
      <diagonal/>
    </border>
    <border>
      <left style="thin">
        <color indexed="64"/>
      </left>
      <right/>
      <top style="hair">
        <color indexed="64"/>
      </top>
      <bottom/>
      <diagonal/>
    </border>
    <border>
      <left style="thick">
        <color indexed="64"/>
      </left>
      <right style="thick">
        <color indexed="64"/>
      </right>
      <top style="hair">
        <color indexed="64"/>
      </top>
      <bottom/>
      <diagonal/>
    </border>
    <border>
      <left/>
      <right style="thin">
        <color indexed="64"/>
      </right>
      <top style="hair">
        <color indexed="64"/>
      </top>
      <bottom/>
      <diagonal/>
    </border>
    <border>
      <left style="thick">
        <color indexed="64"/>
      </left>
      <right style="thin">
        <color indexed="64"/>
      </right>
      <top style="hair">
        <color indexed="64"/>
      </top>
      <bottom style="thin">
        <color indexed="64"/>
      </bottom>
      <diagonal/>
    </border>
    <border>
      <left style="thin">
        <color indexed="64"/>
      </left>
      <right style="thick">
        <color indexed="64"/>
      </right>
      <top style="hair">
        <color indexed="64"/>
      </top>
      <bottom style="thin">
        <color indexed="64"/>
      </bottom>
      <diagonal/>
    </border>
    <border>
      <left style="thick">
        <color indexed="64"/>
      </left>
      <right style="thin">
        <color indexed="64"/>
      </right>
      <top/>
      <bottom style="thin">
        <color indexed="64"/>
      </bottom>
      <diagonal/>
    </border>
    <border>
      <left style="thick">
        <color indexed="64"/>
      </left>
      <right style="thick">
        <color indexed="64"/>
      </right>
      <top/>
      <bottom style="thin">
        <color indexed="64"/>
      </bottom>
      <diagonal/>
    </border>
    <border>
      <left style="thick">
        <color indexed="64"/>
      </left>
      <right style="thin">
        <color indexed="64"/>
      </right>
      <top/>
      <bottom/>
      <diagonal/>
    </border>
    <border>
      <left style="thin">
        <color indexed="64"/>
      </left>
      <right style="thick">
        <color indexed="64"/>
      </right>
      <top/>
      <bottom style="thin">
        <color indexed="64"/>
      </bottom>
      <diagonal/>
    </border>
    <border>
      <left/>
      <right style="thin">
        <color indexed="64"/>
      </right>
      <top/>
      <bottom/>
      <diagonal/>
    </border>
    <border>
      <left style="thick">
        <color indexed="64"/>
      </left>
      <right style="thin">
        <color indexed="64"/>
      </right>
      <top style="hair">
        <color indexed="64"/>
      </top>
      <bottom style="thick">
        <color indexed="64"/>
      </bottom>
      <diagonal/>
    </border>
    <border>
      <left style="thin">
        <color indexed="64"/>
      </left>
      <right style="thin">
        <color indexed="64"/>
      </right>
      <top style="hair">
        <color indexed="64"/>
      </top>
      <bottom style="thick">
        <color indexed="64"/>
      </bottom>
      <diagonal/>
    </border>
    <border>
      <left style="thin">
        <color indexed="64"/>
      </left>
      <right style="thick">
        <color indexed="64"/>
      </right>
      <top style="hair">
        <color indexed="64"/>
      </top>
      <bottom style="thick">
        <color indexed="64"/>
      </bottom>
      <diagonal/>
    </border>
    <border>
      <left style="thick">
        <color indexed="64"/>
      </left>
      <right style="thick">
        <color indexed="64"/>
      </right>
      <top style="thin">
        <color indexed="64"/>
      </top>
      <bottom style="thick">
        <color indexed="64"/>
      </bottom>
      <diagonal/>
    </border>
    <border>
      <left/>
      <right/>
      <top style="thin">
        <color theme="0" tint="-0.24994659260841701"/>
      </top>
      <bottom style="hair">
        <color theme="0" tint="-0.24994659260841701"/>
      </bottom>
      <diagonal/>
    </border>
    <border>
      <left/>
      <right/>
      <top style="hair">
        <color theme="0" tint="-0.14996795556505021"/>
      </top>
      <bottom style="hair">
        <color theme="0" tint="-0.14996795556505021"/>
      </bottom>
      <diagonal/>
    </border>
    <border>
      <left/>
      <right/>
      <top/>
      <bottom style="hair">
        <color theme="0" tint="-0.14996795556505021"/>
      </bottom>
      <diagonal/>
    </border>
    <border>
      <left/>
      <right/>
      <top style="hair">
        <color theme="0" tint="-0.14996795556505021"/>
      </top>
      <bottom/>
      <diagonal/>
    </border>
    <border>
      <left style="thin">
        <color indexed="64"/>
      </left>
      <right style="thin">
        <color indexed="64"/>
      </right>
      <top style="thin">
        <color indexed="64"/>
      </top>
      <bottom style="hair">
        <color theme="1"/>
      </bottom>
      <diagonal/>
    </border>
    <border>
      <left/>
      <right/>
      <top style="thin">
        <color theme="0" tint="-0.24994659260841701"/>
      </top>
      <bottom style="medium">
        <color auto="1"/>
      </bottom>
      <diagonal/>
    </border>
    <border>
      <left style="thin">
        <color indexed="64"/>
      </left>
      <right/>
      <top style="thin">
        <color indexed="64"/>
      </top>
      <bottom/>
      <diagonal/>
    </border>
    <border>
      <left/>
      <right/>
      <top style="thick">
        <color auto="1"/>
      </top>
      <bottom/>
      <diagonal/>
    </border>
    <border>
      <left/>
      <right/>
      <top style="thin">
        <color indexed="64"/>
      </top>
      <bottom style="hair">
        <color theme="0" tint="-0.14996795556505021"/>
      </bottom>
      <diagonal/>
    </border>
    <border>
      <left/>
      <right style="thin">
        <color indexed="64"/>
      </right>
      <top style="thick">
        <color indexed="64"/>
      </top>
      <bottom style="thin">
        <color indexed="64"/>
      </bottom>
      <diagonal/>
    </border>
    <border>
      <left/>
      <right style="thin">
        <color indexed="64"/>
      </right>
      <top style="hair">
        <color indexed="64"/>
      </top>
      <bottom style="thick">
        <color indexed="64"/>
      </bottom>
      <diagonal/>
    </border>
  </borders>
  <cellStyleXfs count="17">
    <xf numFmtId="0" fontId="0" fillId="0" borderId="0"/>
    <xf numFmtId="0" fontId="4" fillId="0" borderId="0"/>
    <xf numFmtId="43" fontId="4" fillId="0" borderId="0" applyFont="0" applyFill="0" applyBorder="0" applyAlignment="0" applyProtection="0"/>
    <xf numFmtId="0" fontId="5" fillId="0" borderId="0"/>
    <xf numFmtId="9" fontId="5" fillId="0" borderId="0" applyFont="0" applyFill="0" applyBorder="0" applyAlignment="0" applyProtection="0"/>
    <xf numFmtId="0" fontId="3" fillId="0" borderId="0"/>
    <xf numFmtId="43" fontId="3" fillId="0" borderId="0" applyFont="0" applyFill="0" applyBorder="0" applyAlignment="0" applyProtection="0"/>
    <xf numFmtId="0" fontId="4" fillId="0" borderId="0"/>
    <xf numFmtId="0" fontId="4" fillId="0" borderId="0"/>
    <xf numFmtId="9" fontId="3" fillId="0" borderId="0" applyFont="0" applyFill="0" applyBorder="0" applyAlignment="0" applyProtection="0"/>
    <xf numFmtId="0" fontId="15" fillId="0" borderId="0" applyNumberFormat="0" applyFill="0" applyBorder="0" applyAlignment="0" applyProtection="0"/>
    <xf numFmtId="165" fontId="4" fillId="0" borderId="0" applyFont="0" applyFill="0" applyBorder="0" applyAlignment="0" applyProtection="0"/>
    <xf numFmtId="165" fontId="3" fillId="0" borderId="0" applyFont="0" applyFill="0" applyBorder="0" applyAlignment="0" applyProtection="0"/>
    <xf numFmtId="43" fontId="129" fillId="0" borderId="0" applyFont="0" applyFill="0" applyBorder="0" applyAlignment="0" applyProtection="0"/>
    <xf numFmtId="0" fontId="129" fillId="0" borderId="0"/>
    <xf numFmtId="164" fontId="3" fillId="0" borderId="0" applyFont="0" applyFill="0" applyBorder="0" applyAlignment="0" applyProtection="0"/>
    <xf numFmtId="164" fontId="3" fillId="0" borderId="0" applyFont="0" applyFill="0" applyBorder="0" applyAlignment="0" applyProtection="0"/>
  </cellStyleXfs>
  <cellXfs count="1622">
    <xf numFmtId="0" fontId="0" fillId="0" borderId="0" xfId="0"/>
    <xf numFmtId="0" fontId="0" fillId="0" borderId="0" xfId="0" applyAlignment="1">
      <alignment vertical="center" wrapText="1"/>
    </xf>
    <xf numFmtId="0" fontId="7"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6" fillId="5" borderId="1" xfId="0" applyFont="1" applyFill="1" applyBorder="1" applyAlignment="1">
      <alignment horizontal="center" vertical="center" wrapText="1"/>
    </xf>
    <xf numFmtId="0" fontId="7" fillId="4" borderId="1" xfId="0" applyFont="1" applyFill="1" applyBorder="1"/>
    <xf numFmtId="166" fontId="7" fillId="4" borderId="1" xfId="6" applyNumberFormat="1" applyFont="1" applyFill="1" applyBorder="1"/>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166" fontId="0" fillId="0" borderId="0" xfId="2" applyNumberFormat="1" applyFont="1"/>
    <xf numFmtId="166" fontId="0" fillId="5" borderId="0" xfId="2" applyNumberFormat="1" applyFont="1" applyFill="1"/>
    <xf numFmtId="166" fontId="9" fillId="0" borderId="0" xfId="2" applyNumberFormat="1" applyFont="1" applyFill="1"/>
    <xf numFmtId="166" fontId="11" fillId="2" borderId="0" xfId="2" applyNumberFormat="1" applyFont="1" applyFill="1"/>
    <xf numFmtId="0" fontId="4" fillId="0" borderId="0" xfId="1"/>
    <xf numFmtId="0" fontId="8" fillId="5" borderId="0" xfId="1" applyFont="1" applyFill="1"/>
    <xf numFmtId="0" fontId="9" fillId="0" borderId="0" xfId="1" applyFont="1"/>
    <xf numFmtId="0" fontId="10" fillId="2" borderId="0" xfId="1" applyFont="1" applyFill="1"/>
    <xf numFmtId="0" fontId="0" fillId="0" borderId="1" xfId="0" applyBorder="1" applyAlignment="1">
      <alignment vertical="center" wrapText="1"/>
    </xf>
    <xf numFmtId="166" fontId="0" fillId="0" borderId="1" xfId="6" applyNumberFormat="1" applyFont="1" applyBorder="1" applyAlignment="1">
      <alignment vertical="center" wrapText="1"/>
    </xf>
    <xf numFmtId="43" fontId="0" fillId="0" borderId="1" xfId="6" applyFont="1" applyBorder="1" applyAlignment="1">
      <alignment vertical="center" wrapText="1"/>
    </xf>
    <xf numFmtId="43" fontId="7" fillId="4" borderId="1" xfId="6" applyFont="1" applyFill="1" applyBorder="1"/>
    <xf numFmtId="0" fontId="4" fillId="0" borderId="0" xfId="1" applyAlignment="1">
      <alignment vertical="center" wrapText="1"/>
    </xf>
    <xf numFmtId="166" fontId="0" fillId="0" borderId="0" xfId="2" applyNumberFormat="1" applyFont="1" applyAlignment="1">
      <alignment vertical="center" wrapText="1"/>
    </xf>
    <xf numFmtId="166" fontId="0" fillId="0" borderId="0" xfId="2" applyNumberFormat="1" applyFont="1" applyAlignment="1">
      <alignment horizontal="center" vertical="center" wrapText="1"/>
    </xf>
    <xf numFmtId="166" fontId="0" fillId="0" borderId="0" xfId="2" applyNumberFormat="1" applyFont="1" applyAlignment="1">
      <alignment horizontal="center"/>
    </xf>
    <xf numFmtId="0" fontId="8" fillId="4" borderId="0" xfId="1" applyFont="1" applyFill="1"/>
    <xf numFmtId="0" fontId="8" fillId="4" borderId="0" xfId="1" applyFont="1" applyFill="1" applyAlignment="1">
      <alignment vertical="center" wrapText="1"/>
    </xf>
    <xf numFmtId="0" fontId="12" fillId="0" borderId="1" xfId="0" applyFont="1" applyBorder="1" applyAlignment="1">
      <alignment vertical="center" wrapText="1"/>
    </xf>
    <xf numFmtId="166" fontId="12" fillId="0" borderId="1" xfId="6" applyNumberFormat="1" applyFont="1" applyBorder="1" applyAlignment="1">
      <alignment vertical="center" wrapText="1"/>
    </xf>
    <xf numFmtId="43" fontId="12" fillId="0" borderId="1" xfId="6" applyFont="1" applyBorder="1" applyAlignment="1">
      <alignment vertical="center" wrapText="1"/>
    </xf>
    <xf numFmtId="0" fontId="13" fillId="7"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2" fillId="0" borderId="0" xfId="0" applyFont="1"/>
    <xf numFmtId="0" fontId="16" fillId="0" borderId="0" xfId="0" applyFont="1"/>
    <xf numFmtId="0" fontId="17" fillId="12" borderId="0" xfId="0" applyFont="1" applyFill="1"/>
    <xf numFmtId="0" fontId="16" fillId="12" borderId="0" xfId="0" applyFont="1" applyFill="1"/>
    <xf numFmtId="0" fontId="18" fillId="0" borderId="0" xfId="0" applyFont="1"/>
    <xf numFmtId="41" fontId="16" fillId="0" borderId="0" xfId="0" applyNumberFormat="1" applyFont="1"/>
    <xf numFmtId="0" fontId="18" fillId="0" borderId="0" xfId="0" applyFont="1" applyAlignment="1">
      <alignment vertical="center"/>
    </xf>
    <xf numFmtId="0" fontId="16" fillId="0" borderId="0" xfId="0" applyFont="1" applyAlignment="1">
      <alignment vertical="center"/>
    </xf>
    <xf numFmtId="0" fontId="20" fillId="0" borderId="0" xfId="0" applyFont="1" applyAlignment="1">
      <alignment vertical="center" wrapText="1"/>
    </xf>
    <xf numFmtId="0" fontId="18" fillId="0" borderId="0" xfId="0" applyFont="1" applyAlignment="1">
      <alignment vertical="center" wrapText="1"/>
    </xf>
    <xf numFmtId="0" fontId="16" fillId="0" borderId="0" xfId="0" applyFont="1" applyAlignment="1">
      <alignment vertical="center" wrapText="1"/>
    </xf>
    <xf numFmtId="0" fontId="22" fillId="0" borderId="10" xfId="0" applyFont="1" applyBorder="1" applyAlignment="1">
      <alignment horizontal="center" vertical="center"/>
    </xf>
    <xf numFmtId="0" fontId="22" fillId="0" borderId="10" xfId="0" applyFont="1" applyBorder="1" applyAlignment="1">
      <alignment horizontal="left" vertical="center"/>
    </xf>
    <xf numFmtId="0" fontId="22" fillId="0" borderId="11" xfId="0" applyFont="1" applyBorder="1" applyAlignment="1">
      <alignment horizontal="left" vertical="center"/>
    </xf>
    <xf numFmtId="0" fontId="18" fillId="0" borderId="10" xfId="0" applyFont="1" applyBorder="1" applyAlignment="1">
      <alignment horizontal="center" vertical="center" wrapText="1"/>
    </xf>
    <xf numFmtId="0" fontId="18" fillId="0" borderId="10" xfId="0" applyFont="1" applyBorder="1" applyAlignment="1">
      <alignment vertical="center" wrapText="1"/>
    </xf>
    <xf numFmtId="14" fontId="18" fillId="0" borderId="10" xfId="0" applyNumberFormat="1" applyFont="1" applyBorder="1" applyAlignment="1">
      <alignment horizontal="center" vertical="center" wrapText="1"/>
    </xf>
    <xf numFmtId="0" fontId="23" fillId="0" borderId="11" xfId="10" applyFont="1" applyBorder="1" applyAlignment="1">
      <alignment horizontal="center" vertical="center" wrapText="1"/>
    </xf>
    <xf numFmtId="41" fontId="24" fillId="0" borderId="10" xfId="0" applyNumberFormat="1" applyFont="1" applyBorder="1" applyAlignment="1">
      <alignment horizontal="center" vertical="center" wrapText="1"/>
    </xf>
    <xf numFmtId="166" fontId="24" fillId="0" borderId="10" xfId="6" applyNumberFormat="1" applyFont="1" applyBorder="1" applyAlignment="1">
      <alignment horizontal="center" vertical="center" wrapText="1"/>
    </xf>
    <xf numFmtId="41" fontId="25" fillId="0" borderId="10" xfId="0" applyNumberFormat="1" applyFont="1" applyBorder="1" applyAlignment="1">
      <alignment horizontal="center" vertical="center" wrapText="1"/>
    </xf>
    <xf numFmtId="41" fontId="18" fillId="0" borderId="0" xfId="0" applyNumberFormat="1" applyFont="1" applyAlignment="1">
      <alignment vertical="center" wrapText="1"/>
    </xf>
    <xf numFmtId="0" fontId="22" fillId="0" borderId="11" xfId="0" applyFont="1" applyBorder="1" applyAlignment="1">
      <alignment horizontal="center" vertical="center"/>
    </xf>
    <xf numFmtId="0" fontId="18" fillId="0" borderId="11" xfId="0" applyFont="1" applyBorder="1" applyAlignment="1">
      <alignment vertical="center" wrapText="1"/>
    </xf>
    <xf numFmtId="14" fontId="18" fillId="0" borderId="11" xfId="0" applyNumberFormat="1" applyFont="1" applyBorder="1" applyAlignment="1">
      <alignment horizontal="center" vertical="center" wrapText="1"/>
    </xf>
    <xf numFmtId="0" fontId="18" fillId="0" borderId="11" xfId="0" applyFont="1" applyBorder="1" applyAlignment="1">
      <alignment horizontal="center" vertical="center" wrapText="1"/>
    </xf>
    <xf numFmtId="41" fontId="24" fillId="0" borderId="11" xfId="0" applyNumberFormat="1" applyFont="1" applyBorder="1" applyAlignment="1">
      <alignment horizontal="center" vertical="center" wrapText="1"/>
    </xf>
    <xf numFmtId="166" fontId="24" fillId="0" borderId="11" xfId="6" applyNumberFormat="1" applyFont="1" applyBorder="1" applyAlignment="1">
      <alignment horizontal="center" vertical="center" wrapText="1"/>
    </xf>
    <xf numFmtId="41" fontId="25" fillId="0" borderId="11" xfId="0" applyNumberFormat="1" applyFont="1" applyBorder="1" applyAlignment="1">
      <alignment horizontal="center" vertical="center" wrapText="1"/>
    </xf>
    <xf numFmtId="0" fontId="24" fillId="0" borderId="11" xfId="0" applyFont="1" applyBorder="1" applyAlignment="1">
      <alignment vertical="center" wrapText="1"/>
    </xf>
    <xf numFmtId="41" fontId="24" fillId="0" borderId="11" xfId="6" applyNumberFormat="1" applyFont="1" applyFill="1" applyBorder="1" applyAlignment="1">
      <alignment horizontal="center" vertical="center" wrapText="1"/>
    </xf>
    <xf numFmtId="166" fontId="24" fillId="0" borderId="11" xfId="6" applyNumberFormat="1" applyFont="1" applyFill="1" applyBorder="1" applyAlignment="1">
      <alignment horizontal="center" vertical="center" wrapText="1"/>
    </xf>
    <xf numFmtId="0" fontId="24" fillId="0" borderId="11" xfId="0" applyFont="1" applyBorder="1" applyAlignment="1">
      <alignment horizontal="center" vertical="center" wrapText="1"/>
    </xf>
    <xf numFmtId="0" fontId="22" fillId="14" borderId="11" xfId="0" applyFont="1" applyFill="1" applyBorder="1" applyAlignment="1">
      <alignment horizontal="center" vertical="center"/>
    </xf>
    <xf numFmtId="0" fontId="22" fillId="14" borderId="11" xfId="0" applyFont="1" applyFill="1" applyBorder="1" applyAlignment="1">
      <alignment horizontal="left" vertical="center"/>
    </xf>
    <xf numFmtId="0" fontId="24" fillId="14" borderId="11" xfId="0" applyFont="1" applyFill="1" applyBorder="1" applyAlignment="1">
      <alignment vertical="center" wrapText="1"/>
    </xf>
    <xf numFmtId="14" fontId="24" fillId="14" borderId="11" xfId="0" applyNumberFormat="1" applyFont="1" applyFill="1" applyBorder="1" applyAlignment="1">
      <alignment horizontal="center" vertical="center" wrapText="1"/>
    </xf>
    <xf numFmtId="0" fontId="24" fillId="14" borderId="11" xfId="0" applyFont="1" applyFill="1" applyBorder="1" applyAlignment="1">
      <alignment horizontal="center" vertical="center" wrapText="1"/>
    </xf>
    <xf numFmtId="0" fontId="23" fillId="14" borderId="11" xfId="10" applyFont="1" applyFill="1" applyBorder="1" applyAlignment="1">
      <alignment horizontal="center" vertical="center" wrapText="1"/>
    </xf>
    <xf numFmtId="41" fontId="24" fillId="14" borderId="11" xfId="6" applyNumberFormat="1" applyFont="1" applyFill="1" applyBorder="1" applyAlignment="1">
      <alignment horizontal="center" vertical="center" wrapText="1"/>
    </xf>
    <xf numFmtId="41" fontId="24" fillId="14" borderId="11" xfId="6" applyNumberFormat="1" applyFont="1" applyFill="1" applyBorder="1" applyAlignment="1">
      <alignment vertical="center" wrapText="1"/>
    </xf>
    <xf numFmtId="166" fontId="24" fillId="14" borderId="11" xfId="6" applyNumberFormat="1" applyFont="1" applyFill="1" applyBorder="1" applyAlignment="1">
      <alignment horizontal="center" vertical="center" wrapText="1"/>
    </xf>
    <xf numFmtId="41" fontId="25" fillId="14" borderId="11" xfId="0" applyNumberFormat="1" applyFont="1" applyFill="1" applyBorder="1" applyAlignment="1">
      <alignment horizontal="center" vertical="center" wrapText="1"/>
    </xf>
    <xf numFmtId="0" fontId="18" fillId="14" borderId="0" xfId="0" applyFont="1" applyFill="1" applyAlignment="1">
      <alignment vertical="center" wrapText="1"/>
    </xf>
    <xf numFmtId="0" fontId="16" fillId="14" borderId="0" xfId="0" applyFont="1" applyFill="1" applyAlignment="1">
      <alignment vertical="center" wrapText="1"/>
    </xf>
    <xf numFmtId="14" fontId="24" fillId="0" borderId="11" xfId="0" applyNumberFormat="1" applyFont="1" applyBorder="1" applyAlignment="1">
      <alignment horizontal="center" vertical="center" wrapText="1"/>
    </xf>
    <xf numFmtId="43" fontId="25" fillId="0" borderId="11" xfId="0" applyNumberFormat="1" applyFont="1" applyBorder="1" applyAlignment="1">
      <alignment horizontal="center" vertical="center" wrapText="1"/>
    </xf>
    <xf numFmtId="41" fontId="26" fillId="12" borderId="12" xfId="0" applyNumberFormat="1" applyFont="1" applyFill="1" applyBorder="1" applyAlignment="1">
      <alignment vertical="center"/>
    </xf>
    <xf numFmtId="43" fontId="26" fillId="12" borderId="12" xfId="0" applyNumberFormat="1" applyFont="1" applyFill="1" applyBorder="1" applyAlignment="1">
      <alignment vertical="center"/>
    </xf>
    <xf numFmtId="0" fontId="27" fillId="0" borderId="0" xfId="0" applyFont="1" applyAlignment="1">
      <alignment vertical="center"/>
    </xf>
    <xf numFmtId="43" fontId="27" fillId="0" borderId="0" xfId="0" applyNumberFormat="1" applyFont="1" applyAlignment="1">
      <alignment vertical="center"/>
    </xf>
    <xf numFmtId="0" fontId="20" fillId="5" borderId="0" xfId="0" applyFont="1" applyFill="1" applyAlignment="1">
      <alignment vertical="center"/>
    </xf>
    <xf numFmtId="0" fontId="27" fillId="5" borderId="0" xfId="0" applyFont="1" applyFill="1" applyAlignment="1">
      <alignment vertical="center"/>
    </xf>
    <xf numFmtId="41" fontId="26" fillId="5" borderId="0" xfId="0" applyNumberFormat="1" applyFont="1" applyFill="1" applyAlignment="1">
      <alignment vertical="center"/>
    </xf>
    <xf numFmtId="0" fontId="28" fillId="0" borderId="0" xfId="0" applyFont="1"/>
    <xf numFmtId="0" fontId="27" fillId="0" borderId="0" xfId="0" applyFont="1" applyAlignment="1">
      <alignment horizontal="right"/>
    </xf>
    <xf numFmtId="9" fontId="27" fillId="0" borderId="0" xfId="0" applyNumberFormat="1" applyFont="1" applyAlignment="1">
      <alignment horizontal="right"/>
    </xf>
    <xf numFmtId="41" fontId="26" fillId="0" borderId="0" xfId="6" applyNumberFormat="1" applyFont="1" applyFill="1" applyBorder="1" applyAlignment="1">
      <alignment horizontal="center" vertical="center" wrapText="1"/>
    </xf>
    <xf numFmtId="41" fontId="24" fillId="0" borderId="0" xfId="6" applyNumberFormat="1" applyFont="1" applyFill="1" applyBorder="1" applyAlignment="1">
      <alignment horizontal="center" vertical="center" wrapText="1"/>
    </xf>
    <xf numFmtId="9" fontId="24" fillId="0" borderId="0" xfId="9" applyFont="1" applyFill="1" applyBorder="1" applyAlignment="1">
      <alignment horizontal="center" vertical="center" wrapText="1"/>
    </xf>
    <xf numFmtId="3" fontId="29" fillId="0" borderId="0" xfId="0" applyNumberFormat="1" applyFont="1" applyAlignment="1">
      <alignment horizontal="center" vertical="center" wrapText="1" readingOrder="1"/>
    </xf>
    <xf numFmtId="3" fontId="30" fillId="0" borderId="0" xfId="0" applyNumberFormat="1" applyFont="1" applyAlignment="1">
      <alignment horizontal="center" vertical="center" wrapText="1" readingOrder="1"/>
    </xf>
    <xf numFmtId="0" fontId="31" fillId="0" borderId="0" xfId="0" applyFont="1" applyAlignment="1">
      <alignment horizontal="center" vertical="center" wrapText="1" readingOrder="1"/>
    </xf>
    <xf numFmtId="0" fontId="32" fillId="0" borderId="0" xfId="0" applyFont="1" applyAlignment="1">
      <alignment horizontal="left" vertical="center" indent="1"/>
    </xf>
    <xf numFmtId="0" fontId="16" fillId="0" borderId="1" xfId="0" applyFont="1" applyBorder="1"/>
    <xf numFmtId="0" fontId="33" fillId="9" borderId="1" xfId="0" applyFont="1" applyFill="1" applyBorder="1"/>
    <xf numFmtId="0" fontId="17" fillId="5" borderId="1" xfId="0" applyFont="1" applyFill="1" applyBorder="1"/>
    <xf numFmtId="0" fontId="17" fillId="10" borderId="1" xfId="0" applyFont="1" applyFill="1" applyBorder="1" applyAlignment="1">
      <alignment vertical="center" wrapText="1"/>
    </xf>
    <xf numFmtId="41" fontId="16" fillId="10" borderId="1" xfId="0" applyNumberFormat="1" applyFont="1" applyFill="1" applyBorder="1" applyAlignment="1">
      <alignment horizontal="center" vertical="center"/>
    </xf>
    <xf numFmtId="9" fontId="16" fillId="0" borderId="0" xfId="0" applyNumberFormat="1" applyFont="1"/>
    <xf numFmtId="0" fontId="17" fillId="11" borderId="1" xfId="0" applyFont="1" applyFill="1" applyBorder="1" applyAlignment="1">
      <alignment vertical="center"/>
    </xf>
    <xf numFmtId="41" fontId="16" fillId="11" borderId="6" xfId="0" applyNumberFormat="1" applyFont="1" applyFill="1" applyBorder="1" applyAlignment="1">
      <alignment horizontal="center" vertical="center"/>
    </xf>
    <xf numFmtId="41" fontId="16" fillId="11" borderId="1" xfId="0" applyNumberFormat="1" applyFont="1" applyFill="1" applyBorder="1" applyAlignment="1">
      <alignment horizontal="center" vertical="center"/>
    </xf>
    <xf numFmtId="41" fontId="16" fillId="11" borderId="1" xfId="0" applyNumberFormat="1" applyFont="1" applyFill="1" applyBorder="1"/>
    <xf numFmtId="41" fontId="24" fillId="0" borderId="0" xfId="6" applyNumberFormat="1" applyFont="1" applyBorder="1" applyAlignment="1">
      <alignment horizontal="center" vertical="center" wrapText="1"/>
    </xf>
    <xf numFmtId="3" fontId="16" fillId="0" borderId="0" xfId="0" applyNumberFormat="1" applyFont="1"/>
    <xf numFmtId="0" fontId="16" fillId="11" borderId="1" xfId="0" applyFont="1" applyFill="1" applyBorder="1"/>
    <xf numFmtId="43" fontId="16" fillId="0" borderId="0" xfId="0" applyNumberFormat="1" applyFont="1"/>
    <xf numFmtId="167" fontId="16" fillId="0" borderId="0" xfId="0" applyNumberFormat="1" applyFont="1"/>
    <xf numFmtId="41" fontId="35" fillId="0" borderId="0" xfId="0" applyNumberFormat="1" applyFont="1"/>
    <xf numFmtId="41" fontId="36" fillId="0" borderId="0" xfId="6" applyNumberFormat="1" applyFont="1" applyFill="1" applyBorder="1" applyAlignment="1">
      <alignment horizontal="center" vertical="center" wrapText="1"/>
    </xf>
    <xf numFmtId="41" fontId="37" fillId="0" borderId="0" xfId="6" applyNumberFormat="1" applyFont="1" applyFill="1" applyBorder="1" applyAlignment="1">
      <alignment horizontal="center" vertical="center" wrapText="1"/>
    </xf>
    <xf numFmtId="41" fontId="37" fillId="0" borderId="0" xfId="6" applyNumberFormat="1" applyFont="1" applyBorder="1" applyAlignment="1">
      <alignment horizontal="center" vertical="center" wrapText="1"/>
    </xf>
    <xf numFmtId="9" fontId="16" fillId="0" borderId="0" xfId="9" applyFont="1"/>
    <xf numFmtId="168" fontId="16" fillId="0" borderId="0" xfId="9" applyNumberFormat="1" applyFont="1"/>
    <xf numFmtId="41" fontId="16" fillId="0" borderId="0" xfId="9" applyNumberFormat="1" applyFont="1"/>
    <xf numFmtId="41" fontId="36" fillId="0" borderId="0" xfId="6" applyNumberFormat="1" applyFont="1" applyFill="1" applyBorder="1" applyAlignment="1">
      <alignment vertical="center" wrapText="1"/>
    </xf>
    <xf numFmtId="0" fontId="36" fillId="0" borderId="0" xfId="0" applyFont="1" applyAlignment="1">
      <alignment horizontal="center" vertical="center" wrapText="1"/>
    </xf>
    <xf numFmtId="41" fontId="36" fillId="0" borderId="0" xfId="0" applyNumberFormat="1" applyFont="1" applyAlignment="1">
      <alignment horizontal="center" vertical="center" wrapText="1"/>
    </xf>
    <xf numFmtId="41" fontId="20" fillId="0" borderId="0" xfId="0" applyNumberFormat="1" applyFont="1" applyAlignment="1">
      <alignment horizontal="center" vertical="center" wrapText="1"/>
    </xf>
    <xf numFmtId="9" fontId="24" fillId="0" borderId="0" xfId="9" applyFont="1" applyBorder="1" applyAlignment="1">
      <alignment horizontal="center" vertical="center" wrapText="1"/>
    </xf>
    <xf numFmtId="41" fontId="26" fillId="0" borderId="0" xfId="6" applyNumberFormat="1" applyFont="1" applyBorder="1" applyAlignment="1">
      <alignment horizontal="center" vertical="center" wrapText="1"/>
    </xf>
    <xf numFmtId="168" fontId="16" fillId="0" borderId="0" xfId="0" applyNumberFormat="1" applyFont="1"/>
    <xf numFmtId="41" fontId="18" fillId="0" borderId="0" xfId="0" applyNumberFormat="1" applyFont="1" applyAlignment="1">
      <alignment horizontal="center" vertical="center" wrapText="1"/>
    </xf>
    <xf numFmtId="41" fontId="28" fillId="0" borderId="0" xfId="0" applyNumberFormat="1" applyFont="1" applyAlignment="1">
      <alignment horizontal="center" vertical="center" wrapText="1"/>
    </xf>
    <xf numFmtId="41" fontId="38" fillId="0" borderId="0" xfId="6" applyNumberFormat="1" applyFont="1" applyBorder="1" applyAlignment="1">
      <alignment horizontal="center" vertical="center" wrapText="1"/>
    </xf>
    <xf numFmtId="41" fontId="16" fillId="11" borderId="1" xfId="0" applyNumberFormat="1" applyFont="1" applyFill="1" applyBorder="1" applyAlignment="1">
      <alignment horizontal="right" vertical="center"/>
    </xf>
    <xf numFmtId="0" fontId="39" fillId="0" borderId="0" xfId="0" applyFont="1"/>
    <xf numFmtId="0" fontId="40" fillId="13" borderId="13" xfId="0" applyFont="1" applyFill="1" applyBorder="1" applyAlignment="1">
      <alignment horizontal="center" vertical="center"/>
    </xf>
    <xf numFmtId="0" fontId="40" fillId="13" borderId="14" xfId="0" applyFont="1" applyFill="1" applyBorder="1" applyAlignment="1">
      <alignment horizontal="center" vertical="center"/>
    </xf>
    <xf numFmtId="166" fontId="27" fillId="0" borderId="0" xfId="6" applyNumberFormat="1" applyFont="1" applyAlignment="1">
      <alignment vertical="center"/>
    </xf>
    <xf numFmtId="166" fontId="42" fillId="0" borderId="0" xfId="6" applyNumberFormat="1" applyFont="1" applyAlignment="1">
      <alignment vertical="center"/>
    </xf>
    <xf numFmtId="0" fontId="43" fillId="0" borderId="0" xfId="0" applyFont="1" applyAlignment="1">
      <alignment vertical="center"/>
    </xf>
    <xf numFmtId="0" fontId="44" fillId="0" borderId="0" xfId="0" applyFont="1" applyAlignment="1">
      <alignment vertical="center"/>
    </xf>
    <xf numFmtId="166" fontId="44" fillId="0" borderId="0" xfId="6" applyNumberFormat="1" applyFont="1" applyAlignment="1">
      <alignment vertical="center"/>
    </xf>
    <xf numFmtId="0" fontId="45" fillId="0" borderId="0" xfId="0" applyFont="1" applyAlignment="1">
      <alignment vertical="center"/>
    </xf>
    <xf numFmtId="166" fontId="24" fillId="0" borderId="0" xfId="6" applyNumberFormat="1" applyFont="1" applyFill="1" applyBorder="1" applyAlignment="1">
      <alignment horizontal="center" vertical="center" wrapText="1"/>
    </xf>
    <xf numFmtId="166" fontId="24" fillId="0" borderId="0" xfId="6" applyNumberFormat="1" applyFont="1" applyBorder="1" applyAlignment="1">
      <alignment horizontal="center" vertical="center" wrapText="1"/>
    </xf>
    <xf numFmtId="0" fontId="26" fillId="12" borderId="12" xfId="0" applyFont="1" applyFill="1" applyBorder="1" applyAlignment="1">
      <alignment horizontal="centerContinuous" vertical="center"/>
    </xf>
    <xf numFmtId="0" fontId="13" fillId="17" borderId="0" xfId="0" applyFont="1" applyFill="1"/>
    <xf numFmtId="166" fontId="0" fillId="0" borderId="0" xfId="6" applyNumberFormat="1" applyFont="1"/>
    <xf numFmtId="166" fontId="0" fillId="0" borderId="0" xfId="0" applyNumberFormat="1"/>
    <xf numFmtId="166" fontId="6" fillId="0" borderId="0" xfId="6" applyNumberFormat="1" applyFont="1"/>
    <xf numFmtId="0" fontId="6" fillId="0" borderId="12" xfId="0" applyFont="1" applyBorder="1"/>
    <xf numFmtId="0" fontId="46" fillId="0" borderId="0" xfId="0" applyFont="1"/>
    <xf numFmtId="166" fontId="25" fillId="0" borderId="11" xfId="0" applyNumberFormat="1" applyFont="1" applyBorder="1" applyAlignment="1">
      <alignment horizontal="center" vertical="center" wrapText="1"/>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vertical="center"/>
    </xf>
    <xf numFmtId="166" fontId="48" fillId="0" borderId="0" xfId="6" applyNumberFormat="1" applyFont="1" applyAlignment="1">
      <alignment vertical="center"/>
    </xf>
    <xf numFmtId="166" fontId="16" fillId="0" borderId="0" xfId="6" applyNumberFormat="1" applyFont="1"/>
    <xf numFmtId="0" fontId="50" fillId="0" borderId="0" xfId="0" applyFont="1"/>
    <xf numFmtId="0" fontId="51" fillId="0" borderId="0" xfId="0" applyFont="1"/>
    <xf numFmtId="0" fontId="52" fillId="0" borderId="0" xfId="0" applyFont="1"/>
    <xf numFmtId="0" fontId="53" fillId="17" borderId="13" xfId="0" applyFont="1" applyFill="1" applyBorder="1" applyAlignment="1">
      <alignment horizontal="center" vertical="center"/>
    </xf>
    <xf numFmtId="0" fontId="53" fillId="17" borderId="14" xfId="0" applyFont="1" applyFill="1" applyBorder="1" applyAlignment="1">
      <alignment horizontal="center" vertical="center"/>
    </xf>
    <xf numFmtId="0" fontId="54" fillId="0" borderId="25" xfId="0" applyFont="1" applyBorder="1" applyAlignment="1">
      <alignment horizontal="center" vertical="center"/>
    </xf>
    <xf numFmtId="0" fontId="54" fillId="0" borderId="26" xfId="0" applyFont="1" applyBorder="1" applyAlignment="1">
      <alignment vertical="center"/>
    </xf>
    <xf numFmtId="0" fontId="54" fillId="0" borderId="26" xfId="0" applyFont="1" applyBorder="1" applyAlignment="1">
      <alignment vertical="center" wrapText="1"/>
    </xf>
    <xf numFmtId="0" fontId="54" fillId="0" borderId="27" xfId="0" applyFont="1" applyBorder="1" applyAlignment="1">
      <alignment horizontal="center" vertical="center"/>
    </xf>
    <xf numFmtId="0" fontId="54" fillId="0" borderId="28" xfId="0" applyFont="1" applyBorder="1" applyAlignment="1">
      <alignment vertical="center"/>
    </xf>
    <xf numFmtId="0" fontId="54" fillId="0" borderId="28" xfId="0" applyFont="1" applyBorder="1" applyAlignment="1">
      <alignment vertical="center" wrapText="1"/>
    </xf>
    <xf numFmtId="0" fontId="54" fillId="0" borderId="29" xfId="0" applyFont="1" applyBorder="1" applyAlignment="1">
      <alignment horizontal="center" vertical="center"/>
    </xf>
    <xf numFmtId="0" fontId="54" fillId="0" borderId="30" xfId="0" applyFont="1" applyBorder="1" applyAlignment="1">
      <alignment vertical="center"/>
    </xf>
    <xf numFmtId="0" fontId="54" fillId="0" borderId="30" xfId="0" applyFont="1" applyBorder="1" applyAlignment="1">
      <alignment vertical="center" wrapText="1"/>
    </xf>
    <xf numFmtId="0" fontId="54" fillId="0" borderId="31" xfId="0" applyFont="1" applyBorder="1" applyAlignment="1">
      <alignment horizontal="center" vertical="center"/>
    </xf>
    <xf numFmtId="0" fontId="54" fillId="0" borderId="32" xfId="0" applyFont="1" applyBorder="1" applyAlignment="1">
      <alignment vertical="center"/>
    </xf>
    <xf numFmtId="0" fontId="55" fillId="0" borderId="33" xfId="0" applyFont="1" applyBorder="1"/>
    <xf numFmtId="0" fontId="55" fillId="0" borderId="34" xfId="0" applyFont="1" applyBorder="1"/>
    <xf numFmtId="0" fontId="55" fillId="0" borderId="35" xfId="0" applyFont="1" applyBorder="1"/>
    <xf numFmtId="0" fontId="52" fillId="0" borderId="15" xfId="0" applyFont="1" applyBorder="1" applyAlignment="1">
      <alignment horizontal="center" vertical="center" wrapText="1"/>
    </xf>
    <xf numFmtId="0" fontId="52" fillId="0" borderId="15" xfId="0" applyFont="1" applyBorder="1" applyAlignment="1">
      <alignment vertical="center" wrapText="1"/>
    </xf>
    <xf numFmtId="0" fontId="52" fillId="0" borderId="16" xfId="0" applyFont="1" applyBorder="1" applyAlignment="1">
      <alignment horizontal="center" vertical="center" wrapText="1"/>
    </xf>
    <xf numFmtId="0" fontId="52" fillId="0" borderId="16" xfId="0" applyFont="1" applyBorder="1" applyAlignment="1">
      <alignment vertical="center" wrapText="1"/>
    </xf>
    <xf numFmtId="0" fontId="52" fillId="0" borderId="0" xfId="0" applyFont="1" applyAlignment="1">
      <alignment vertical="center" wrapText="1"/>
    </xf>
    <xf numFmtId="0" fontId="59" fillId="0" borderId="0" xfId="0" applyFont="1"/>
    <xf numFmtId="0" fontId="60" fillId="0" borderId="0" xfId="0" applyFont="1"/>
    <xf numFmtId="0" fontId="61" fillId="0" borderId="0" xfId="10" applyFont="1"/>
    <xf numFmtId="0" fontId="62" fillId="3" borderId="0" xfId="0" applyFont="1" applyFill="1"/>
    <xf numFmtId="0" fontId="64" fillId="17" borderId="6" xfId="0" applyFont="1" applyFill="1" applyBorder="1" applyAlignment="1">
      <alignment vertical="top"/>
    </xf>
    <xf numFmtId="0" fontId="65" fillId="0" borderId="0" xfId="0" applyFont="1" applyAlignment="1">
      <alignment vertical="top"/>
    </xf>
    <xf numFmtId="0" fontId="66" fillId="18" borderId="18" xfId="0" applyFont="1" applyFill="1" applyBorder="1" applyAlignment="1">
      <alignment horizontal="left" vertical="top" wrapText="1"/>
    </xf>
    <xf numFmtId="0" fontId="66" fillId="0" borderId="0" xfId="0" applyFont="1" applyAlignment="1">
      <alignment vertical="top"/>
    </xf>
    <xf numFmtId="0" fontId="62" fillId="0" borderId="0" xfId="0" applyFont="1"/>
    <xf numFmtId="0" fontId="68" fillId="0" borderId="0" xfId="0" applyFont="1"/>
    <xf numFmtId="0" fontId="68" fillId="0" borderId="0" xfId="0" applyFont="1" applyAlignment="1">
      <alignment vertical="top"/>
    </xf>
    <xf numFmtId="0" fontId="62" fillId="15" borderId="0" xfId="0" applyFont="1" applyFill="1"/>
    <xf numFmtId="0" fontId="60" fillId="5" borderId="0" xfId="0" applyFont="1" applyFill="1" applyAlignment="1">
      <alignment vertical="top" wrapText="1"/>
    </xf>
    <xf numFmtId="0" fontId="62" fillId="16" borderId="0" xfId="0" applyFont="1" applyFill="1"/>
    <xf numFmtId="0" fontId="68" fillId="0" borderId="0" xfId="0" applyFont="1" applyAlignment="1">
      <alignment vertical="center" wrapText="1"/>
    </xf>
    <xf numFmtId="0" fontId="62" fillId="5" borderId="0" xfId="0" applyFont="1" applyFill="1"/>
    <xf numFmtId="0" fontId="60" fillId="0" borderId="0" xfId="0" applyFont="1" applyAlignment="1">
      <alignment wrapText="1"/>
    </xf>
    <xf numFmtId="0" fontId="61" fillId="0" borderId="0" xfId="10" applyFont="1" applyFill="1" applyAlignment="1">
      <alignment horizontal="left"/>
    </xf>
    <xf numFmtId="0" fontId="60" fillId="0" borderId="0" xfId="0" applyFont="1" applyAlignment="1">
      <alignment vertical="center"/>
    </xf>
    <xf numFmtId="0" fontId="70" fillId="0" borderId="0" xfId="0" applyFont="1" applyAlignment="1">
      <alignment horizontal="center" vertical="center"/>
    </xf>
    <xf numFmtId="0" fontId="71" fillId="0" borderId="0" xfId="0" applyFont="1" applyAlignment="1">
      <alignment vertical="center"/>
    </xf>
    <xf numFmtId="0" fontId="72" fillId="0" borderId="0" xfId="0" applyFont="1"/>
    <xf numFmtId="0" fontId="73" fillId="0" borderId="0" xfId="0" applyFont="1"/>
    <xf numFmtId="0" fontId="6" fillId="5" borderId="0" xfId="0" applyFont="1" applyFill="1"/>
    <xf numFmtId="169" fontId="6" fillId="5" borderId="0" xfId="0" applyNumberFormat="1" applyFont="1" applyFill="1"/>
    <xf numFmtId="0" fontId="56" fillId="17" borderId="36" xfId="0" applyFont="1" applyFill="1" applyBorder="1" applyAlignment="1">
      <alignment vertical="center" wrapText="1"/>
    </xf>
    <xf numFmtId="0" fontId="56" fillId="17" borderId="37" xfId="0" applyFont="1" applyFill="1" applyBorder="1" applyAlignment="1">
      <alignment vertical="center" wrapText="1"/>
    </xf>
    <xf numFmtId="0" fontId="56" fillId="17" borderId="37" xfId="0" applyFont="1" applyFill="1" applyBorder="1" applyAlignment="1">
      <alignment horizontal="center" vertical="center" wrapText="1"/>
    </xf>
    <xf numFmtId="0" fontId="74" fillId="0" borderId="0" xfId="0" applyFont="1"/>
    <xf numFmtId="0" fontId="75" fillId="0" borderId="0" xfId="0" applyFont="1"/>
    <xf numFmtId="0" fontId="76" fillId="0" borderId="16" xfId="0" applyFont="1" applyBorder="1" applyAlignment="1">
      <alignment horizontal="center" vertical="center" wrapText="1"/>
    </xf>
    <xf numFmtId="0" fontId="76" fillId="0" borderId="16" xfId="0" applyFont="1" applyBorder="1" applyAlignment="1">
      <alignment vertical="center" wrapText="1"/>
    </xf>
    <xf numFmtId="170" fontId="76" fillId="0" borderId="16" xfId="6" applyNumberFormat="1" applyFont="1" applyBorder="1" applyAlignment="1">
      <alignment vertical="center" wrapText="1"/>
    </xf>
    <xf numFmtId="170" fontId="77" fillId="14" borderId="16" xfId="6" applyNumberFormat="1" applyFont="1" applyFill="1" applyBorder="1" applyAlignment="1">
      <alignment vertical="center" wrapText="1"/>
    </xf>
    <xf numFmtId="0" fontId="76" fillId="0" borderId="17" xfId="0" applyFont="1" applyBorder="1" applyAlignment="1">
      <alignment horizontal="center" vertical="center" wrapText="1"/>
    </xf>
    <xf numFmtId="0" fontId="76" fillId="0" borderId="17" xfId="0" applyFont="1" applyBorder="1" applyAlignment="1">
      <alignment vertical="center" wrapText="1"/>
    </xf>
    <xf numFmtId="170" fontId="76" fillId="0" borderId="17" xfId="6" applyNumberFormat="1" applyFont="1" applyBorder="1" applyAlignment="1">
      <alignment vertical="center" wrapText="1"/>
    </xf>
    <xf numFmtId="170" fontId="77" fillId="14" borderId="17" xfId="6" applyNumberFormat="1" applyFont="1" applyFill="1" applyBorder="1" applyAlignment="1">
      <alignment vertical="center" wrapText="1"/>
    </xf>
    <xf numFmtId="0" fontId="78" fillId="0" borderId="16" xfId="0" applyFont="1" applyBorder="1" applyAlignment="1">
      <alignment horizontal="center" vertical="center" wrapText="1"/>
    </xf>
    <xf numFmtId="0" fontId="78" fillId="0" borderId="16" xfId="0" applyFont="1" applyBorder="1" applyAlignment="1">
      <alignment vertical="center" wrapText="1"/>
    </xf>
    <xf numFmtId="166" fontId="52" fillId="0" borderId="0" xfId="6" applyNumberFormat="1" applyFont="1"/>
    <xf numFmtId="166" fontId="79" fillId="0" borderId="0" xfId="0" applyNumberFormat="1" applyFont="1"/>
    <xf numFmtId="0" fontId="16" fillId="5" borderId="0" xfId="0" applyFont="1" applyFill="1"/>
    <xf numFmtId="166" fontId="26" fillId="5" borderId="0" xfId="6" applyNumberFormat="1" applyFont="1" applyFill="1" applyBorder="1" applyAlignment="1">
      <alignment horizontal="center" vertical="center" wrapText="1"/>
    </xf>
    <xf numFmtId="0" fontId="56" fillId="17" borderId="1" xfId="0" applyFont="1" applyFill="1" applyBorder="1" applyAlignment="1">
      <alignment horizontal="center"/>
    </xf>
    <xf numFmtId="0" fontId="56" fillId="17" borderId="2" xfId="0" applyFont="1" applyFill="1" applyBorder="1" applyAlignment="1">
      <alignment horizontal="centerContinuous"/>
    </xf>
    <xf numFmtId="0" fontId="52" fillId="0" borderId="15" xfId="0" applyFont="1" applyBorder="1"/>
    <xf numFmtId="0" fontId="52" fillId="0" borderId="16" xfId="0" applyFont="1" applyBorder="1"/>
    <xf numFmtId="0" fontId="79" fillId="0" borderId="15" xfId="0" applyFont="1" applyBorder="1" applyAlignment="1">
      <alignment horizontal="center"/>
    </xf>
    <xf numFmtId="0" fontId="79" fillId="0" borderId="19" xfId="0" applyFont="1" applyBorder="1"/>
    <xf numFmtId="0" fontId="79" fillId="0" borderId="16" xfId="0" applyFont="1" applyBorder="1" applyAlignment="1">
      <alignment horizontal="center"/>
    </xf>
    <xf numFmtId="0" fontId="79" fillId="0" borderId="21" xfId="0" applyFont="1" applyBorder="1"/>
    <xf numFmtId="0" fontId="79" fillId="0" borderId="17" xfId="0" applyFont="1" applyBorder="1" applyAlignment="1">
      <alignment horizontal="center"/>
    </xf>
    <xf numFmtId="0" fontId="79" fillId="0" borderId="23" xfId="0" applyFont="1" applyBorder="1"/>
    <xf numFmtId="11" fontId="52" fillId="0" borderId="0" xfId="0" applyNumberFormat="1" applyFont="1"/>
    <xf numFmtId="0" fontId="80" fillId="0" borderId="0" xfId="0" applyFont="1"/>
    <xf numFmtId="166" fontId="79" fillId="0" borderId="0" xfId="6" applyNumberFormat="1" applyFont="1"/>
    <xf numFmtId="166" fontId="52" fillId="0" borderId="15" xfId="6" applyNumberFormat="1" applyFont="1" applyBorder="1"/>
    <xf numFmtId="166" fontId="52" fillId="0" borderId="16" xfId="6" applyNumberFormat="1" applyFont="1" applyBorder="1"/>
    <xf numFmtId="0" fontId="56" fillId="17" borderId="36" xfId="0" applyFont="1" applyFill="1" applyBorder="1"/>
    <xf numFmtId="0" fontId="56" fillId="17" borderId="37" xfId="0" applyFont="1" applyFill="1" applyBorder="1"/>
    <xf numFmtId="0" fontId="56" fillId="17" borderId="37" xfId="0" applyFont="1" applyFill="1" applyBorder="1" applyAlignment="1">
      <alignment horizontal="center"/>
    </xf>
    <xf numFmtId="0" fontId="56" fillId="17" borderId="38" xfId="0" applyFont="1" applyFill="1" applyBorder="1" applyAlignment="1">
      <alignment horizontal="center"/>
    </xf>
    <xf numFmtId="0" fontId="81" fillId="0" borderId="0" xfId="0" applyFont="1"/>
    <xf numFmtId="166" fontId="81" fillId="0" borderId="0" xfId="6" applyNumberFormat="1" applyFont="1"/>
    <xf numFmtId="0" fontId="41" fillId="0" borderId="25" xfId="0" applyFont="1" applyBorder="1" applyAlignment="1">
      <alignment horizontal="center" vertical="center"/>
    </xf>
    <xf numFmtId="0" fontId="41" fillId="0" borderId="26" xfId="0" applyFont="1" applyBorder="1" applyAlignment="1">
      <alignment vertical="center"/>
    </xf>
    <xf numFmtId="0" fontId="41" fillId="0" borderId="26" xfId="0" applyFont="1" applyBorder="1" applyAlignment="1">
      <alignment vertical="center" wrapText="1"/>
    </xf>
    <xf numFmtId="0" fontId="41" fillId="0" borderId="27" xfId="0" applyFont="1" applyBorder="1" applyAlignment="1">
      <alignment horizontal="center" vertical="center"/>
    </xf>
    <xf numFmtId="0" fontId="41" fillId="0" borderId="28" xfId="0" applyFont="1" applyBorder="1" applyAlignment="1">
      <alignment vertical="center"/>
    </xf>
    <xf numFmtId="0" fontId="41" fillId="0" borderId="28" xfId="0" applyFont="1" applyBorder="1" applyAlignment="1">
      <alignment vertical="center" wrapText="1"/>
    </xf>
    <xf numFmtId="0" fontId="41" fillId="0" borderId="31" xfId="0" applyFont="1" applyBorder="1" applyAlignment="1">
      <alignment horizontal="center" vertical="center"/>
    </xf>
    <xf numFmtId="0" fontId="41" fillId="0" borderId="32" xfId="0" applyFont="1" applyBorder="1" applyAlignment="1">
      <alignment vertical="center"/>
    </xf>
    <xf numFmtId="43" fontId="81" fillId="0" borderId="0" xfId="0" applyNumberFormat="1" applyFont="1"/>
    <xf numFmtId="0" fontId="82" fillId="18" borderId="17" xfId="0" applyFont="1" applyFill="1" applyBorder="1" applyAlignment="1">
      <alignment horizontal="center"/>
    </xf>
    <xf numFmtId="0" fontId="82" fillId="18" borderId="17" xfId="0" applyFont="1" applyFill="1" applyBorder="1"/>
    <xf numFmtId="166" fontId="82" fillId="18" borderId="17" xfId="6" applyNumberFormat="1" applyFont="1" applyFill="1" applyBorder="1"/>
    <xf numFmtId="166" fontId="82" fillId="0" borderId="15" xfId="6" applyNumberFormat="1" applyFont="1" applyBorder="1"/>
    <xf numFmtId="166" fontId="82" fillId="0" borderId="16" xfId="6" applyNumberFormat="1" applyFont="1" applyBorder="1"/>
    <xf numFmtId="1" fontId="52" fillId="0" borderId="0" xfId="0" applyNumberFormat="1" applyFont="1"/>
    <xf numFmtId="166" fontId="52" fillId="0" borderId="0" xfId="0" applyNumberFormat="1" applyFont="1"/>
    <xf numFmtId="41" fontId="83" fillId="0" borderId="10" xfId="0" applyNumberFormat="1" applyFont="1" applyBorder="1" applyAlignment="1">
      <alignment horizontal="center" vertical="center" wrapText="1"/>
    </xf>
    <xf numFmtId="41" fontId="83" fillId="0" borderId="11" xfId="0" applyNumberFormat="1" applyFont="1" applyBorder="1" applyAlignment="1">
      <alignment horizontal="center" vertical="center" wrapText="1"/>
    </xf>
    <xf numFmtId="41" fontId="83" fillId="0" borderId="11" xfId="6" applyNumberFormat="1" applyFont="1" applyFill="1" applyBorder="1" applyAlignment="1">
      <alignment horizontal="center" vertical="center" wrapText="1"/>
    </xf>
    <xf numFmtId="41" fontId="83" fillId="14" borderId="11" xfId="6" applyNumberFormat="1" applyFont="1" applyFill="1" applyBorder="1" applyAlignment="1">
      <alignment horizontal="center" vertical="center" wrapText="1"/>
    </xf>
    <xf numFmtId="41" fontId="83" fillId="0" borderId="0" xfId="6" applyNumberFormat="1" applyFont="1" applyFill="1" applyBorder="1" applyAlignment="1">
      <alignment horizontal="center" vertical="center" wrapText="1"/>
    </xf>
    <xf numFmtId="0" fontId="52" fillId="12" borderId="0" xfId="0" applyFont="1" applyFill="1"/>
    <xf numFmtId="0" fontId="79" fillId="0" borderId="0" xfId="0" applyFont="1"/>
    <xf numFmtId="0" fontId="22" fillId="14" borderId="10" xfId="0" applyFont="1" applyFill="1" applyBorder="1" applyAlignment="1">
      <alignment horizontal="center" vertical="center"/>
    </xf>
    <xf numFmtId="41" fontId="83" fillId="0" borderId="10" xfId="0" applyNumberFormat="1" applyFont="1" applyBorder="1" applyAlignment="1">
      <alignment horizontal="left" vertical="center" wrapText="1"/>
    </xf>
    <xf numFmtId="41" fontId="83" fillId="0" borderId="11" xfId="0" applyNumberFormat="1" applyFont="1" applyBorder="1" applyAlignment="1">
      <alignment horizontal="left" vertical="center" wrapText="1"/>
    </xf>
    <xf numFmtId="41" fontId="83" fillId="0" borderId="11" xfId="6" applyNumberFormat="1" applyFont="1" applyFill="1" applyBorder="1" applyAlignment="1">
      <alignment horizontal="left" vertical="center" wrapText="1"/>
    </xf>
    <xf numFmtId="0" fontId="16" fillId="0" borderId="40" xfId="0" applyFont="1" applyBorder="1" applyAlignment="1">
      <alignment horizontal="center" vertical="center"/>
    </xf>
    <xf numFmtId="0" fontId="16" fillId="0" borderId="39" xfId="0" applyFont="1" applyBorder="1" applyAlignment="1">
      <alignment horizontal="center" vertical="center"/>
    </xf>
    <xf numFmtId="0" fontId="16" fillId="0" borderId="40" xfId="0" applyFont="1" applyBorder="1" applyAlignment="1">
      <alignment vertical="center" wrapText="1"/>
    </xf>
    <xf numFmtId="0" fontId="16" fillId="0" borderId="39" xfId="0" applyFont="1" applyBorder="1" applyAlignment="1">
      <alignment vertical="center" wrapText="1"/>
    </xf>
    <xf numFmtId="0" fontId="33" fillId="20" borderId="0" xfId="0" applyFont="1" applyFill="1" applyAlignment="1">
      <alignment horizontal="center" vertical="center"/>
    </xf>
    <xf numFmtId="0" fontId="33" fillId="20" borderId="0" xfId="0" applyFont="1" applyFill="1" applyAlignment="1">
      <alignment horizontal="center" vertical="center" wrapText="1"/>
    </xf>
    <xf numFmtId="0" fontId="33" fillId="20" borderId="12" xfId="0" applyFont="1" applyFill="1" applyBorder="1" applyAlignment="1">
      <alignment horizontal="centerContinuous"/>
    </xf>
    <xf numFmtId="1" fontId="33" fillId="20" borderId="12" xfId="0" applyNumberFormat="1" applyFont="1" applyFill="1" applyBorder="1" applyAlignment="1">
      <alignment horizontal="center"/>
    </xf>
    <xf numFmtId="0" fontId="0" fillId="0" borderId="0" xfId="0" applyAlignment="1">
      <alignment horizontal="center"/>
    </xf>
    <xf numFmtId="0" fontId="6" fillId="0" borderId="0" xfId="0" applyFont="1"/>
    <xf numFmtId="0" fontId="6" fillId="21" borderId="0" xfId="0" applyFont="1" applyFill="1"/>
    <xf numFmtId="0" fontId="13" fillId="22" borderId="0" xfId="0" applyFont="1" applyFill="1"/>
    <xf numFmtId="0" fontId="84" fillId="22" borderId="0" xfId="0" applyFont="1" applyFill="1"/>
    <xf numFmtId="0" fontId="13" fillId="22" borderId="0" xfId="0" applyFont="1" applyFill="1" applyAlignment="1">
      <alignment horizontal="right"/>
    </xf>
    <xf numFmtId="0" fontId="84" fillId="22" borderId="0" xfId="0" quotePrefix="1" applyFont="1" applyFill="1" applyAlignment="1">
      <alignment horizontal="right"/>
    </xf>
    <xf numFmtId="0" fontId="13" fillId="23" borderId="0" xfId="0" quotePrefix="1" applyFont="1" applyFill="1" applyAlignment="1">
      <alignment horizontal="right"/>
    </xf>
    <xf numFmtId="0" fontId="7" fillId="12" borderId="0" xfId="0" applyFont="1" applyFill="1" applyAlignment="1">
      <alignment horizontal="right"/>
    </xf>
    <xf numFmtId="0" fontId="6" fillId="0" borderId="0" xfId="0" applyFont="1" applyAlignment="1">
      <alignment horizontal="center"/>
    </xf>
    <xf numFmtId="168" fontId="6" fillId="12" borderId="0" xfId="0" applyNumberFormat="1" applyFont="1" applyFill="1"/>
    <xf numFmtId="168" fontId="0" fillId="12" borderId="0" xfId="0" applyNumberFormat="1" applyFill="1"/>
    <xf numFmtId="43" fontId="0" fillId="0" borderId="0" xfId="0" applyNumberFormat="1"/>
    <xf numFmtId="43" fontId="0" fillId="0" borderId="0" xfId="6" applyFont="1"/>
    <xf numFmtId="0" fontId="6" fillId="12" borderId="0" xfId="0" applyFont="1" applyFill="1"/>
    <xf numFmtId="171" fontId="0" fillId="0" borderId="0" xfId="6" applyNumberFormat="1" applyFont="1"/>
    <xf numFmtId="0" fontId="0" fillId="12" borderId="0" xfId="0" applyFill="1"/>
    <xf numFmtId="43" fontId="6" fillId="0" borderId="12" xfId="0" applyNumberFormat="1" applyFont="1" applyBorder="1"/>
    <xf numFmtId="0" fontId="46" fillId="0" borderId="0" xfId="0" applyFont="1" applyAlignment="1">
      <alignment horizontal="center"/>
    </xf>
    <xf numFmtId="43" fontId="46" fillId="0" borderId="0" xfId="0" applyNumberFormat="1" applyFont="1"/>
    <xf numFmtId="166" fontId="6" fillId="0" borderId="0" xfId="0" applyNumberFormat="1" applyFont="1"/>
    <xf numFmtId="166" fontId="0" fillId="0" borderId="0" xfId="6" applyNumberFormat="1" applyFont="1" applyFill="1"/>
    <xf numFmtId="43" fontId="0" fillId="12" borderId="0" xfId="0" applyNumberFormat="1" applyFill="1"/>
    <xf numFmtId="43" fontId="0" fillId="12" borderId="0" xfId="6" applyFont="1" applyFill="1"/>
    <xf numFmtId="171" fontId="0" fillId="12" borderId="0" xfId="6" applyNumberFormat="1" applyFont="1" applyFill="1"/>
    <xf numFmtId="0" fontId="6" fillId="12" borderId="12" xfId="0" applyFont="1" applyFill="1" applyBorder="1"/>
    <xf numFmtId="43" fontId="6" fillId="12" borderId="12" xfId="0" applyNumberFormat="1" applyFont="1" applyFill="1" applyBorder="1"/>
    <xf numFmtId="0" fontId="6" fillId="12" borderId="0" xfId="0" applyFont="1" applyFill="1" applyAlignment="1">
      <alignment horizontal="left"/>
    </xf>
    <xf numFmtId="43" fontId="6" fillId="12" borderId="0" xfId="0" applyNumberFormat="1" applyFont="1" applyFill="1"/>
    <xf numFmtId="0" fontId="0" fillId="12" borderId="0" xfId="0" applyFill="1" applyAlignment="1">
      <alignment horizontal="left"/>
    </xf>
    <xf numFmtId="43" fontId="3" fillId="12" borderId="0" xfId="6" applyFont="1" applyFill="1"/>
    <xf numFmtId="0" fontId="0" fillId="12" borderId="0" xfId="0" applyFill="1" applyAlignment="1">
      <alignment horizontal="center"/>
    </xf>
    <xf numFmtId="0" fontId="86" fillId="0" borderId="0" xfId="0" applyFont="1"/>
    <xf numFmtId="168" fontId="0" fillId="0" borderId="0" xfId="0" applyNumberFormat="1"/>
    <xf numFmtId="0" fontId="88" fillId="0" borderId="0" xfId="0" applyFont="1"/>
    <xf numFmtId="0" fontId="89" fillId="0" borderId="0" xfId="0" applyFont="1"/>
    <xf numFmtId="0" fontId="6" fillId="0" borderId="0" xfId="0" applyFont="1" applyAlignment="1">
      <alignment horizontal="right"/>
    </xf>
    <xf numFmtId="0" fontId="90" fillId="0" borderId="0" xfId="0" applyFont="1" applyAlignment="1">
      <alignment horizontal="center"/>
    </xf>
    <xf numFmtId="43" fontId="16" fillId="0" borderId="0" xfId="6" applyFont="1"/>
    <xf numFmtId="0" fontId="36" fillId="5" borderId="0" xfId="7" applyFont="1" applyFill="1" applyAlignment="1">
      <alignment vertical="top"/>
    </xf>
    <xf numFmtId="0" fontId="37" fillId="0" borderId="0" xfId="7" applyFont="1" applyAlignment="1">
      <alignment vertical="top"/>
    </xf>
    <xf numFmtId="0" fontId="36" fillId="25" borderId="0" xfId="7" applyFont="1" applyFill="1" applyAlignment="1">
      <alignment horizontal="right" vertical="top"/>
    </xf>
    <xf numFmtId="0" fontId="36" fillId="26" borderId="0" xfId="7" applyFont="1" applyFill="1" applyAlignment="1">
      <alignment vertical="top"/>
    </xf>
    <xf numFmtId="0" fontId="36" fillId="0" borderId="0" xfId="7" applyFont="1" applyAlignment="1">
      <alignment vertical="top"/>
    </xf>
    <xf numFmtId="174" fontId="36" fillId="0" borderId="0" xfId="11" applyNumberFormat="1" applyFont="1" applyAlignment="1">
      <alignment vertical="top"/>
    </xf>
    <xf numFmtId="174" fontId="16" fillId="0" borderId="0" xfId="11" applyNumberFormat="1" applyFont="1" applyAlignment="1">
      <alignment vertical="top"/>
    </xf>
    <xf numFmtId="43" fontId="36" fillId="0" borderId="0" xfId="7" applyNumberFormat="1" applyFont="1" applyAlignment="1">
      <alignment vertical="top"/>
    </xf>
    <xf numFmtId="43" fontId="36" fillId="12" borderId="0" xfId="6" applyFont="1" applyFill="1" applyAlignment="1">
      <alignment vertical="top"/>
    </xf>
    <xf numFmtId="166" fontId="37" fillId="0" borderId="0" xfId="6" applyNumberFormat="1" applyFont="1" applyAlignment="1">
      <alignment vertical="top"/>
    </xf>
    <xf numFmtId="10" fontId="16" fillId="0" borderId="0" xfId="11" applyNumberFormat="1" applyFont="1" applyAlignment="1">
      <alignment vertical="top"/>
    </xf>
    <xf numFmtId="10" fontId="37" fillId="0" borderId="0" xfId="7" applyNumberFormat="1" applyFont="1" applyAlignment="1">
      <alignment vertical="top"/>
    </xf>
    <xf numFmtId="10" fontId="36" fillId="0" borderId="0" xfId="7" applyNumberFormat="1" applyFont="1" applyAlignment="1">
      <alignment vertical="top"/>
    </xf>
    <xf numFmtId="10" fontId="37" fillId="12" borderId="0" xfId="7" applyNumberFormat="1" applyFont="1" applyFill="1" applyAlignment="1">
      <alignment vertical="top"/>
    </xf>
    <xf numFmtId="0" fontId="37" fillId="12" borderId="0" xfId="7" applyFont="1" applyFill="1" applyAlignment="1">
      <alignment vertical="top"/>
    </xf>
    <xf numFmtId="0" fontId="37" fillId="0" borderId="42" xfId="7" applyFont="1" applyBorder="1" applyAlignment="1">
      <alignment vertical="top"/>
    </xf>
    <xf numFmtId="0" fontId="93" fillId="0" borderId="0" xfId="7" applyFont="1" applyAlignment="1">
      <alignment vertical="top"/>
    </xf>
    <xf numFmtId="0" fontId="94" fillId="0" borderId="0" xfId="7" applyFont="1" applyAlignment="1">
      <alignment vertical="top"/>
    </xf>
    <xf numFmtId="0" fontId="79" fillId="12" borderId="0" xfId="0" applyFont="1" applyFill="1" applyAlignment="1">
      <alignment horizontal="center"/>
    </xf>
    <xf numFmtId="166" fontId="52" fillId="12" borderId="0" xfId="6" applyNumberFormat="1" applyFont="1" applyFill="1"/>
    <xf numFmtId="166" fontId="79" fillId="12" borderId="0" xfId="6" applyNumberFormat="1" applyFont="1" applyFill="1"/>
    <xf numFmtId="166" fontId="36" fillId="0" borderId="0" xfId="6" applyNumberFormat="1" applyFont="1" applyAlignment="1">
      <alignment vertical="top"/>
    </xf>
    <xf numFmtId="0" fontId="56" fillId="17" borderId="54" xfId="0" applyFont="1" applyFill="1" applyBorder="1" applyAlignment="1">
      <alignment horizontal="center"/>
    </xf>
    <xf numFmtId="0" fontId="95" fillId="0" borderId="0" xfId="0" applyFont="1"/>
    <xf numFmtId="0" fontId="22" fillId="0" borderId="0" xfId="0" applyFont="1" applyAlignment="1">
      <alignment horizontal="center" vertical="center"/>
    </xf>
    <xf numFmtId="0" fontId="23" fillId="0" borderId="0" xfId="10" applyFont="1" applyBorder="1" applyAlignment="1">
      <alignment horizontal="center" vertical="center" wrapText="1"/>
    </xf>
    <xf numFmtId="0" fontId="22" fillId="0" borderId="0" xfId="0" applyFont="1" applyAlignment="1">
      <alignment horizontal="left" vertical="center"/>
    </xf>
    <xf numFmtId="0" fontId="18" fillId="0" borderId="0" xfId="0" applyFont="1" applyAlignment="1">
      <alignment horizontal="center" vertical="center" wrapText="1"/>
    </xf>
    <xf numFmtId="0" fontId="24" fillId="0" borderId="0" xfId="0" applyFont="1" applyAlignment="1">
      <alignment vertical="center" wrapText="1"/>
    </xf>
    <xf numFmtId="14" fontId="24" fillId="0" borderId="0" xfId="0" applyNumberFormat="1" applyFont="1" applyAlignment="1">
      <alignment horizontal="center" vertical="center" wrapText="1"/>
    </xf>
    <xf numFmtId="0" fontId="24" fillId="0" borderId="0" xfId="0" applyFont="1" applyAlignment="1">
      <alignment horizontal="center" vertical="center" wrapText="1"/>
    </xf>
    <xf numFmtId="43" fontId="25" fillId="0" borderId="0" xfId="0" applyNumberFormat="1" applyFont="1" applyAlignment="1">
      <alignment horizontal="center" vertical="center" wrapText="1"/>
    </xf>
    <xf numFmtId="0" fontId="33" fillId="30" borderId="0" xfId="0" applyFont="1" applyFill="1" applyAlignment="1">
      <alignment horizontal="center" vertical="center"/>
    </xf>
    <xf numFmtId="0" fontId="33" fillId="30" borderId="0" xfId="0" applyFont="1" applyFill="1" applyAlignment="1">
      <alignment horizontal="center" vertical="center" wrapText="1"/>
    </xf>
    <xf numFmtId="0" fontId="33" fillId="30" borderId="12" xfId="0" applyFont="1" applyFill="1" applyBorder="1" applyAlignment="1">
      <alignment horizontal="centerContinuous"/>
    </xf>
    <xf numFmtId="1" fontId="33" fillId="30" borderId="12" xfId="0" applyNumberFormat="1" applyFont="1" applyFill="1" applyBorder="1" applyAlignment="1">
      <alignment horizontal="center"/>
    </xf>
    <xf numFmtId="11" fontId="73" fillId="0" borderId="0" xfId="0" applyNumberFormat="1" applyFont="1"/>
    <xf numFmtId="0" fontId="6" fillId="24" borderId="41" xfId="0" applyFont="1" applyFill="1" applyBorder="1" applyAlignment="1">
      <alignment horizontal="center"/>
    </xf>
    <xf numFmtId="0" fontId="0" fillId="24" borderId="42" xfId="0" applyFill="1" applyBorder="1"/>
    <xf numFmtId="0" fontId="0" fillId="24" borderId="43" xfId="0" applyFill="1" applyBorder="1"/>
    <xf numFmtId="0" fontId="0" fillId="24" borderId="44" xfId="0" applyFill="1" applyBorder="1" applyAlignment="1">
      <alignment horizontal="center"/>
    </xf>
    <xf numFmtId="0" fontId="0" fillId="24" borderId="0" xfId="0" applyFill="1"/>
    <xf numFmtId="0" fontId="6" fillId="24" borderId="0" xfId="0" applyFont="1" applyFill="1" applyAlignment="1">
      <alignment horizontal="right"/>
    </xf>
    <xf numFmtId="0" fontId="6" fillId="24" borderId="0" xfId="0" applyFont="1" applyFill="1" applyAlignment="1">
      <alignment horizontal="right" vertical="top" wrapText="1"/>
    </xf>
    <xf numFmtId="0" fontId="0" fillId="24" borderId="45" xfId="0" applyFill="1" applyBorder="1"/>
    <xf numFmtId="0" fontId="0" fillId="24" borderId="44" xfId="0" applyFill="1" applyBorder="1" applyAlignment="1">
      <alignment horizontal="left"/>
    </xf>
    <xf numFmtId="43" fontId="0" fillId="24" borderId="0" xfId="0" applyNumberFormat="1" applyFill="1"/>
    <xf numFmtId="172" fontId="0" fillId="24" borderId="0" xfId="6" applyNumberFormat="1" applyFont="1" applyFill="1" applyBorder="1"/>
    <xf numFmtId="173" fontId="0" fillId="24" borderId="0" xfId="6" applyNumberFormat="1" applyFont="1" applyFill="1" applyBorder="1"/>
    <xf numFmtId="43" fontId="0" fillId="24" borderId="45" xfId="0" applyNumberFormat="1" applyFill="1" applyBorder="1"/>
    <xf numFmtId="0" fontId="0" fillId="24" borderId="44" xfId="0" applyFill="1" applyBorder="1" applyAlignment="1">
      <alignment horizontal="left" wrapText="1"/>
    </xf>
    <xf numFmtId="0" fontId="0" fillId="24" borderId="46" xfId="0" applyFill="1" applyBorder="1" applyAlignment="1">
      <alignment horizontal="left"/>
    </xf>
    <xf numFmtId="0" fontId="0" fillId="24" borderId="47" xfId="0" applyFill="1" applyBorder="1"/>
    <xf numFmtId="43" fontId="6" fillId="24" borderId="47" xfId="0" applyNumberFormat="1" applyFont="1" applyFill="1" applyBorder="1"/>
    <xf numFmtId="43" fontId="0" fillId="24" borderId="48" xfId="0" applyNumberFormat="1" applyFill="1" applyBorder="1"/>
    <xf numFmtId="0" fontId="97" fillId="17" borderId="49" xfId="0" applyFont="1" applyFill="1" applyBorder="1" applyAlignment="1">
      <alignment horizontal="center" vertical="center"/>
    </xf>
    <xf numFmtId="0" fontId="99" fillId="0" borderId="0" xfId="0" applyFont="1"/>
    <xf numFmtId="0" fontId="0" fillId="0" borderId="15" xfId="0" quotePrefix="1" applyBorder="1" applyAlignment="1">
      <alignment horizontal="right" vertical="center"/>
    </xf>
    <xf numFmtId="0" fontId="0" fillId="0" borderId="15" xfId="0" applyBorder="1" applyAlignment="1">
      <alignment vertical="center"/>
    </xf>
    <xf numFmtId="43" fontId="100" fillId="0" borderId="15" xfId="0" applyNumberFormat="1" applyFont="1" applyBorder="1" applyAlignment="1">
      <alignment vertical="center"/>
    </xf>
    <xf numFmtId="0" fontId="0" fillId="0" borderId="16" xfId="0" quotePrefix="1" applyBorder="1" applyAlignment="1">
      <alignment horizontal="right" vertical="center"/>
    </xf>
    <xf numFmtId="0" fontId="0" fillId="0" borderId="16" xfId="0" applyBorder="1" applyAlignment="1">
      <alignment vertical="center"/>
    </xf>
    <xf numFmtId="43" fontId="100" fillId="0" borderId="16" xfId="0" applyNumberFormat="1" applyFont="1" applyBorder="1" applyAlignment="1">
      <alignment vertical="center"/>
    </xf>
    <xf numFmtId="0" fontId="101" fillId="0" borderId="0" xfId="0" applyFont="1"/>
    <xf numFmtId="0" fontId="0" fillId="0" borderId="17" xfId="0" applyBorder="1" applyAlignment="1">
      <alignment vertical="center"/>
    </xf>
    <xf numFmtId="43" fontId="100" fillId="0" borderId="17" xfId="0" applyNumberFormat="1" applyFont="1" applyBorder="1" applyAlignment="1">
      <alignment vertical="center"/>
    </xf>
    <xf numFmtId="0" fontId="0" fillId="0" borderId="53" xfId="0" quotePrefix="1" applyBorder="1" applyAlignment="1">
      <alignment horizontal="right" vertical="center"/>
    </xf>
    <xf numFmtId="0" fontId="0" fillId="0" borderId="53" xfId="0" applyBorder="1" applyAlignment="1">
      <alignment vertical="center"/>
    </xf>
    <xf numFmtId="0" fontId="102" fillId="18" borderId="2" xfId="0" quotePrefix="1" applyFont="1" applyFill="1" applyBorder="1" applyAlignment="1">
      <alignment horizontal="left" vertical="center"/>
    </xf>
    <xf numFmtId="0" fontId="102" fillId="18" borderId="50" xfId="0" applyFont="1" applyFill="1" applyBorder="1" applyAlignment="1">
      <alignment vertical="center"/>
    </xf>
    <xf numFmtId="0" fontId="102" fillId="18" borderId="3" xfId="0" applyFont="1" applyFill="1" applyBorder="1" applyAlignment="1">
      <alignment vertical="center"/>
    </xf>
    <xf numFmtId="43" fontId="103" fillId="18" borderId="3" xfId="0" applyNumberFormat="1" applyFont="1" applyFill="1" applyBorder="1" applyAlignment="1">
      <alignment vertical="center"/>
    </xf>
    <xf numFmtId="0" fontId="102" fillId="18" borderId="1" xfId="0" applyFont="1" applyFill="1" applyBorder="1" applyAlignment="1">
      <alignment vertical="center"/>
    </xf>
    <xf numFmtId="0" fontId="6" fillId="24" borderId="44" xfId="0" applyFont="1" applyFill="1" applyBorder="1" applyAlignment="1">
      <alignment horizontal="left"/>
    </xf>
    <xf numFmtId="0" fontId="6" fillId="24" borderId="0" xfId="0" applyFont="1" applyFill="1"/>
    <xf numFmtId="43" fontId="6" fillId="24" borderId="0" xfId="0" applyNumberFormat="1" applyFont="1" applyFill="1"/>
    <xf numFmtId="9" fontId="0" fillId="0" borderId="0" xfId="6" applyNumberFormat="1" applyFont="1"/>
    <xf numFmtId="0" fontId="97" fillId="17" borderId="36" xfId="0" applyFont="1" applyFill="1" applyBorder="1" applyAlignment="1">
      <alignment horizontal="center" vertical="center"/>
    </xf>
    <xf numFmtId="0" fontId="97" fillId="17" borderId="37" xfId="0" applyFont="1" applyFill="1" applyBorder="1" applyAlignment="1">
      <alignment horizontal="center" vertical="center"/>
    </xf>
    <xf numFmtId="0" fontId="98" fillId="18" borderId="2" xfId="0" quotePrefix="1" applyFont="1" applyFill="1" applyBorder="1" applyAlignment="1">
      <alignment horizontal="left" vertical="center"/>
    </xf>
    <xf numFmtId="0" fontId="87" fillId="18" borderId="50" xfId="0" applyFont="1" applyFill="1" applyBorder="1" applyAlignment="1">
      <alignment vertical="center"/>
    </xf>
    <xf numFmtId="0" fontId="87" fillId="18" borderId="3" xfId="0" applyFont="1" applyFill="1" applyBorder="1" applyAlignment="1">
      <alignment vertical="center"/>
    </xf>
    <xf numFmtId="43" fontId="85" fillId="18" borderId="3" xfId="0" applyNumberFormat="1" applyFont="1" applyFill="1" applyBorder="1" applyAlignment="1">
      <alignment vertical="center"/>
    </xf>
    <xf numFmtId="0" fontId="0" fillId="0" borderId="16" xfId="0" applyBorder="1" applyAlignment="1">
      <alignment vertical="center" wrapText="1"/>
    </xf>
    <xf numFmtId="0" fontId="104" fillId="0" borderId="0" xfId="0" applyFont="1" applyAlignment="1">
      <alignment vertical="center"/>
    </xf>
    <xf numFmtId="166" fontId="12" fillId="0" borderId="0" xfId="6" applyNumberFormat="1" applyFont="1" applyFill="1"/>
    <xf numFmtId="166" fontId="12" fillId="0" borderId="0" xfId="6" applyNumberFormat="1" applyFont="1"/>
    <xf numFmtId="166" fontId="12" fillId="0" borderId="0" xfId="0" applyNumberFormat="1" applyFont="1"/>
    <xf numFmtId="0" fontId="8" fillId="5" borderId="0" xfId="7" applyFont="1" applyFill="1" applyAlignment="1">
      <alignment vertical="top"/>
    </xf>
    <xf numFmtId="0" fontId="4" fillId="0" borderId="0" xfId="7" applyAlignment="1">
      <alignment vertical="top"/>
    </xf>
    <xf numFmtId="0" fontId="4" fillId="0" borderId="0" xfId="7" applyAlignment="1">
      <alignment horizontal="right" vertical="top"/>
    </xf>
    <xf numFmtId="0" fontId="8" fillId="0" borderId="0" xfId="7" applyFont="1" applyAlignment="1">
      <alignment vertical="top"/>
    </xf>
    <xf numFmtId="0" fontId="4" fillId="12" borderId="0" xfId="7" applyFill="1" applyAlignment="1">
      <alignment vertical="top"/>
    </xf>
    <xf numFmtId="0" fontId="105" fillId="31" borderId="1" xfId="0" applyFont="1" applyFill="1" applyBorder="1" applyAlignment="1">
      <alignment horizontal="left" vertical="center"/>
    </xf>
    <xf numFmtId="174" fontId="105" fillId="31" borderId="1" xfId="12" applyNumberFormat="1" applyFont="1" applyFill="1" applyBorder="1" applyAlignment="1">
      <alignment horizontal="left" vertical="center"/>
    </xf>
    <xf numFmtId="174" fontId="105" fillId="31" borderId="1" xfId="12" applyNumberFormat="1" applyFont="1" applyFill="1" applyBorder="1" applyAlignment="1">
      <alignment horizontal="center" vertical="center" wrapText="1"/>
    </xf>
    <xf numFmtId="174" fontId="105" fillId="0" borderId="1" xfId="12" applyNumberFormat="1" applyFont="1" applyFill="1" applyBorder="1" applyAlignment="1">
      <alignment horizontal="center" vertical="center" wrapText="1"/>
    </xf>
    <xf numFmtId="0" fontId="105" fillId="32" borderId="1" xfId="0" applyFont="1" applyFill="1" applyBorder="1" applyAlignment="1">
      <alignment horizontal="center" vertical="center"/>
    </xf>
    <xf numFmtId="0" fontId="84" fillId="0" borderId="0" xfId="0" applyFont="1" applyAlignment="1">
      <alignment vertical="center"/>
    </xf>
    <xf numFmtId="0" fontId="107" fillId="28" borderId="1" xfId="0" applyFont="1" applyFill="1" applyBorder="1" applyAlignment="1">
      <alignment horizontal="right"/>
    </xf>
    <xf numFmtId="0" fontId="107" fillId="28" borderId="1" xfId="0" applyFont="1" applyFill="1" applyBorder="1" applyAlignment="1">
      <alignment horizontal="left"/>
    </xf>
    <xf numFmtId="174" fontId="107" fillId="28" borderId="1" xfId="12" applyNumberFormat="1" applyFont="1" applyFill="1" applyBorder="1" applyAlignment="1">
      <alignment horizontal="left"/>
    </xf>
    <xf numFmtId="174" fontId="107" fillId="28" borderId="1" xfId="12" applyNumberFormat="1" applyFont="1" applyFill="1" applyBorder="1" applyAlignment="1">
      <alignment horizontal="left" wrapText="1"/>
    </xf>
    <xf numFmtId="174" fontId="107" fillId="0" borderId="0" xfId="12" applyNumberFormat="1" applyFont="1" applyFill="1" applyBorder="1" applyAlignment="1">
      <alignment horizontal="left" wrapText="1"/>
    </xf>
    <xf numFmtId="0" fontId="107" fillId="32" borderId="0" xfId="0" applyFont="1" applyFill="1" applyAlignment="1">
      <alignment horizontal="center" vertical="center"/>
    </xf>
    <xf numFmtId="0" fontId="109" fillId="0" borderId="1" xfId="0" applyFont="1" applyBorder="1"/>
    <xf numFmtId="174" fontId="110" fillId="0" borderId="1" xfId="12" applyNumberFormat="1" applyFont="1" applyBorder="1"/>
    <xf numFmtId="174" fontId="110" fillId="0" borderId="1" xfId="12" applyNumberFormat="1" applyFont="1" applyFill="1" applyBorder="1"/>
    <xf numFmtId="174" fontId="111" fillId="0" borderId="1" xfId="0" applyNumberFormat="1" applyFont="1" applyBorder="1"/>
    <xf numFmtId="174" fontId="111" fillId="0" borderId="0" xfId="0" applyNumberFormat="1" applyFont="1"/>
    <xf numFmtId="174" fontId="0" fillId="0" borderId="0" xfId="12" applyNumberFormat="1" applyFont="1"/>
    <xf numFmtId="174" fontId="0" fillId="0" borderId="0" xfId="0" applyNumberFormat="1"/>
    <xf numFmtId="0" fontId="111" fillId="0" borderId="1" xfId="0" applyFont="1" applyBorder="1"/>
    <xf numFmtId="174" fontId="6" fillId="0" borderId="1" xfId="12" applyNumberFormat="1" applyFont="1" applyBorder="1"/>
    <xf numFmtId="0" fontId="111" fillId="0" borderId="1" xfId="0" applyFont="1" applyBorder="1" applyAlignment="1">
      <alignment wrapText="1"/>
    </xf>
    <xf numFmtId="176" fontId="111" fillId="0" borderId="1" xfId="0" applyNumberFormat="1" applyFont="1" applyBorder="1"/>
    <xf numFmtId="0" fontId="110" fillId="0" borderId="0" xfId="0" applyFont="1"/>
    <xf numFmtId="174" fontId="110" fillId="0" borderId="0" xfId="0" applyNumberFormat="1" applyFont="1"/>
    <xf numFmtId="166" fontId="110" fillId="0" borderId="0" xfId="6" applyNumberFormat="1" applyFont="1"/>
    <xf numFmtId="174" fontId="108" fillId="0" borderId="1" xfId="0" applyNumberFormat="1" applyFont="1" applyBorder="1"/>
    <xf numFmtId="174" fontId="108" fillId="0" borderId="0" xfId="0" applyNumberFormat="1" applyFont="1"/>
    <xf numFmtId="174" fontId="12" fillId="0" borderId="0" xfId="0" applyNumberFormat="1" applyFont="1"/>
    <xf numFmtId="0" fontId="111" fillId="5" borderId="0" xfId="0" applyFont="1" applyFill="1"/>
    <xf numFmtId="174" fontId="105" fillId="0" borderId="0" xfId="12" applyNumberFormat="1" applyFont="1" applyFill="1" applyBorder="1" applyAlignment="1">
      <alignment horizontal="center" vertical="center" wrapText="1"/>
    </xf>
    <xf numFmtId="9" fontId="110" fillId="0" borderId="1" xfId="9" applyFont="1" applyBorder="1"/>
    <xf numFmtId="168" fontId="110" fillId="0" borderId="1" xfId="9" applyNumberFormat="1" applyFont="1" applyBorder="1"/>
    <xf numFmtId="168" fontId="110" fillId="0" borderId="0" xfId="9" applyNumberFormat="1" applyFont="1" applyFill="1" applyBorder="1"/>
    <xf numFmtId="0" fontId="84" fillId="0" borderId="0" xfId="0" applyFont="1"/>
    <xf numFmtId="0" fontId="111" fillId="0" borderId="0" xfId="0" applyFont="1"/>
    <xf numFmtId="0" fontId="106" fillId="0" borderId="0" xfId="0" applyFont="1"/>
    <xf numFmtId="9" fontId="108" fillId="0" borderId="0" xfId="9" applyFont="1" applyBorder="1"/>
    <xf numFmtId="9" fontId="108" fillId="0" borderId="0" xfId="9" applyFont="1" applyFill="1" applyBorder="1"/>
    <xf numFmtId="0" fontId="105" fillId="31" borderId="1" xfId="0" applyFont="1" applyFill="1" applyBorder="1" applyAlignment="1">
      <alignment horizontal="left"/>
    </xf>
    <xf numFmtId="174" fontId="105" fillId="31" borderId="1" xfId="12" applyNumberFormat="1" applyFont="1" applyFill="1" applyBorder="1" applyAlignment="1">
      <alignment horizontal="left"/>
    </xf>
    <xf numFmtId="174" fontId="105" fillId="31" borderId="1" xfId="12" applyNumberFormat="1" applyFont="1" applyFill="1" applyBorder="1" applyAlignment="1">
      <alignment horizontal="left" wrapText="1"/>
    </xf>
    <xf numFmtId="174" fontId="105" fillId="0" borderId="0" xfId="12" applyNumberFormat="1" applyFont="1" applyFill="1" applyBorder="1" applyAlignment="1">
      <alignment horizontal="left" wrapText="1"/>
    </xf>
    <xf numFmtId="174" fontId="0" fillId="0" borderId="0" xfId="12" applyNumberFormat="1" applyFont="1" applyFill="1"/>
    <xf numFmtId="0" fontId="112" fillId="0" borderId="0" xfId="0" applyFont="1"/>
    <xf numFmtId="0" fontId="113" fillId="0" borderId="0" xfId="0" applyFont="1"/>
    <xf numFmtId="49" fontId="112" fillId="0" borderId="0" xfId="0" applyNumberFormat="1" applyFont="1"/>
    <xf numFmtId="0" fontId="114" fillId="0" borderId="0" xfId="0" applyFont="1" applyAlignment="1">
      <alignment horizontal="right"/>
    </xf>
    <xf numFmtId="0" fontId="114" fillId="0" borderId="0" xfId="0" applyFont="1" applyAlignment="1">
      <alignment horizontal="left"/>
    </xf>
    <xf numFmtId="174" fontId="112" fillId="0" borderId="0" xfId="0" applyNumberFormat="1" applyFont="1"/>
    <xf numFmtId="0" fontId="115" fillId="0" borderId="0" xfId="0" applyFont="1" applyAlignment="1">
      <alignment horizontal="left"/>
    </xf>
    <xf numFmtId="9" fontId="112" fillId="0" borderId="0" xfId="9" applyFont="1"/>
    <xf numFmtId="49" fontId="115" fillId="0" borderId="0" xfId="0" applyNumberFormat="1" applyFont="1" applyAlignment="1">
      <alignment horizontal="left"/>
    </xf>
    <xf numFmtId="0" fontId="116" fillId="0" borderId="0" xfId="0" applyFont="1" applyAlignment="1">
      <alignment horizontal="center"/>
    </xf>
    <xf numFmtId="0" fontId="117" fillId="33" borderId="1" xfId="0" applyFont="1" applyFill="1" applyBorder="1" applyAlignment="1">
      <alignment horizontal="center" vertical="center"/>
    </xf>
    <xf numFmtId="0" fontId="117" fillId="33" borderId="1" xfId="0" applyFont="1" applyFill="1" applyBorder="1" applyAlignment="1">
      <alignment horizontal="center" vertical="center" wrapText="1"/>
    </xf>
    <xf numFmtId="174" fontId="117" fillId="33" borderId="1" xfId="12" applyNumberFormat="1" applyFont="1" applyFill="1" applyBorder="1" applyAlignment="1">
      <alignment horizontal="center" vertical="center" wrapText="1"/>
    </xf>
    <xf numFmtId="174" fontId="119" fillId="0" borderId="0" xfId="0" applyNumberFormat="1" applyFont="1" applyAlignment="1">
      <alignment horizontal="center" vertical="center"/>
    </xf>
    <xf numFmtId="0" fontId="119" fillId="0" borderId="0" xfId="0" applyFont="1" applyAlignment="1">
      <alignment horizontal="center" vertical="center"/>
    </xf>
    <xf numFmtId="0" fontId="116" fillId="0" borderId="0" xfId="0" applyFont="1" applyAlignment="1">
      <alignment horizontal="center" vertical="center"/>
    </xf>
    <xf numFmtId="0" fontId="120" fillId="28" borderId="1" xfId="0" applyFont="1" applyFill="1" applyBorder="1" applyAlignment="1">
      <alignment horizontal="center" vertical="center"/>
    </xf>
    <xf numFmtId="0" fontId="121" fillId="0" borderId="0" xfId="0" applyFont="1" applyAlignment="1">
      <alignment vertical="center"/>
    </xf>
    <xf numFmtId="0" fontId="120" fillId="28" borderId="1" xfId="0" applyFont="1" applyFill="1" applyBorder="1" applyAlignment="1">
      <alignment horizontal="left" vertical="center"/>
    </xf>
    <xf numFmtId="174" fontId="120" fillId="28" borderId="1" xfId="12" applyNumberFormat="1" applyFont="1" applyFill="1" applyBorder="1" applyAlignment="1">
      <alignment horizontal="left" vertical="center"/>
    </xf>
    <xf numFmtId="9" fontId="120" fillId="28" borderId="1" xfId="9" applyFont="1" applyFill="1" applyBorder="1" applyAlignment="1">
      <alignment horizontal="right" vertical="center"/>
    </xf>
    <xf numFmtId="168" fontId="120" fillId="28" borderId="1" xfId="9" applyNumberFormat="1" applyFont="1" applyFill="1" applyBorder="1" applyAlignment="1">
      <alignment vertical="center"/>
    </xf>
    <xf numFmtId="0" fontId="112" fillId="0" borderId="15" xfId="0" applyFont="1" applyBorder="1" applyAlignment="1">
      <alignment horizontal="center" vertical="center"/>
    </xf>
    <xf numFmtId="0" fontId="112" fillId="0" borderId="15" xfId="0" applyFont="1" applyBorder="1" applyAlignment="1">
      <alignment vertical="center"/>
    </xf>
    <xf numFmtId="174" fontId="121" fillId="0" borderId="15" xfId="12" applyNumberFormat="1" applyFont="1" applyBorder="1" applyAlignment="1">
      <alignment vertical="center"/>
    </xf>
    <xf numFmtId="9" fontId="121" fillId="0" borderId="16" xfId="9" applyFont="1" applyFill="1" applyBorder="1" applyAlignment="1">
      <alignment horizontal="right" vertical="center"/>
    </xf>
    <xf numFmtId="168" fontId="121" fillId="0" borderId="15" xfId="9" applyNumberFormat="1" applyFont="1" applyBorder="1" applyAlignment="1">
      <alignment vertical="center"/>
    </xf>
    <xf numFmtId="0" fontId="112" fillId="0" borderId="0" xfId="0" applyFont="1" applyAlignment="1">
      <alignment vertical="center"/>
    </xf>
    <xf numFmtId="0" fontId="112" fillId="0" borderId="16" xfId="0" applyFont="1" applyBorder="1" applyAlignment="1">
      <alignment horizontal="center" vertical="center"/>
    </xf>
    <xf numFmtId="0" fontId="112" fillId="0" borderId="16" xfId="0" applyFont="1" applyBorder="1" applyAlignment="1">
      <alignment vertical="center"/>
    </xf>
    <xf numFmtId="174" fontId="121" fillId="0" borderId="16" xfId="12" applyNumberFormat="1" applyFont="1" applyBorder="1" applyAlignment="1">
      <alignment vertical="center"/>
    </xf>
    <xf numFmtId="168" fontId="121" fillId="0" borderId="16" xfId="9" applyNumberFormat="1" applyFont="1" applyBorder="1" applyAlignment="1">
      <alignment vertical="center"/>
    </xf>
    <xf numFmtId="174" fontId="112" fillId="0" borderId="0" xfId="0" applyNumberFormat="1" applyFont="1" applyAlignment="1">
      <alignment vertical="center"/>
    </xf>
    <xf numFmtId="174" fontId="121" fillId="0" borderId="16" xfId="12" applyNumberFormat="1" applyFont="1" applyFill="1" applyBorder="1" applyAlignment="1">
      <alignment vertical="center"/>
    </xf>
    <xf numFmtId="0" fontId="112" fillId="0" borderId="17" xfId="0" applyFont="1" applyBorder="1" applyAlignment="1">
      <alignment vertical="center"/>
    </xf>
    <xf numFmtId="174" fontId="121" fillId="0" borderId="17" xfId="12" applyNumberFormat="1" applyFont="1" applyBorder="1" applyAlignment="1">
      <alignment vertical="center"/>
    </xf>
    <xf numFmtId="168" fontId="121" fillId="0" borderId="17" xfId="9" applyNumberFormat="1" applyFont="1" applyBorder="1" applyAlignment="1">
      <alignment vertical="center"/>
    </xf>
    <xf numFmtId="9" fontId="121" fillId="0" borderId="16" xfId="9" applyFont="1" applyBorder="1" applyAlignment="1">
      <alignment horizontal="right" vertical="center"/>
    </xf>
    <xf numFmtId="9" fontId="121" fillId="0" borderId="52" xfId="9" applyFont="1" applyBorder="1" applyAlignment="1">
      <alignment horizontal="right" vertical="center"/>
    </xf>
    <xf numFmtId="0" fontId="122" fillId="0" borderId="1" xfId="0" applyFont="1" applyBorder="1" applyAlignment="1">
      <alignment vertical="center"/>
    </xf>
    <xf numFmtId="174" fontId="122" fillId="0" borderId="1" xfId="12" applyNumberFormat="1" applyFont="1" applyBorder="1" applyAlignment="1">
      <alignment vertical="center"/>
    </xf>
    <xf numFmtId="9" fontId="122" fillId="0" borderId="1" xfId="9" applyFont="1" applyBorder="1" applyAlignment="1">
      <alignment horizontal="right" vertical="center"/>
    </xf>
    <xf numFmtId="9" fontId="122" fillId="0" borderId="1" xfId="9" applyFont="1" applyBorder="1" applyAlignment="1">
      <alignment vertical="center"/>
    </xf>
    <xf numFmtId="0" fontId="123" fillId="0" borderId="0" xfId="0" applyFont="1" applyAlignment="1">
      <alignment vertical="center"/>
    </xf>
    <xf numFmtId="0" fontId="124" fillId="0" borderId="0" xfId="0" applyFont="1" applyAlignment="1">
      <alignment horizontal="center" vertical="center"/>
    </xf>
    <xf numFmtId="0" fontId="123" fillId="0" borderId="1" xfId="0" applyFont="1" applyBorder="1" applyAlignment="1">
      <alignment vertical="center"/>
    </xf>
    <xf numFmtId="174" fontId="120" fillId="0" borderId="17" xfId="12" applyNumberFormat="1" applyFont="1" applyBorder="1" applyAlignment="1">
      <alignment vertical="center"/>
    </xf>
    <xf numFmtId="174" fontId="123" fillId="0" borderId="1" xfId="0" applyNumberFormat="1" applyFont="1" applyBorder="1" applyAlignment="1">
      <alignment vertical="center"/>
    </xf>
    <xf numFmtId="174" fontId="120" fillId="0" borderId="1" xfId="12" applyNumberFormat="1" applyFont="1" applyBorder="1" applyAlignment="1">
      <alignment vertical="center"/>
    </xf>
    <xf numFmtId="9" fontId="120" fillId="0" borderId="53" xfId="9" applyFont="1" applyBorder="1" applyAlignment="1">
      <alignment horizontal="right" vertical="center"/>
    </xf>
    <xf numFmtId="174" fontId="123" fillId="0" borderId="1" xfId="0" applyNumberFormat="1" applyFont="1" applyBorder="1" applyAlignment="1">
      <alignment horizontal="center" vertical="center"/>
    </xf>
    <xf numFmtId="166" fontId="121" fillId="0" borderId="1" xfId="6" applyNumberFormat="1" applyFont="1" applyBorder="1" applyAlignment="1">
      <alignment vertical="center"/>
    </xf>
    <xf numFmtId="0" fontId="121" fillId="0" borderId="1" xfId="0" applyFont="1" applyBorder="1" applyAlignment="1">
      <alignment vertical="center"/>
    </xf>
    <xf numFmtId="0" fontId="121" fillId="0" borderId="0" xfId="0" applyFont="1"/>
    <xf numFmtId="174" fontId="121" fillId="0" borderId="0" xfId="0" applyNumberFormat="1" applyFont="1"/>
    <xf numFmtId="166" fontId="121" fillId="0" borderId="0" xfId="6" applyNumberFormat="1" applyFont="1"/>
    <xf numFmtId="49" fontId="121" fillId="0" borderId="0" xfId="0" applyNumberFormat="1" applyFont="1"/>
    <xf numFmtId="0" fontId="117" fillId="0" borderId="0" xfId="0" applyFont="1"/>
    <xf numFmtId="0" fontId="123" fillId="0" borderId="0" xfId="0" applyFont="1"/>
    <xf numFmtId="9" fontId="120" fillId="0" borderId="0" xfId="9" applyFont="1" applyBorder="1"/>
    <xf numFmtId="174" fontId="120" fillId="0" borderId="0" xfId="9" applyNumberFormat="1" applyFont="1" applyBorder="1"/>
    <xf numFmtId="0" fontId="114" fillId="0" borderId="0" xfId="0" applyFont="1" applyAlignment="1">
      <alignment horizontal="center"/>
    </xf>
    <xf numFmtId="49" fontId="120" fillId="0" borderId="0" xfId="9" applyNumberFormat="1" applyFont="1" applyBorder="1"/>
    <xf numFmtId="0" fontId="123" fillId="14" borderId="1" xfId="0" applyFont="1" applyFill="1" applyBorder="1"/>
    <xf numFmtId="166" fontId="96" fillId="14" borderId="1" xfId="6" applyNumberFormat="1" applyFont="1" applyFill="1" applyBorder="1" applyAlignment="1">
      <alignment vertical="center" wrapText="1"/>
    </xf>
    <xf numFmtId="166" fontId="125" fillId="0" borderId="0" xfId="0" applyNumberFormat="1" applyFont="1" applyAlignment="1">
      <alignment horizontal="center"/>
    </xf>
    <xf numFmtId="0" fontId="112" fillId="0" borderId="0" xfId="0" applyFont="1" applyAlignment="1">
      <alignment vertical="center" wrapText="1"/>
    </xf>
    <xf numFmtId="0" fontId="120" fillId="28" borderId="1" xfId="0" applyFont="1" applyFill="1" applyBorder="1" applyAlignment="1">
      <alignment horizontal="center"/>
    </xf>
    <xf numFmtId="0" fontId="120" fillId="28" borderId="1" xfId="0" applyFont="1" applyFill="1" applyBorder="1" applyAlignment="1">
      <alignment horizontal="left"/>
    </xf>
    <xf numFmtId="0" fontId="112" fillId="0" borderId="15" xfId="0" applyFont="1" applyBorder="1" applyAlignment="1">
      <alignment horizontal="center"/>
    </xf>
    <xf numFmtId="0" fontId="112" fillId="0" borderId="15" xfId="0" applyFont="1" applyBorder="1"/>
    <xf numFmtId="0" fontId="112" fillId="0" borderId="16" xfId="0" applyFont="1" applyBorder="1" applyAlignment="1">
      <alignment horizontal="center"/>
    </xf>
    <xf numFmtId="0" fontId="112" fillId="0" borderId="16" xfId="0" applyFont="1" applyBorder="1"/>
    <xf numFmtId="0" fontId="112" fillId="0" borderId="17" xfId="0" applyFont="1" applyBorder="1"/>
    <xf numFmtId="0" fontId="122" fillId="28" borderId="1" xfId="0" applyFont="1" applyFill="1" applyBorder="1" applyAlignment="1">
      <alignment horizontal="left"/>
    </xf>
    <xf numFmtId="0" fontId="127" fillId="0" borderId="0" xfId="0" applyFont="1"/>
    <xf numFmtId="0" fontId="124" fillId="0" borderId="0" xfId="0" applyFont="1" applyAlignment="1">
      <alignment horizontal="center"/>
    </xf>
    <xf numFmtId="176" fontId="123" fillId="0" borderId="15" xfId="0" applyNumberFormat="1" applyFont="1" applyBorder="1" applyAlignment="1">
      <alignment horizontal="center" vertical="center"/>
    </xf>
    <xf numFmtId="176" fontId="123" fillId="0" borderId="17" xfId="0" applyNumberFormat="1" applyFont="1" applyBorder="1" applyAlignment="1">
      <alignment horizontal="center" vertical="center"/>
    </xf>
    <xf numFmtId="174" fontId="120" fillId="0" borderId="0" xfId="12" applyNumberFormat="1" applyFont="1" applyBorder="1"/>
    <xf numFmtId="166" fontId="121" fillId="0" borderId="0" xfId="6" applyNumberFormat="1" applyFont="1" applyBorder="1"/>
    <xf numFmtId="9" fontId="121" fillId="0" borderId="0" xfId="9" applyFont="1" applyBorder="1"/>
    <xf numFmtId="0" fontId="117" fillId="27" borderId="1" xfId="0" applyFont="1" applyFill="1" applyBorder="1" applyAlignment="1">
      <alignment horizontal="center" vertical="center"/>
    </xf>
    <xf numFmtId="9" fontId="56" fillId="17" borderId="37" xfId="0" quotePrefix="1" applyNumberFormat="1" applyFont="1" applyFill="1" applyBorder="1" applyAlignment="1">
      <alignment horizontal="center"/>
    </xf>
    <xf numFmtId="168" fontId="82" fillId="0" borderId="15" xfId="6" applyNumberFormat="1" applyFont="1" applyBorder="1"/>
    <xf numFmtId="168" fontId="82" fillId="0" borderId="16" xfId="6" applyNumberFormat="1" applyFont="1" applyBorder="1"/>
    <xf numFmtId="168" fontId="82" fillId="18" borderId="17" xfId="6" applyNumberFormat="1" applyFont="1" applyFill="1" applyBorder="1"/>
    <xf numFmtId="9" fontId="52" fillId="0" borderId="0" xfId="0" applyNumberFormat="1" applyFont="1"/>
    <xf numFmtId="0" fontId="22" fillId="0" borderId="56" xfId="0" applyFont="1" applyBorder="1" applyAlignment="1">
      <alignment horizontal="center" vertical="center"/>
    </xf>
    <xf numFmtId="0" fontId="22" fillId="0" borderId="56" xfId="0" applyFont="1" applyBorder="1" applyAlignment="1">
      <alignment horizontal="left" vertical="center"/>
    </xf>
    <xf numFmtId="0" fontId="18" fillId="0" borderId="56" xfId="0" applyFont="1" applyBorder="1" applyAlignment="1">
      <alignment horizontal="center" vertical="center" wrapText="1"/>
    </xf>
    <xf numFmtId="0" fontId="24" fillId="0" borderId="56" xfId="0" applyFont="1" applyBorder="1" applyAlignment="1">
      <alignment vertical="center" wrapText="1"/>
    </xf>
    <xf numFmtId="14" fontId="24" fillId="0" borderId="56" xfId="0" applyNumberFormat="1" applyFont="1" applyBorder="1" applyAlignment="1">
      <alignment horizontal="center" vertical="center" wrapText="1"/>
    </xf>
    <xf numFmtId="0" fontId="24" fillId="0" borderId="56" xfId="0" applyFont="1" applyBorder="1" applyAlignment="1">
      <alignment horizontal="center" vertical="center" wrapText="1"/>
    </xf>
    <xf numFmtId="0" fontId="23" fillId="0" borderId="56" xfId="10" applyFont="1" applyBorder="1" applyAlignment="1">
      <alignment horizontal="center" vertical="center" wrapText="1"/>
    </xf>
    <xf numFmtId="41" fontId="83" fillId="0" borderId="56" xfId="6" applyNumberFormat="1" applyFont="1" applyFill="1" applyBorder="1" applyAlignment="1">
      <alignment horizontal="center" vertical="center" wrapText="1"/>
    </xf>
    <xf numFmtId="41" fontId="24" fillId="0" borderId="56" xfId="6" applyNumberFormat="1" applyFont="1" applyFill="1" applyBorder="1" applyAlignment="1">
      <alignment horizontal="center" vertical="center" wrapText="1"/>
    </xf>
    <xf numFmtId="166" fontId="24" fillId="0" borderId="56" xfId="6" applyNumberFormat="1" applyFont="1" applyFill="1" applyBorder="1" applyAlignment="1">
      <alignment horizontal="center" vertical="center" wrapText="1"/>
    </xf>
    <xf numFmtId="166" fontId="24" fillId="0" borderId="56" xfId="6" applyNumberFormat="1" applyFont="1" applyBorder="1" applyAlignment="1">
      <alignment horizontal="center" vertical="center" wrapText="1"/>
    </xf>
    <xf numFmtId="43" fontId="25" fillId="0" borderId="56" xfId="0" applyNumberFormat="1" applyFont="1" applyBorder="1" applyAlignment="1">
      <alignment horizontal="center" vertical="center" wrapText="1"/>
    </xf>
    <xf numFmtId="177" fontId="52" fillId="0" borderId="15" xfId="6" applyNumberFormat="1" applyFont="1" applyBorder="1" applyAlignment="1">
      <alignment vertical="center" wrapText="1"/>
    </xf>
    <xf numFmtId="177" fontId="57" fillId="0" borderId="15" xfId="6" applyNumberFormat="1" applyFont="1" applyBorder="1" applyAlignment="1">
      <alignment vertical="center" wrapText="1"/>
    </xf>
    <xf numFmtId="177" fontId="57" fillId="14" borderId="15" xfId="6" applyNumberFormat="1" applyFont="1" applyFill="1" applyBorder="1" applyAlignment="1">
      <alignment vertical="center" wrapText="1"/>
    </xf>
    <xf numFmtId="177" fontId="52" fillId="0" borderId="15" xfId="6" applyNumberFormat="1" applyFont="1" applyFill="1" applyBorder="1" applyAlignment="1">
      <alignment vertical="center" wrapText="1"/>
    </xf>
    <xf numFmtId="177" fontId="78" fillId="0" borderId="16" xfId="6" applyNumberFormat="1" applyFont="1" applyBorder="1" applyAlignment="1">
      <alignment vertical="center" wrapText="1"/>
    </xf>
    <xf numFmtId="177" fontId="78" fillId="0" borderId="16" xfId="6" applyNumberFormat="1" applyFont="1" applyFill="1" applyBorder="1" applyAlignment="1">
      <alignment vertical="center" wrapText="1"/>
    </xf>
    <xf numFmtId="177" fontId="57" fillId="0" borderId="16" xfId="6" applyNumberFormat="1" applyFont="1" applyBorder="1" applyAlignment="1">
      <alignment vertical="center" wrapText="1"/>
    </xf>
    <xf numFmtId="177" fontId="57" fillId="14" borderId="16" xfId="6" applyNumberFormat="1" applyFont="1" applyFill="1" applyBorder="1" applyAlignment="1">
      <alignment vertical="center" wrapText="1"/>
    </xf>
    <xf numFmtId="177" fontId="52" fillId="0" borderId="16" xfId="6" applyNumberFormat="1" applyFont="1" applyBorder="1" applyAlignment="1">
      <alignment vertical="center" wrapText="1"/>
    </xf>
    <xf numFmtId="177" fontId="58" fillId="0" borderId="16" xfId="6" applyNumberFormat="1" applyFont="1" applyBorder="1" applyAlignment="1">
      <alignment vertical="center" wrapText="1"/>
    </xf>
    <xf numFmtId="178" fontId="52" fillId="0" borderId="15" xfId="6" applyNumberFormat="1" applyFont="1" applyBorder="1"/>
    <xf numFmtId="178" fontId="52" fillId="0" borderId="16" xfId="6" applyNumberFormat="1" applyFont="1" applyBorder="1"/>
    <xf numFmtId="178" fontId="82" fillId="18" borderId="17" xfId="6" applyNumberFormat="1" applyFont="1" applyFill="1" applyBorder="1"/>
    <xf numFmtId="178" fontId="82" fillId="0" borderId="15" xfId="6" applyNumberFormat="1" applyFont="1" applyBorder="1"/>
    <xf numFmtId="178" fontId="82" fillId="0" borderId="16" xfId="6" applyNumberFormat="1" applyFont="1" applyBorder="1"/>
    <xf numFmtId="178" fontId="79" fillId="0" borderId="15" xfId="6" applyNumberFormat="1" applyFont="1" applyBorder="1"/>
    <xf numFmtId="178" fontId="82" fillId="0" borderId="19" xfId="6" applyNumberFormat="1" applyFont="1" applyBorder="1"/>
    <xf numFmtId="178" fontId="79" fillId="0" borderId="16" xfId="6" applyNumberFormat="1" applyFont="1" applyBorder="1"/>
    <xf numFmtId="178" fontId="82" fillId="0" borderId="21" xfId="6" applyNumberFormat="1" applyFont="1" applyBorder="1"/>
    <xf numFmtId="178" fontId="52" fillId="0" borderId="20" xfId="6" applyNumberFormat="1" applyFont="1" applyBorder="1"/>
    <xf numFmtId="178" fontId="52" fillId="0" borderId="22" xfId="6" applyNumberFormat="1" applyFont="1" applyBorder="1"/>
    <xf numFmtId="168" fontId="6" fillId="0" borderId="0" xfId="0" applyNumberFormat="1" applyFont="1"/>
    <xf numFmtId="0" fontId="26" fillId="12" borderId="12" xfId="0" applyFont="1" applyFill="1" applyBorder="1" applyAlignment="1">
      <alignment horizontal="center" vertical="center"/>
    </xf>
    <xf numFmtId="166" fontId="128" fillId="34" borderId="57" xfId="6" applyNumberFormat="1" applyFont="1" applyFill="1" applyBorder="1" applyAlignment="1">
      <alignment vertical="center" wrapText="1"/>
    </xf>
    <xf numFmtId="0" fontId="0" fillId="0" borderId="52" xfId="0" quotePrefix="1" applyBorder="1" applyAlignment="1">
      <alignment horizontal="right" vertical="center"/>
    </xf>
    <xf numFmtId="0" fontId="0" fillId="0" borderId="52" xfId="0" applyBorder="1" applyAlignment="1">
      <alignment vertical="center"/>
    </xf>
    <xf numFmtId="43" fontId="100" fillId="0" borderId="52" xfId="0" applyNumberFormat="1" applyFont="1" applyBorder="1" applyAlignment="1">
      <alignment vertical="center"/>
    </xf>
    <xf numFmtId="174" fontId="121" fillId="0" borderId="53" xfId="12" applyNumberFormat="1" applyFont="1" applyBorder="1" applyAlignment="1">
      <alignment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21" fillId="0" borderId="0" xfId="0" applyFont="1" applyAlignment="1">
      <alignment horizontal="center" vertical="center"/>
    </xf>
    <xf numFmtId="0" fontId="21" fillId="0" borderId="56" xfId="0" applyFont="1" applyBorder="1" applyAlignment="1">
      <alignment horizontal="center" vertical="center"/>
    </xf>
    <xf numFmtId="0" fontId="19" fillId="17" borderId="0" xfId="0" applyFont="1" applyFill="1" applyAlignment="1">
      <alignment horizontal="center" vertical="center" wrapText="1"/>
    </xf>
    <xf numFmtId="9" fontId="16" fillId="0" borderId="0" xfId="0" applyNumberFormat="1" applyFont="1" applyAlignment="1">
      <alignment vertical="center"/>
    </xf>
    <xf numFmtId="41" fontId="16" fillId="11" borderId="1" xfId="0" applyNumberFormat="1" applyFont="1" applyFill="1" applyBorder="1" applyAlignment="1">
      <alignment vertical="center"/>
    </xf>
    <xf numFmtId="9" fontId="16" fillId="0" borderId="68" xfId="0" applyNumberFormat="1" applyFont="1" applyBorder="1"/>
    <xf numFmtId="0" fontId="19" fillId="36" borderId="9" xfId="0" applyFont="1" applyFill="1" applyBorder="1" applyAlignment="1">
      <alignment horizontal="center" vertical="center" wrapText="1"/>
    </xf>
    <xf numFmtId="166" fontId="42" fillId="5" borderId="0" xfId="6" applyNumberFormat="1" applyFont="1" applyFill="1" applyAlignment="1">
      <alignment vertical="center"/>
    </xf>
    <xf numFmtId="166" fontId="42" fillId="5" borderId="0" xfId="0" applyNumberFormat="1" applyFont="1" applyFill="1" applyAlignment="1">
      <alignment vertical="center"/>
    </xf>
    <xf numFmtId="0" fontId="130" fillId="0" borderId="0" xfId="0" applyFont="1" applyAlignment="1">
      <alignment wrapText="1"/>
    </xf>
    <xf numFmtId="0" fontId="16" fillId="0" borderId="0" xfId="0" applyFont="1" applyAlignment="1">
      <alignment horizontal="left" vertical="center"/>
    </xf>
    <xf numFmtId="0" fontId="16" fillId="0" borderId="0" xfId="0" applyFont="1" applyAlignment="1">
      <alignment horizontal="left"/>
    </xf>
    <xf numFmtId="0" fontId="16" fillId="0" borderId="0" xfId="0" applyFont="1" applyAlignment="1">
      <alignment wrapText="1"/>
    </xf>
    <xf numFmtId="166" fontId="16" fillId="0" borderId="0" xfId="0" applyNumberFormat="1" applyFont="1"/>
    <xf numFmtId="0" fontId="131" fillId="0" borderId="0" xfId="0" applyFont="1"/>
    <xf numFmtId="0" fontId="17" fillId="0" borderId="0" xfId="0" applyFont="1" applyAlignment="1">
      <alignment vertical="center"/>
    </xf>
    <xf numFmtId="0" fontId="33" fillId="35" borderId="6" xfId="0" applyFont="1" applyFill="1" applyBorder="1" applyAlignment="1">
      <alignment horizontal="center" vertical="center" wrapText="1"/>
    </xf>
    <xf numFmtId="0" fontId="16" fillId="0" borderId="0" xfId="0" applyFont="1" applyAlignment="1">
      <alignment horizontal="center" wrapText="1"/>
    </xf>
    <xf numFmtId="0" fontId="33" fillId="35" borderId="69" xfId="0" applyFont="1" applyFill="1" applyBorder="1" applyAlignment="1">
      <alignment horizontal="center" vertical="center" wrapText="1"/>
    </xf>
    <xf numFmtId="0" fontId="33" fillId="35" borderId="70" xfId="0" applyFont="1" applyFill="1" applyBorder="1" applyAlignment="1">
      <alignment horizontal="center" vertical="center" wrapText="1"/>
    </xf>
    <xf numFmtId="0" fontId="33" fillId="35" borderId="71" xfId="0" applyFont="1" applyFill="1" applyBorder="1" applyAlignment="1">
      <alignment horizontal="center" vertical="center" wrapText="1"/>
    </xf>
    <xf numFmtId="0" fontId="16" fillId="24" borderId="58" xfId="0" applyFont="1" applyFill="1" applyBorder="1" applyAlignment="1">
      <alignment horizontal="center" vertical="center"/>
    </xf>
    <xf numFmtId="0" fontId="16" fillId="24" borderId="59" xfId="0" applyFont="1" applyFill="1" applyBorder="1" applyAlignment="1">
      <alignment vertical="center" wrapText="1"/>
    </xf>
    <xf numFmtId="0" fontId="16" fillId="24" borderId="59" xfId="0" applyFont="1" applyFill="1" applyBorder="1" applyAlignment="1">
      <alignment horizontal="left" vertical="center"/>
    </xf>
    <xf numFmtId="166" fontId="16" fillId="24" borderId="59" xfId="6" applyNumberFormat="1" applyFont="1" applyFill="1" applyBorder="1" applyAlignment="1">
      <alignment horizontal="right" vertical="center"/>
    </xf>
    <xf numFmtId="166" fontId="16" fillId="24" borderId="59" xfId="6" applyNumberFormat="1" applyFont="1" applyFill="1" applyBorder="1" applyAlignment="1">
      <alignment vertical="center"/>
    </xf>
    <xf numFmtId="0" fontId="16" fillId="24" borderId="61" xfId="0" applyFont="1" applyFill="1" applyBorder="1" applyAlignment="1">
      <alignment horizontal="center" vertical="center"/>
    </xf>
    <xf numFmtId="0" fontId="16" fillId="24" borderId="16" xfId="0" applyFont="1" applyFill="1" applyBorder="1" applyAlignment="1">
      <alignment vertical="center" wrapText="1"/>
    </xf>
    <xf numFmtId="0" fontId="16" fillId="24" borderId="16" xfId="0" applyFont="1" applyFill="1" applyBorder="1" applyAlignment="1">
      <alignment horizontal="left" vertical="center"/>
    </xf>
    <xf numFmtId="166" fontId="16" fillId="24" borderId="16" xfId="6" applyNumberFormat="1" applyFont="1" applyFill="1" applyBorder="1" applyAlignment="1">
      <alignment vertical="center"/>
    </xf>
    <xf numFmtId="0" fontId="16" fillId="24" borderId="62" xfId="0" applyFont="1" applyFill="1" applyBorder="1" applyAlignment="1">
      <alignment horizontal="center" vertical="center"/>
    </xf>
    <xf numFmtId="0" fontId="16" fillId="24" borderId="63" xfId="0" applyFont="1" applyFill="1" applyBorder="1" applyAlignment="1">
      <alignment vertical="center" wrapText="1"/>
    </xf>
    <xf numFmtId="0" fontId="16" fillId="24" borderId="63" xfId="0" applyFont="1" applyFill="1" applyBorder="1" applyAlignment="1">
      <alignment horizontal="left" vertical="center"/>
    </xf>
    <xf numFmtId="166" fontId="16" fillId="24" borderId="63" xfId="6" applyNumberFormat="1" applyFont="1" applyFill="1" applyBorder="1" applyAlignment="1">
      <alignment horizontal="right" vertical="center"/>
    </xf>
    <xf numFmtId="166" fontId="16" fillId="24" borderId="63" xfId="6" applyNumberFormat="1" applyFont="1" applyFill="1" applyBorder="1" applyAlignment="1">
      <alignment vertical="center"/>
    </xf>
    <xf numFmtId="0" fontId="16" fillId="14" borderId="58" xfId="0" applyFont="1" applyFill="1" applyBorder="1" applyAlignment="1">
      <alignment horizontal="center" vertical="center"/>
    </xf>
    <xf numFmtId="0" fontId="16" fillId="14" borderId="59" xfId="0" applyFont="1" applyFill="1" applyBorder="1" applyAlignment="1">
      <alignment vertical="center" wrapText="1"/>
    </xf>
    <xf numFmtId="166" fontId="16" fillId="14" borderId="59" xfId="6" applyNumberFormat="1" applyFont="1" applyFill="1" applyBorder="1" applyAlignment="1">
      <alignment vertical="center"/>
    </xf>
    <xf numFmtId="0" fontId="16" fillId="14" borderId="61" xfId="0" applyFont="1" applyFill="1" applyBorder="1" applyAlignment="1">
      <alignment horizontal="center" vertical="center"/>
    </xf>
    <xf numFmtId="0" fontId="16" fillId="14" borderId="16" xfId="0" applyFont="1" applyFill="1" applyBorder="1" applyAlignment="1">
      <alignment vertical="center" wrapText="1"/>
    </xf>
    <xf numFmtId="0" fontId="16" fillId="14" borderId="16" xfId="0" applyFont="1" applyFill="1" applyBorder="1" applyAlignment="1">
      <alignment horizontal="left" vertical="center"/>
    </xf>
    <xf numFmtId="166" fontId="16" fillId="14" borderId="16" xfId="6" applyNumberFormat="1" applyFont="1" applyFill="1" applyBorder="1" applyAlignment="1">
      <alignment horizontal="right" vertical="center"/>
    </xf>
    <xf numFmtId="166" fontId="16" fillId="14" borderId="16" xfId="6" applyNumberFormat="1" applyFont="1" applyFill="1" applyBorder="1" applyAlignment="1">
      <alignment vertical="center"/>
    </xf>
    <xf numFmtId="0" fontId="16" fillId="14" borderId="62" xfId="0" applyFont="1" applyFill="1" applyBorder="1" applyAlignment="1">
      <alignment horizontal="center" vertical="center"/>
    </xf>
    <xf numFmtId="0" fontId="16" fillId="14" borderId="63" xfId="0" applyFont="1" applyFill="1" applyBorder="1" applyAlignment="1">
      <alignment vertical="center" wrapText="1"/>
    </xf>
    <xf numFmtId="0" fontId="16" fillId="14" borderId="63" xfId="0" applyFont="1" applyFill="1" applyBorder="1" applyAlignment="1">
      <alignment horizontal="left" vertical="center"/>
    </xf>
    <xf numFmtId="166" fontId="16" fillId="14" borderId="63" xfId="6" applyNumberFormat="1" applyFont="1" applyFill="1" applyBorder="1" applyAlignment="1">
      <alignment vertical="center"/>
    </xf>
    <xf numFmtId="0" fontId="16" fillId="24" borderId="64" xfId="0" applyFont="1" applyFill="1" applyBorder="1" applyAlignment="1">
      <alignment horizontal="center" vertical="center"/>
    </xf>
    <xf numFmtId="0" fontId="16" fillId="24" borderId="65" xfId="0" applyFont="1" applyFill="1" applyBorder="1" applyAlignment="1">
      <alignment vertical="center" wrapText="1"/>
    </xf>
    <xf numFmtId="0" fontId="16" fillId="24" borderId="65" xfId="0" applyFont="1" applyFill="1" applyBorder="1" applyAlignment="1">
      <alignment horizontal="left" vertical="center"/>
    </xf>
    <xf numFmtId="166" fontId="16" fillId="24" borderId="65" xfId="6" applyNumberFormat="1" applyFont="1" applyFill="1" applyBorder="1" applyAlignment="1">
      <alignment horizontal="right" vertical="center"/>
    </xf>
    <xf numFmtId="0" fontId="16" fillId="14" borderId="67" xfId="0" applyFont="1" applyFill="1" applyBorder="1" applyAlignment="1">
      <alignment horizontal="left" vertical="center"/>
    </xf>
    <xf numFmtId="0" fontId="16" fillId="5" borderId="65" xfId="0" applyFont="1" applyFill="1" applyBorder="1" applyAlignment="1">
      <alignment vertical="center" wrapText="1"/>
    </xf>
    <xf numFmtId="0" fontId="16" fillId="14" borderId="59" xfId="0" applyFont="1" applyFill="1" applyBorder="1" applyAlignment="1">
      <alignment horizontal="center" vertical="center"/>
    </xf>
    <xf numFmtId="0" fontId="16" fillId="14" borderId="16" xfId="0" applyFont="1" applyFill="1" applyBorder="1" applyAlignment="1">
      <alignment horizontal="center" vertical="center"/>
    </xf>
    <xf numFmtId="0" fontId="16" fillId="14" borderId="63" xfId="0" applyFont="1" applyFill="1" applyBorder="1" applyAlignment="1">
      <alignment horizontal="center" vertical="center"/>
    </xf>
    <xf numFmtId="0" fontId="16" fillId="24" borderId="59" xfId="0" applyFont="1" applyFill="1" applyBorder="1" applyAlignment="1">
      <alignment horizontal="center" vertical="center"/>
    </xf>
    <xf numFmtId="0" fontId="16" fillId="24" borderId="16" xfId="0" applyFont="1" applyFill="1" applyBorder="1" applyAlignment="1">
      <alignment horizontal="center" vertical="center"/>
    </xf>
    <xf numFmtId="0" fontId="16" fillId="24" borderId="63" xfId="0" applyFont="1" applyFill="1" applyBorder="1" applyAlignment="1">
      <alignment horizontal="center" vertical="center"/>
    </xf>
    <xf numFmtId="0" fontId="16" fillId="14" borderId="65" xfId="0" applyFont="1" applyFill="1" applyBorder="1" applyAlignment="1">
      <alignment horizontal="center" vertical="center"/>
    </xf>
    <xf numFmtId="0" fontId="16" fillId="14" borderId="65" xfId="0" applyFont="1" applyFill="1" applyBorder="1" applyAlignment="1">
      <alignment vertical="center" wrapText="1"/>
    </xf>
    <xf numFmtId="0" fontId="16" fillId="14" borderId="65" xfId="0" applyFont="1" applyFill="1" applyBorder="1" applyAlignment="1">
      <alignment horizontal="left" vertical="center"/>
    </xf>
    <xf numFmtId="166" fontId="16" fillId="14" borderId="65" xfId="6" applyNumberFormat="1" applyFont="1" applyFill="1" applyBorder="1" applyAlignment="1">
      <alignment horizontal="right" vertical="center"/>
    </xf>
    <xf numFmtId="166" fontId="16" fillId="14" borderId="65" xfId="6" applyNumberFormat="1" applyFont="1" applyFill="1" applyBorder="1" applyAlignment="1">
      <alignment vertical="center"/>
    </xf>
    <xf numFmtId="0" fontId="16" fillId="14" borderId="55" xfId="0" applyFont="1" applyFill="1" applyBorder="1" applyAlignment="1">
      <alignment horizontal="center" vertical="center"/>
    </xf>
    <xf numFmtId="0" fontId="16" fillId="14" borderId="55" xfId="0" applyFont="1" applyFill="1" applyBorder="1" applyAlignment="1">
      <alignment vertical="center" wrapText="1"/>
    </xf>
    <xf numFmtId="0" fontId="16" fillId="14" borderId="55" xfId="0" applyFont="1" applyFill="1" applyBorder="1" applyAlignment="1">
      <alignment horizontal="left" vertical="center"/>
    </xf>
    <xf numFmtId="166" fontId="16" fillId="14" borderId="55" xfId="6" applyNumberFormat="1" applyFont="1" applyFill="1" applyBorder="1" applyAlignment="1">
      <alignment horizontal="right" vertical="center"/>
    </xf>
    <xf numFmtId="0" fontId="132" fillId="15" borderId="64" xfId="0" applyFont="1" applyFill="1" applyBorder="1" applyAlignment="1">
      <alignment vertical="center"/>
    </xf>
    <xf numFmtId="0" fontId="132" fillId="15" borderId="65" xfId="0" applyFont="1" applyFill="1" applyBorder="1" applyAlignment="1">
      <alignment vertical="center" wrapText="1"/>
    </xf>
    <xf numFmtId="0" fontId="132" fillId="15" borderId="65" xfId="0" applyFont="1" applyFill="1" applyBorder="1" applyAlignment="1">
      <alignment horizontal="left" vertical="center"/>
    </xf>
    <xf numFmtId="166" fontId="132" fillId="15" borderId="65" xfId="0" applyNumberFormat="1" applyFont="1" applyFill="1" applyBorder="1" applyAlignment="1">
      <alignment vertical="center"/>
    </xf>
    <xf numFmtId="0" fontId="33" fillId="35" borderId="75" xfId="0" applyFont="1" applyFill="1" applyBorder="1" applyAlignment="1">
      <alignment horizontal="center" vertical="center" wrapText="1"/>
    </xf>
    <xf numFmtId="166" fontId="17" fillId="16" borderId="13" xfId="6" applyNumberFormat="1" applyFont="1" applyFill="1" applyBorder="1" applyAlignment="1">
      <alignment vertical="center"/>
    </xf>
    <xf numFmtId="166" fontId="17" fillId="15" borderId="64" xfId="6" applyNumberFormat="1" applyFont="1" applyFill="1" applyBorder="1" applyAlignment="1">
      <alignment vertical="center"/>
    </xf>
    <xf numFmtId="166" fontId="17" fillId="15" borderId="65" xfId="6" applyNumberFormat="1" applyFont="1" applyFill="1" applyBorder="1" applyAlignment="1">
      <alignment vertical="center"/>
    </xf>
    <xf numFmtId="166" fontId="17" fillId="15" borderId="66" xfId="6" applyNumberFormat="1" applyFont="1" applyFill="1" applyBorder="1" applyAlignment="1">
      <alignment vertical="center"/>
    </xf>
    <xf numFmtId="166" fontId="16" fillId="37" borderId="76" xfId="6" applyNumberFormat="1" applyFont="1" applyFill="1" applyBorder="1" applyAlignment="1">
      <alignment vertical="center"/>
    </xf>
    <xf numFmtId="166" fontId="16" fillId="24" borderId="78" xfId="6" applyNumberFormat="1" applyFont="1" applyFill="1" applyBorder="1" applyAlignment="1">
      <alignment vertical="center"/>
    </xf>
    <xf numFmtId="166" fontId="16" fillId="24" borderId="53" xfId="6" applyNumberFormat="1" applyFont="1" applyFill="1" applyBorder="1" applyAlignment="1">
      <alignment vertical="center"/>
    </xf>
    <xf numFmtId="166" fontId="16" fillId="24" borderId="79" xfId="6" applyNumberFormat="1" applyFont="1" applyFill="1" applyBorder="1" applyAlignment="1">
      <alignment vertical="center"/>
    </xf>
    <xf numFmtId="166" fontId="16" fillId="37" borderId="27" xfId="6" applyNumberFormat="1" applyFont="1" applyFill="1" applyBorder="1" applyAlignment="1">
      <alignment vertical="center"/>
    </xf>
    <xf numFmtId="166" fontId="16" fillId="24" borderId="61" xfId="6" applyNumberFormat="1" applyFont="1" applyFill="1" applyBorder="1" applyAlignment="1">
      <alignment vertical="center"/>
    </xf>
    <xf numFmtId="166" fontId="16" fillId="24" borderId="34" xfId="6" applyNumberFormat="1" applyFont="1" applyFill="1" applyBorder="1" applyAlignment="1">
      <alignment vertical="center"/>
    </xf>
    <xf numFmtId="166" fontId="16" fillId="37" borderId="29" xfId="6" applyNumberFormat="1" applyFont="1" applyFill="1" applyBorder="1" applyAlignment="1">
      <alignment vertical="center"/>
    </xf>
    <xf numFmtId="166" fontId="16" fillId="24" borderId="80" xfId="6" applyNumberFormat="1" applyFont="1" applyFill="1" applyBorder="1" applyAlignment="1">
      <alignment vertical="center"/>
    </xf>
    <xf numFmtId="166" fontId="16" fillId="24" borderId="52" xfId="6" applyNumberFormat="1" applyFont="1" applyFill="1" applyBorder="1" applyAlignment="1">
      <alignment vertical="center"/>
    </xf>
    <xf numFmtId="166" fontId="16" fillId="24" borderId="81" xfId="6" applyNumberFormat="1" applyFont="1" applyFill="1" applyBorder="1" applyAlignment="1">
      <alignment vertical="center"/>
    </xf>
    <xf numFmtId="166" fontId="16" fillId="29" borderId="25" xfId="6" applyNumberFormat="1" applyFont="1" applyFill="1" applyBorder="1" applyAlignment="1">
      <alignment vertical="center"/>
    </xf>
    <xf numFmtId="166" fontId="16" fillId="14" borderId="58" xfId="6" applyNumberFormat="1" applyFont="1" applyFill="1" applyBorder="1" applyAlignment="1">
      <alignment vertical="center"/>
    </xf>
    <xf numFmtId="166" fontId="16" fillId="14" borderId="60" xfId="6" applyNumberFormat="1" applyFont="1" applyFill="1" applyBorder="1" applyAlignment="1">
      <alignment vertical="center"/>
    </xf>
    <xf numFmtId="166" fontId="16" fillId="29" borderId="27" xfId="6" applyNumberFormat="1" applyFont="1" applyFill="1" applyBorder="1" applyAlignment="1">
      <alignment vertical="center"/>
    </xf>
    <xf numFmtId="166" fontId="16" fillId="14" borderId="61" xfId="6" applyNumberFormat="1" applyFont="1" applyFill="1" applyBorder="1" applyAlignment="1">
      <alignment vertical="center"/>
    </xf>
    <xf numFmtId="166" fontId="16" fillId="14" borderId="34" xfId="6" applyNumberFormat="1" applyFont="1" applyFill="1" applyBorder="1" applyAlignment="1">
      <alignment vertical="center"/>
    </xf>
    <xf numFmtId="166" fontId="16" fillId="29" borderId="31" xfId="6" applyNumberFormat="1" applyFont="1" applyFill="1" applyBorder="1" applyAlignment="1">
      <alignment vertical="center"/>
    </xf>
    <xf numFmtId="166" fontId="16" fillId="14" borderId="62" xfId="6" applyNumberFormat="1" applyFont="1" applyFill="1" applyBorder="1" applyAlignment="1">
      <alignment vertical="center"/>
    </xf>
    <xf numFmtId="166" fontId="16" fillId="14" borderId="35" xfId="6" applyNumberFormat="1" applyFont="1" applyFill="1" applyBorder="1" applyAlignment="1">
      <alignment vertical="center"/>
    </xf>
    <xf numFmtId="166" fontId="16" fillId="37" borderId="13" xfId="6" applyNumberFormat="1" applyFont="1" applyFill="1" applyBorder="1" applyAlignment="1">
      <alignment vertical="center"/>
    </xf>
    <xf numFmtId="166" fontId="16" fillId="24" borderId="64" xfId="6" applyNumberFormat="1" applyFont="1" applyFill="1" applyBorder="1" applyAlignment="1">
      <alignment vertical="center"/>
    </xf>
    <xf numFmtId="166" fontId="16" fillId="24" borderId="65" xfId="6" applyNumberFormat="1" applyFont="1" applyFill="1" applyBorder="1" applyAlignment="1">
      <alignment vertical="center"/>
    </xf>
    <xf numFmtId="166" fontId="16" fillId="24" borderId="66" xfId="6" applyNumberFormat="1" applyFont="1" applyFill="1" applyBorder="1" applyAlignment="1">
      <alignment vertical="center"/>
    </xf>
    <xf numFmtId="166" fontId="16" fillId="37" borderId="77" xfId="6" applyNumberFormat="1" applyFont="1" applyFill="1" applyBorder="1" applyAlignment="1">
      <alignment vertical="center"/>
    </xf>
    <xf numFmtId="166" fontId="16" fillId="24" borderId="82" xfId="6" applyNumberFormat="1" applyFont="1" applyFill="1" applyBorder="1" applyAlignment="1">
      <alignment vertical="center"/>
    </xf>
    <xf numFmtId="166" fontId="16" fillId="24" borderId="55" xfId="6" applyNumberFormat="1" applyFont="1" applyFill="1" applyBorder="1" applyAlignment="1">
      <alignment vertical="center"/>
    </xf>
    <xf numFmtId="166" fontId="16" fillId="24" borderId="83" xfId="6" applyNumberFormat="1" applyFont="1" applyFill="1" applyBorder="1" applyAlignment="1">
      <alignment vertical="center"/>
    </xf>
    <xf numFmtId="166" fontId="16" fillId="29" borderId="13" xfId="6" applyNumberFormat="1" applyFont="1" applyFill="1" applyBorder="1" applyAlignment="1">
      <alignment vertical="center"/>
    </xf>
    <xf numFmtId="166" fontId="16" fillId="14" borderId="64" xfId="6" applyNumberFormat="1" applyFont="1" applyFill="1" applyBorder="1" applyAlignment="1">
      <alignment vertical="center"/>
    </xf>
    <xf numFmtId="166" fontId="16" fillId="14" borderId="66" xfId="6" applyNumberFormat="1" applyFont="1" applyFill="1" applyBorder="1" applyAlignment="1">
      <alignment vertical="center"/>
    </xf>
    <xf numFmtId="166" fontId="16" fillId="14" borderId="70" xfId="6" applyNumberFormat="1" applyFont="1" applyFill="1" applyBorder="1" applyAlignment="1">
      <alignment vertical="center"/>
    </xf>
    <xf numFmtId="166" fontId="16" fillId="14" borderId="55" xfId="6" applyNumberFormat="1" applyFont="1" applyFill="1" applyBorder="1" applyAlignment="1">
      <alignment vertical="center"/>
    </xf>
    <xf numFmtId="166" fontId="16" fillId="14" borderId="73" xfId="6" applyNumberFormat="1" applyFont="1" applyFill="1" applyBorder="1" applyAlignment="1">
      <alignment vertical="center"/>
    </xf>
    <xf numFmtId="166" fontId="16" fillId="24" borderId="65" xfId="0" applyNumberFormat="1" applyFont="1" applyFill="1" applyBorder="1" applyAlignment="1">
      <alignment vertical="center"/>
    </xf>
    <xf numFmtId="0" fontId="16" fillId="24" borderId="52" xfId="0" applyFont="1" applyFill="1" applyBorder="1" applyAlignment="1">
      <alignment horizontal="center" vertical="center"/>
    </xf>
    <xf numFmtId="0" fontId="16" fillId="24" borderId="52" xfId="0" applyFont="1" applyFill="1" applyBorder="1" applyAlignment="1">
      <alignment vertical="center" wrapText="1"/>
    </xf>
    <xf numFmtId="0" fontId="16" fillId="24" borderId="15" xfId="0" applyFont="1" applyFill="1" applyBorder="1" applyAlignment="1">
      <alignment horizontal="center" vertical="center"/>
    </xf>
    <xf numFmtId="0" fontId="16" fillId="24" borderId="15" xfId="0" applyFont="1" applyFill="1" applyBorder="1" applyAlignment="1">
      <alignment vertical="center" wrapText="1"/>
    </xf>
    <xf numFmtId="166" fontId="16" fillId="24" borderId="15" xfId="6" applyNumberFormat="1" applyFont="1" applyFill="1" applyBorder="1" applyAlignment="1">
      <alignment vertical="center"/>
    </xf>
    <xf numFmtId="166" fontId="16" fillId="37" borderId="84" xfId="6" applyNumberFormat="1" applyFont="1" applyFill="1" applyBorder="1" applyAlignment="1">
      <alignment vertical="center"/>
    </xf>
    <xf numFmtId="166" fontId="16" fillId="24" borderId="85" xfId="6" applyNumberFormat="1" applyFont="1" applyFill="1" applyBorder="1" applyAlignment="1">
      <alignment vertical="center"/>
    </xf>
    <xf numFmtId="166" fontId="16" fillId="24" borderId="33" xfId="6" applyNumberFormat="1" applyFont="1" applyFill="1" applyBorder="1" applyAlignment="1">
      <alignment vertical="center"/>
    </xf>
    <xf numFmtId="166" fontId="16" fillId="37" borderId="31" xfId="6" applyNumberFormat="1" applyFont="1" applyFill="1" applyBorder="1" applyAlignment="1">
      <alignment vertical="center"/>
    </xf>
    <xf numFmtId="166" fontId="16" fillId="24" borderId="62" xfId="6" applyNumberFormat="1" applyFont="1" applyFill="1" applyBorder="1" applyAlignment="1">
      <alignment vertical="center"/>
    </xf>
    <xf numFmtId="166" fontId="16" fillId="24" borderId="35" xfId="6" applyNumberFormat="1" applyFont="1" applyFill="1" applyBorder="1" applyAlignment="1">
      <alignment vertical="center"/>
    </xf>
    <xf numFmtId="0" fontId="16" fillId="14" borderId="70" xfId="0" applyFont="1" applyFill="1" applyBorder="1" applyAlignment="1">
      <alignment horizontal="left" vertical="center"/>
    </xf>
    <xf numFmtId="166" fontId="16" fillId="14" borderId="70" xfId="6" applyNumberFormat="1" applyFont="1" applyFill="1" applyBorder="1" applyAlignment="1">
      <alignment horizontal="right" vertical="center"/>
    </xf>
    <xf numFmtId="0" fontId="16" fillId="14" borderId="73" xfId="0" applyFont="1" applyFill="1" applyBorder="1" applyAlignment="1">
      <alignment horizontal="left" vertical="center"/>
    </xf>
    <xf numFmtId="166" fontId="16" fillId="14" borderId="73" xfId="6" applyNumberFormat="1" applyFont="1" applyFill="1" applyBorder="1" applyAlignment="1">
      <alignment horizontal="right" vertical="center"/>
    </xf>
    <xf numFmtId="166" fontId="16" fillId="14" borderId="15" xfId="6" applyNumberFormat="1" applyFont="1" applyFill="1" applyBorder="1" applyAlignment="1">
      <alignment horizontal="right" vertical="center"/>
    </xf>
    <xf numFmtId="166" fontId="16" fillId="14" borderId="17" xfId="6" applyNumberFormat="1" applyFont="1" applyFill="1" applyBorder="1" applyAlignment="1">
      <alignment horizontal="right" vertical="center"/>
    </xf>
    <xf numFmtId="0" fontId="16" fillId="14" borderId="70" xfId="0" applyFont="1" applyFill="1" applyBorder="1" applyAlignment="1">
      <alignment horizontal="center" vertical="center"/>
    </xf>
    <xf numFmtId="0" fontId="16" fillId="14" borderId="70" xfId="0" applyFont="1" applyFill="1" applyBorder="1" applyAlignment="1">
      <alignment vertical="center" wrapText="1"/>
    </xf>
    <xf numFmtId="0" fontId="16" fillId="14" borderId="73" xfId="0" applyFont="1" applyFill="1" applyBorder="1" applyAlignment="1">
      <alignment horizontal="center" vertical="center"/>
    </xf>
    <xf numFmtId="0" fontId="16" fillId="14" borderId="73" xfId="0" applyFont="1" applyFill="1" applyBorder="1" applyAlignment="1">
      <alignment vertical="center" wrapText="1"/>
    </xf>
    <xf numFmtId="0" fontId="16" fillId="14" borderId="15" xfId="0" applyFont="1" applyFill="1" applyBorder="1" applyAlignment="1">
      <alignment horizontal="center" vertical="center"/>
    </xf>
    <xf numFmtId="0" fontId="16" fillId="14" borderId="15" xfId="0" applyFont="1" applyFill="1" applyBorder="1" applyAlignment="1">
      <alignment vertical="center" wrapText="1"/>
    </xf>
    <xf numFmtId="0" fontId="16" fillId="14" borderId="17" xfId="0" applyFont="1" applyFill="1" applyBorder="1" applyAlignment="1">
      <alignment horizontal="center" vertical="center"/>
    </xf>
    <xf numFmtId="0" fontId="16" fillId="14" borderId="17" xfId="0" applyFont="1" applyFill="1" applyBorder="1" applyAlignment="1">
      <alignment vertical="center" wrapText="1"/>
    </xf>
    <xf numFmtId="166" fontId="16" fillId="29" borderId="75" xfId="6" applyNumberFormat="1" applyFont="1" applyFill="1" applyBorder="1" applyAlignment="1">
      <alignment vertical="center"/>
    </xf>
    <xf numFmtId="166" fontId="16" fillId="14" borderId="69" xfId="6" applyNumberFormat="1" applyFont="1" applyFill="1" applyBorder="1" applyAlignment="1">
      <alignment vertical="center"/>
    </xf>
    <xf numFmtId="166" fontId="16" fillId="14" borderId="71" xfId="6" applyNumberFormat="1" applyFont="1" applyFill="1" applyBorder="1" applyAlignment="1">
      <alignment vertical="center"/>
    </xf>
    <xf numFmtId="166" fontId="16" fillId="29" borderId="74" xfId="6" applyNumberFormat="1" applyFont="1" applyFill="1" applyBorder="1" applyAlignment="1">
      <alignment vertical="center"/>
    </xf>
    <xf numFmtId="166" fontId="16" fillId="14" borderId="86" xfId="6" applyNumberFormat="1" applyFont="1" applyFill="1" applyBorder="1" applyAlignment="1">
      <alignment vertical="center"/>
    </xf>
    <xf numFmtId="166" fontId="16" fillId="14" borderId="87" xfId="6" applyNumberFormat="1" applyFont="1" applyFill="1" applyBorder="1" applyAlignment="1">
      <alignment vertical="center"/>
    </xf>
    <xf numFmtId="166" fontId="16" fillId="14" borderId="15" xfId="6" applyNumberFormat="1" applyFont="1" applyFill="1" applyBorder="1" applyAlignment="1">
      <alignment vertical="center"/>
    </xf>
    <xf numFmtId="166" fontId="16" fillId="14" borderId="17" xfId="6" applyNumberFormat="1" applyFont="1" applyFill="1" applyBorder="1" applyAlignment="1">
      <alignment vertical="center"/>
    </xf>
    <xf numFmtId="166" fontId="16" fillId="29" borderId="84" xfId="6" applyNumberFormat="1" applyFont="1" applyFill="1" applyBorder="1" applyAlignment="1">
      <alignment vertical="center"/>
    </xf>
    <xf numFmtId="166" fontId="16" fillId="14" borderId="85" xfId="6" applyNumberFormat="1" applyFont="1" applyFill="1" applyBorder="1" applyAlignment="1">
      <alignment vertical="center"/>
    </xf>
    <xf numFmtId="166" fontId="16" fillId="14" borderId="33" xfId="6" applyNumberFormat="1" applyFont="1" applyFill="1" applyBorder="1" applyAlignment="1">
      <alignment vertical="center"/>
    </xf>
    <xf numFmtId="166" fontId="16" fillId="29" borderId="88" xfId="6" applyNumberFormat="1" applyFont="1" applyFill="1" applyBorder="1" applyAlignment="1">
      <alignment vertical="center"/>
    </xf>
    <xf numFmtId="166" fontId="16" fillId="14" borderId="89" xfId="6" applyNumberFormat="1" applyFont="1" applyFill="1" applyBorder="1" applyAlignment="1">
      <alignment vertical="center"/>
    </xf>
    <xf numFmtId="166" fontId="16" fillId="14" borderId="90" xfId="6" applyNumberFormat="1" applyFont="1" applyFill="1" applyBorder="1" applyAlignment="1">
      <alignment vertical="center"/>
    </xf>
    <xf numFmtId="168" fontId="16" fillId="24" borderId="59" xfId="6" applyNumberFormat="1" applyFont="1" applyFill="1" applyBorder="1" applyAlignment="1">
      <alignment horizontal="center" vertical="center"/>
    </xf>
    <xf numFmtId="168" fontId="16" fillId="24" borderId="63" xfId="6" applyNumberFormat="1" applyFont="1" applyFill="1" applyBorder="1" applyAlignment="1">
      <alignment horizontal="center" vertical="center"/>
    </xf>
    <xf numFmtId="168" fontId="16" fillId="24" borderId="66" xfId="0" applyNumberFormat="1" applyFont="1" applyFill="1" applyBorder="1" applyAlignment="1">
      <alignment horizontal="center" vertical="center"/>
    </xf>
    <xf numFmtId="168" fontId="16" fillId="14" borderId="65" xfId="6" applyNumberFormat="1" applyFont="1" applyFill="1" applyBorder="1" applyAlignment="1">
      <alignment horizontal="center" vertical="center"/>
    </xf>
    <xf numFmtId="168" fontId="16" fillId="14" borderId="70" xfId="0" applyNumberFormat="1" applyFont="1" applyFill="1" applyBorder="1" applyAlignment="1">
      <alignment horizontal="center" vertical="center"/>
    </xf>
    <xf numFmtId="168" fontId="16" fillId="14" borderId="15" xfId="0" applyNumberFormat="1" applyFont="1" applyFill="1" applyBorder="1" applyAlignment="1">
      <alignment horizontal="center" vertical="center"/>
    </xf>
    <xf numFmtId="168" fontId="16" fillId="14" borderId="16" xfId="0" applyNumberFormat="1" applyFont="1" applyFill="1" applyBorder="1" applyAlignment="1">
      <alignment horizontal="center" vertical="center"/>
    </xf>
    <xf numFmtId="168" fontId="16" fillId="14" borderId="17" xfId="0" applyNumberFormat="1" applyFont="1" applyFill="1" applyBorder="1" applyAlignment="1">
      <alignment horizontal="center" vertical="center"/>
    </xf>
    <xf numFmtId="168" fontId="16" fillId="14" borderId="73" xfId="0" applyNumberFormat="1" applyFont="1" applyFill="1" applyBorder="1" applyAlignment="1">
      <alignment horizontal="center" vertical="center"/>
    </xf>
    <xf numFmtId="168" fontId="16" fillId="14" borderId="55" xfId="0" applyNumberFormat="1" applyFont="1" applyFill="1" applyBorder="1" applyAlignment="1">
      <alignment horizontal="center" vertical="center"/>
    </xf>
    <xf numFmtId="168" fontId="132" fillId="15" borderId="66" xfId="9" applyNumberFormat="1" applyFont="1" applyFill="1" applyBorder="1" applyAlignment="1">
      <alignment horizontal="center" vertical="center"/>
    </xf>
    <xf numFmtId="166" fontId="20" fillId="12" borderId="12" xfId="6" applyNumberFormat="1" applyFont="1" applyFill="1" applyBorder="1" applyAlignment="1">
      <alignment horizontal="centerContinuous" vertical="center"/>
    </xf>
    <xf numFmtId="166" fontId="26" fillId="12" borderId="12" xfId="6" applyNumberFormat="1" applyFont="1" applyFill="1" applyBorder="1" applyAlignment="1">
      <alignment horizontal="centerContinuous" vertical="center"/>
    </xf>
    <xf numFmtId="41" fontId="25" fillId="0" borderId="10" xfId="0" applyNumberFormat="1" applyFont="1" applyBorder="1" applyAlignment="1">
      <alignment horizontal="left" vertical="center" wrapText="1"/>
    </xf>
    <xf numFmtId="41" fontId="25" fillId="0" borderId="11" xfId="0" applyNumberFormat="1" applyFont="1" applyBorder="1" applyAlignment="1">
      <alignment horizontal="left" vertical="center" wrapText="1"/>
    </xf>
    <xf numFmtId="41" fontId="25" fillId="0" borderId="11" xfId="6" applyNumberFormat="1" applyFont="1" applyFill="1" applyBorder="1" applyAlignment="1">
      <alignment horizontal="left" vertical="center" wrapText="1"/>
    </xf>
    <xf numFmtId="41" fontId="25" fillId="0" borderId="11" xfId="6" applyNumberFormat="1" applyFont="1" applyFill="1" applyBorder="1" applyAlignment="1">
      <alignment horizontal="center" vertical="center" wrapText="1"/>
    </xf>
    <xf numFmtId="41" fontId="25" fillId="14" borderId="11" xfId="6" applyNumberFormat="1" applyFont="1" applyFill="1" applyBorder="1" applyAlignment="1">
      <alignment horizontal="center" vertical="center" wrapText="1"/>
    </xf>
    <xf numFmtId="41" fontId="25" fillId="0" borderId="0" xfId="6" applyNumberFormat="1" applyFont="1" applyFill="1" applyBorder="1" applyAlignment="1">
      <alignment horizontal="left" vertical="center" wrapText="1"/>
    </xf>
    <xf numFmtId="41" fontId="25" fillId="0" borderId="0" xfId="6" applyNumberFormat="1" applyFont="1" applyFill="1" applyBorder="1" applyAlignment="1">
      <alignment horizontal="center" vertical="center" wrapText="1"/>
    </xf>
    <xf numFmtId="41" fontId="25" fillId="0" borderId="56" xfId="6" applyNumberFormat="1" applyFont="1" applyFill="1" applyBorder="1" applyAlignment="1">
      <alignment horizontal="center" vertical="center" wrapText="1"/>
    </xf>
    <xf numFmtId="41" fontId="18" fillId="0" borderId="11" xfId="6" applyNumberFormat="1" applyFont="1" applyFill="1" applyBorder="1" applyAlignment="1">
      <alignment horizontal="center" vertical="center" wrapText="1"/>
    </xf>
    <xf numFmtId="41" fontId="134" fillId="0" borderId="11" xfId="6" applyNumberFormat="1" applyFont="1" applyFill="1" applyBorder="1" applyAlignment="1">
      <alignment horizontal="center" vertical="center" wrapText="1"/>
    </xf>
    <xf numFmtId="41" fontId="18" fillId="38" borderId="11" xfId="6" applyNumberFormat="1" applyFont="1" applyFill="1" applyBorder="1" applyAlignment="1">
      <alignment horizontal="center" vertical="center" wrapText="1"/>
    </xf>
    <xf numFmtId="41" fontId="134" fillId="38" borderId="11" xfId="6" applyNumberFormat="1" applyFont="1" applyFill="1" applyBorder="1" applyAlignment="1">
      <alignment horizontal="center" vertical="center" wrapText="1"/>
    </xf>
    <xf numFmtId="41" fontId="18" fillId="38" borderId="10" xfId="0" applyNumberFormat="1" applyFont="1" applyFill="1" applyBorder="1" applyAlignment="1">
      <alignment horizontal="left" vertical="center" wrapText="1"/>
    </xf>
    <xf numFmtId="41" fontId="134" fillId="38" borderId="10" xfId="0" applyNumberFormat="1" applyFont="1" applyFill="1" applyBorder="1" applyAlignment="1">
      <alignment horizontal="left" vertical="center" wrapText="1"/>
    </xf>
    <xf numFmtId="41" fontId="18" fillId="0" borderId="11" xfId="6" applyNumberFormat="1" applyFont="1" applyFill="1" applyBorder="1" applyAlignment="1">
      <alignment horizontal="left" vertical="center" wrapText="1"/>
    </xf>
    <xf numFmtId="41" fontId="18" fillId="0" borderId="11" xfId="0" applyNumberFormat="1" applyFont="1" applyBorder="1" applyAlignment="1">
      <alignment horizontal="center" vertical="center" wrapText="1"/>
    </xf>
    <xf numFmtId="41" fontId="18" fillId="14" borderId="11" xfId="6" applyNumberFormat="1" applyFont="1" applyFill="1" applyBorder="1" applyAlignment="1">
      <alignment horizontal="center" vertical="center" wrapText="1"/>
    </xf>
    <xf numFmtId="41" fontId="134" fillId="14" borderId="11" xfId="6" applyNumberFormat="1" applyFont="1" applyFill="1" applyBorder="1" applyAlignment="1">
      <alignment horizontal="center" vertical="center" wrapText="1"/>
    </xf>
    <xf numFmtId="41" fontId="18" fillId="0" borderId="0" xfId="6" applyNumberFormat="1" applyFont="1" applyFill="1" applyBorder="1" applyAlignment="1">
      <alignment horizontal="left" vertical="center" wrapText="1"/>
    </xf>
    <xf numFmtId="41" fontId="18" fillId="0" borderId="0" xfId="6" applyNumberFormat="1" applyFont="1" applyFill="1" applyBorder="1" applyAlignment="1">
      <alignment horizontal="center" vertical="center" wrapText="1"/>
    </xf>
    <xf numFmtId="41" fontId="18" fillId="0" borderId="56" xfId="6" applyNumberFormat="1" applyFont="1" applyFill="1" applyBorder="1" applyAlignment="1">
      <alignment horizontal="center" vertical="center" wrapText="1"/>
    </xf>
    <xf numFmtId="41" fontId="18" fillId="38" borderId="11" xfId="0" applyNumberFormat="1" applyFont="1" applyFill="1" applyBorder="1" applyAlignment="1">
      <alignment horizontal="center" vertical="center" wrapText="1"/>
    </xf>
    <xf numFmtId="41" fontId="134" fillId="38" borderId="11" xfId="0" applyNumberFormat="1" applyFont="1" applyFill="1" applyBorder="1" applyAlignment="1">
      <alignment horizontal="center" vertical="center" wrapText="1"/>
    </xf>
    <xf numFmtId="41" fontId="18" fillId="38" borderId="11" xfId="6" applyNumberFormat="1" applyFont="1" applyFill="1" applyBorder="1" applyAlignment="1">
      <alignment horizontal="left" vertical="center" wrapText="1"/>
    </xf>
    <xf numFmtId="41" fontId="134" fillId="38" borderId="11" xfId="6" applyNumberFormat="1" applyFont="1" applyFill="1" applyBorder="1" applyAlignment="1">
      <alignment horizontal="left" vertical="center" wrapText="1"/>
    </xf>
    <xf numFmtId="0" fontId="23" fillId="0" borderId="11" xfId="10" applyFont="1" applyFill="1" applyBorder="1" applyAlignment="1">
      <alignment horizontal="center" vertical="center" wrapText="1"/>
    </xf>
    <xf numFmtId="41" fontId="24" fillId="0" borderId="11" xfId="6" applyNumberFormat="1" applyFont="1" applyFill="1" applyBorder="1" applyAlignment="1">
      <alignment vertical="center" wrapText="1"/>
    </xf>
    <xf numFmtId="41" fontId="18" fillId="38" borderId="56" xfId="6" applyNumberFormat="1" applyFont="1" applyFill="1" applyBorder="1" applyAlignment="1">
      <alignment horizontal="center" vertical="center" wrapText="1"/>
    </xf>
    <xf numFmtId="41" fontId="134" fillId="38" borderId="56" xfId="6" applyNumberFormat="1" applyFont="1" applyFill="1" applyBorder="1" applyAlignment="1">
      <alignment horizontal="center" vertical="center" wrapText="1"/>
    </xf>
    <xf numFmtId="41" fontId="18" fillId="34" borderId="56" xfId="6" applyNumberFormat="1" applyFont="1" applyFill="1" applyBorder="1" applyAlignment="1">
      <alignment horizontal="center" vertical="center" wrapText="1"/>
    </xf>
    <xf numFmtId="0" fontId="55" fillId="0" borderId="81" xfId="0" applyFont="1" applyBorder="1"/>
    <xf numFmtId="0" fontId="79" fillId="39" borderId="37" xfId="0" applyFont="1" applyFill="1" applyBorder="1" applyAlignment="1">
      <alignment horizontal="right" vertical="center" wrapText="1"/>
    </xf>
    <xf numFmtId="0" fontId="79" fillId="39" borderId="38" xfId="0" applyFont="1" applyFill="1" applyBorder="1" applyAlignment="1">
      <alignment horizontal="right" vertical="center" wrapText="1"/>
    </xf>
    <xf numFmtId="171" fontId="52" fillId="0" borderId="0" xfId="6" applyNumberFormat="1" applyFont="1"/>
    <xf numFmtId="0" fontId="79" fillId="26" borderId="37" xfId="0" applyFont="1" applyFill="1" applyBorder="1" applyAlignment="1">
      <alignment horizontal="right" vertical="center" wrapText="1"/>
    </xf>
    <xf numFmtId="177" fontId="78" fillId="14" borderId="16" xfId="6" applyNumberFormat="1" applyFont="1" applyFill="1" applyBorder="1" applyAlignment="1">
      <alignment vertical="center" wrapText="1"/>
    </xf>
    <xf numFmtId="166" fontId="25" fillId="12" borderId="12" xfId="6" applyNumberFormat="1" applyFont="1" applyFill="1" applyBorder="1" applyAlignment="1">
      <alignment vertical="center"/>
    </xf>
    <xf numFmtId="0" fontId="56" fillId="36" borderId="37" xfId="0" applyFont="1" applyFill="1" applyBorder="1" applyAlignment="1">
      <alignment vertical="center" wrapText="1"/>
    </xf>
    <xf numFmtId="0" fontId="56" fillId="40" borderId="37" xfId="0" applyFont="1" applyFill="1" applyBorder="1" applyAlignment="1">
      <alignment horizontal="center"/>
    </xf>
    <xf numFmtId="0" fontId="56" fillId="36" borderId="37" xfId="0" applyFont="1" applyFill="1" applyBorder="1" applyAlignment="1">
      <alignment horizontal="center"/>
    </xf>
    <xf numFmtId="170" fontId="82" fillId="0" borderId="15" xfId="9" applyNumberFormat="1" applyFont="1" applyBorder="1"/>
    <xf numFmtId="170" fontId="82" fillId="0" borderId="16" xfId="9" applyNumberFormat="1" applyFont="1" applyBorder="1"/>
    <xf numFmtId="170" fontId="82" fillId="18" borderId="18" xfId="6" applyNumberFormat="1" applyFont="1" applyFill="1" applyBorder="1"/>
    <xf numFmtId="178" fontId="79" fillId="0" borderId="20" xfId="6" applyNumberFormat="1" applyFont="1" applyBorder="1"/>
    <xf numFmtId="178" fontId="79" fillId="0" borderId="22" xfId="6" applyNumberFormat="1" applyFont="1" applyBorder="1"/>
    <xf numFmtId="0" fontId="13" fillId="36" borderId="0" xfId="0" applyFont="1" applyFill="1"/>
    <xf numFmtId="0" fontId="13" fillId="36" borderId="0" xfId="0" applyFont="1" applyFill="1" applyAlignment="1">
      <alignment horizontal="right"/>
    </xf>
    <xf numFmtId="174" fontId="105" fillId="31" borderId="1" xfId="12" applyNumberFormat="1" applyFont="1" applyFill="1" applyBorder="1" applyAlignment="1">
      <alignment horizontal="center" vertical="center"/>
    </xf>
    <xf numFmtId="0" fontId="105" fillId="31" borderId="1" xfId="0" applyFont="1" applyFill="1" applyBorder="1" applyAlignment="1">
      <alignment horizontal="center" vertical="center"/>
    </xf>
    <xf numFmtId="174" fontId="109" fillId="0" borderId="1" xfId="0" applyNumberFormat="1" applyFont="1" applyBorder="1"/>
    <xf numFmtId="0" fontId="135" fillId="0" borderId="0" xfId="0" applyFont="1"/>
    <xf numFmtId="174" fontId="135" fillId="0" borderId="0" xfId="0" applyNumberFormat="1" applyFont="1"/>
    <xf numFmtId="49" fontId="136" fillId="0" borderId="0" xfId="0" applyNumberFormat="1" applyFont="1" applyAlignment="1">
      <alignment horizontal="left"/>
    </xf>
    <xf numFmtId="0" fontId="137" fillId="0" borderId="0" xfId="0" applyFont="1"/>
    <xf numFmtId="0" fontId="137" fillId="0" borderId="0" xfId="0" applyFont="1" applyAlignment="1">
      <alignment horizontal="center"/>
    </xf>
    <xf numFmtId="174" fontId="137" fillId="0" borderId="0" xfId="0" applyNumberFormat="1" applyFont="1"/>
    <xf numFmtId="174" fontId="117" fillId="41" borderId="91" xfId="12" applyNumberFormat="1" applyFont="1" applyFill="1" applyBorder="1" applyAlignment="1">
      <alignment horizontal="center" vertical="center" wrapText="1"/>
    </xf>
    <xf numFmtId="174" fontId="117" fillId="42" borderId="3" xfId="12" applyNumberFormat="1" applyFont="1" applyFill="1" applyBorder="1" applyAlignment="1">
      <alignment horizontal="center" vertical="center" wrapText="1"/>
    </xf>
    <xf numFmtId="174" fontId="117" fillId="42" borderId="1" xfId="12" applyNumberFormat="1" applyFont="1" applyFill="1" applyBorder="1" applyAlignment="1">
      <alignment horizontal="center" vertical="center" wrapText="1"/>
    </xf>
    <xf numFmtId="174" fontId="117" fillId="42" borderId="2" xfId="12" applyNumberFormat="1" applyFont="1" applyFill="1" applyBorder="1" applyAlignment="1">
      <alignment horizontal="center" vertical="center" wrapText="1"/>
    </xf>
    <xf numFmtId="174" fontId="117" fillId="42" borderId="91" xfId="12" applyNumberFormat="1" applyFont="1" applyFill="1" applyBorder="1" applyAlignment="1">
      <alignment horizontal="center" vertical="center" wrapText="1"/>
    </xf>
    <xf numFmtId="174" fontId="117" fillId="33" borderId="3" xfId="12" applyNumberFormat="1" applyFont="1" applyFill="1" applyBorder="1" applyAlignment="1">
      <alignment horizontal="center" vertical="center" wrapText="1"/>
    </xf>
    <xf numFmtId="174" fontId="117" fillId="33" borderId="2" xfId="12" applyNumberFormat="1" applyFont="1" applyFill="1" applyBorder="1" applyAlignment="1">
      <alignment horizontal="center" vertical="center" wrapText="1"/>
    </xf>
    <xf numFmtId="174" fontId="117" fillId="33" borderId="91" xfId="12" applyNumberFormat="1" applyFont="1" applyFill="1" applyBorder="1" applyAlignment="1">
      <alignment horizontal="center" vertical="center" wrapText="1"/>
    </xf>
    <xf numFmtId="174" fontId="120" fillId="28" borderId="2" xfId="12" applyNumberFormat="1" applyFont="1" applyFill="1" applyBorder="1" applyAlignment="1">
      <alignment horizontal="left" vertical="center"/>
    </xf>
    <xf numFmtId="174" fontId="120" fillId="28" borderId="92" xfId="12" applyNumberFormat="1" applyFont="1" applyFill="1" applyBorder="1" applyAlignment="1">
      <alignment horizontal="left" vertical="center"/>
    </xf>
    <xf numFmtId="174" fontId="120" fillId="28" borderId="3" xfId="12" applyNumberFormat="1" applyFont="1" applyFill="1" applyBorder="1" applyAlignment="1">
      <alignment horizontal="left" vertical="center"/>
    </xf>
    <xf numFmtId="174" fontId="121" fillId="0" borderId="19" xfId="12" applyNumberFormat="1" applyFont="1" applyBorder="1" applyAlignment="1">
      <alignment vertical="center"/>
    </xf>
    <xf numFmtId="174" fontId="121" fillId="0" borderId="93" xfId="12" applyNumberFormat="1" applyFont="1" applyBorder="1" applyAlignment="1">
      <alignment vertical="center"/>
    </xf>
    <xf numFmtId="174" fontId="121" fillId="0" borderId="20" xfId="12" applyNumberFormat="1" applyFont="1" applyBorder="1" applyAlignment="1">
      <alignment vertical="center"/>
    </xf>
    <xf numFmtId="174" fontId="121" fillId="0" borderId="21" xfId="12" applyNumberFormat="1" applyFont="1" applyBorder="1" applyAlignment="1">
      <alignment vertical="center"/>
    </xf>
    <xf numFmtId="174" fontId="121" fillId="0" borderId="94" xfId="12" applyNumberFormat="1" applyFont="1" applyBorder="1" applyAlignment="1">
      <alignment vertical="center"/>
    </xf>
    <xf numFmtId="174" fontId="121" fillId="0" borderId="22" xfId="12" applyNumberFormat="1" applyFont="1" applyBorder="1" applyAlignment="1">
      <alignment vertical="center"/>
    </xf>
    <xf numFmtId="174" fontId="121" fillId="0" borderId="95" xfId="12" applyNumberFormat="1" applyFont="1" applyBorder="1" applyAlignment="1">
      <alignment vertical="center"/>
    </xf>
    <xf numFmtId="174" fontId="121" fillId="0" borderId="96" xfId="12" applyNumberFormat="1" applyFont="1" applyBorder="1" applyAlignment="1">
      <alignment vertical="center"/>
    </xf>
    <xf numFmtId="174" fontId="121" fillId="0" borderId="97" xfId="12" applyNumberFormat="1" applyFont="1" applyBorder="1" applyAlignment="1">
      <alignment vertical="center"/>
    </xf>
    <xf numFmtId="9" fontId="112" fillId="0" borderId="0" xfId="9" applyFont="1" applyAlignment="1">
      <alignment vertical="center"/>
    </xf>
    <xf numFmtId="174" fontId="121" fillId="0" borderId="23" xfId="12" applyNumberFormat="1" applyFont="1" applyBorder="1" applyAlignment="1">
      <alignment vertical="center"/>
    </xf>
    <xf numFmtId="174" fontId="121" fillId="0" borderId="98" xfId="12" applyNumberFormat="1" applyFont="1" applyBorder="1" applyAlignment="1">
      <alignment vertical="center"/>
    </xf>
    <xf numFmtId="174" fontId="121" fillId="0" borderId="24" xfId="12" applyNumberFormat="1" applyFont="1" applyBorder="1" applyAlignment="1">
      <alignment vertical="center"/>
    </xf>
    <xf numFmtId="174" fontId="122" fillId="0" borderId="2" xfId="12" applyNumberFormat="1" applyFont="1" applyBorder="1" applyAlignment="1">
      <alignment vertical="center"/>
    </xf>
    <xf numFmtId="174" fontId="122" fillId="0" borderId="92" xfId="12" applyNumberFormat="1" applyFont="1" applyBorder="1" applyAlignment="1">
      <alignment vertical="center"/>
    </xf>
    <xf numFmtId="174" fontId="122" fillId="0" borderId="3" xfId="12" applyNumberFormat="1" applyFont="1" applyBorder="1" applyAlignment="1">
      <alignment vertical="center"/>
    </xf>
    <xf numFmtId="0" fontId="116" fillId="5" borderId="0" xfId="0" applyFont="1" applyFill="1" applyAlignment="1">
      <alignment horizontal="center"/>
    </xf>
    <xf numFmtId="174" fontId="122" fillId="0" borderId="18" xfId="12" applyNumberFormat="1" applyFont="1" applyBorder="1" applyAlignment="1">
      <alignment vertical="center"/>
    </xf>
    <xf numFmtId="174" fontId="122" fillId="0" borderId="7" xfId="12" applyNumberFormat="1" applyFont="1" applyBorder="1" applyAlignment="1">
      <alignment vertical="center"/>
    </xf>
    <xf numFmtId="9" fontId="112" fillId="0" borderId="2" xfId="9" applyFont="1" applyBorder="1" applyAlignment="1">
      <alignment horizontal="left" vertical="top" wrapText="1"/>
    </xf>
    <xf numFmtId="9" fontId="112" fillId="0" borderId="50" xfId="9" applyFont="1" applyBorder="1" applyAlignment="1">
      <alignment horizontal="left" vertical="top" wrapText="1"/>
    </xf>
    <xf numFmtId="9" fontId="112" fillId="0" borderId="3" xfId="9" applyFont="1" applyBorder="1" applyAlignment="1">
      <alignment horizontal="left" vertical="top" wrapText="1"/>
    </xf>
    <xf numFmtId="174" fontId="120" fillId="0" borderId="23" xfId="12" applyNumberFormat="1" applyFont="1" applyBorder="1" applyAlignment="1">
      <alignment vertical="center"/>
    </xf>
    <xf numFmtId="174" fontId="123" fillId="0" borderId="92" xfId="0" applyNumberFormat="1" applyFont="1" applyBorder="1" applyAlignment="1">
      <alignment vertical="center"/>
    </xf>
    <xf numFmtId="174" fontId="120" fillId="0" borderId="3" xfId="12" applyNumberFormat="1" applyFont="1" applyBorder="1" applyAlignment="1">
      <alignment vertical="center"/>
    </xf>
    <xf numFmtId="174" fontId="120" fillId="0" borderId="2" xfId="12" applyNumberFormat="1" applyFont="1" applyBorder="1" applyAlignment="1">
      <alignment vertical="center"/>
    </xf>
    <xf numFmtId="174" fontId="120" fillId="0" borderId="92" xfId="12" applyNumberFormat="1" applyFont="1" applyBorder="1" applyAlignment="1">
      <alignment vertical="center"/>
    </xf>
    <xf numFmtId="174" fontId="123" fillId="0" borderId="3" xfId="0" applyNumberFormat="1" applyFont="1" applyBorder="1" applyAlignment="1">
      <alignment vertical="center"/>
    </xf>
    <xf numFmtId="174" fontId="123" fillId="0" borderId="2" xfId="0" applyNumberFormat="1" applyFont="1" applyBorder="1" applyAlignment="1">
      <alignment vertical="center"/>
    </xf>
    <xf numFmtId="174" fontId="123" fillId="0" borderId="2" xfId="0" applyNumberFormat="1" applyFont="1" applyBorder="1" applyAlignment="1">
      <alignment horizontal="center" vertical="center"/>
    </xf>
    <xf numFmtId="174" fontId="120" fillId="0" borderId="99" xfId="12" applyNumberFormat="1" applyFont="1" applyBorder="1" applyAlignment="1">
      <alignment vertical="center"/>
    </xf>
    <xf numFmtId="174" fontId="120" fillId="0" borderId="24" xfId="12" applyNumberFormat="1" applyFont="1" applyBorder="1" applyAlignment="1">
      <alignment vertical="center"/>
    </xf>
    <xf numFmtId="174" fontId="120" fillId="0" borderId="18" xfId="12" applyNumberFormat="1" applyFont="1" applyBorder="1" applyAlignment="1">
      <alignment vertical="center"/>
    </xf>
    <xf numFmtId="174" fontId="120" fillId="0" borderId="7" xfId="12" applyNumberFormat="1" applyFont="1" applyBorder="1" applyAlignment="1">
      <alignment vertical="center"/>
    </xf>
    <xf numFmtId="174" fontId="120" fillId="0" borderId="100" xfId="12" applyNumberFormat="1" applyFont="1" applyBorder="1" applyAlignment="1">
      <alignment vertical="center"/>
    </xf>
    <xf numFmtId="49" fontId="117" fillId="43" borderId="101" xfId="12" applyNumberFormat="1" applyFont="1" applyFill="1" applyBorder="1" applyAlignment="1">
      <alignment horizontal="center" vertical="center" wrapText="1"/>
    </xf>
    <xf numFmtId="49" fontId="117" fillId="43" borderId="102" xfId="12" applyNumberFormat="1" applyFont="1" applyFill="1" applyBorder="1" applyAlignment="1">
      <alignment horizontal="center" vertical="center" wrapText="1"/>
    </xf>
    <xf numFmtId="174" fontId="117" fillId="43" borderId="103" xfId="12" applyNumberFormat="1" applyFont="1" applyFill="1" applyBorder="1" applyAlignment="1">
      <alignment horizontal="center" vertical="center" wrapText="1"/>
    </xf>
    <xf numFmtId="171" fontId="120" fillId="28" borderId="1" xfId="6" applyNumberFormat="1" applyFont="1" applyFill="1" applyBorder="1" applyAlignment="1">
      <alignment horizontal="left" vertical="center"/>
    </xf>
    <xf numFmtId="171" fontId="120" fillId="28" borderId="92" xfId="6" applyNumberFormat="1" applyFont="1" applyFill="1" applyBorder="1" applyAlignment="1">
      <alignment horizontal="left" vertical="center"/>
    </xf>
    <xf numFmtId="171" fontId="120" fillId="28" borderId="3" xfId="6" applyNumberFormat="1" applyFont="1" applyFill="1" applyBorder="1" applyAlignment="1">
      <alignment horizontal="left" vertical="center"/>
    </xf>
    <xf numFmtId="171" fontId="120" fillId="28" borderId="2" xfId="6" applyNumberFormat="1" applyFont="1" applyFill="1" applyBorder="1" applyAlignment="1">
      <alignment horizontal="left" vertical="center"/>
    </xf>
    <xf numFmtId="175" fontId="120" fillId="15" borderId="3" xfId="6" applyNumberFormat="1" applyFont="1" applyFill="1" applyBorder="1" applyAlignment="1">
      <alignment horizontal="right" vertical="center"/>
    </xf>
    <xf numFmtId="168" fontId="120" fillId="28" borderId="104" xfId="9" applyNumberFormat="1" applyFont="1" applyFill="1" applyBorder="1" applyAlignment="1">
      <alignment horizontal="right" vertical="center"/>
    </xf>
    <xf numFmtId="168" fontId="120" fillId="28" borderId="1" xfId="9" applyNumberFormat="1" applyFont="1" applyFill="1" applyBorder="1" applyAlignment="1">
      <alignment horizontal="right" vertical="center"/>
    </xf>
    <xf numFmtId="168" fontId="120" fillId="28" borderId="105" xfId="9" applyNumberFormat="1" applyFont="1" applyFill="1" applyBorder="1" applyAlignment="1">
      <alignment horizontal="right" vertical="center"/>
    </xf>
    <xf numFmtId="168" fontId="121" fillId="15" borderId="20" xfId="6" applyNumberFormat="1" applyFont="1" applyFill="1" applyBorder="1" applyAlignment="1">
      <alignment horizontal="right" vertical="center"/>
    </xf>
    <xf numFmtId="168" fontId="121" fillId="15" borderId="106" xfId="6" applyNumberFormat="1" applyFont="1" applyFill="1" applyBorder="1" applyAlignment="1">
      <alignment horizontal="right" vertical="center"/>
    </xf>
    <xf numFmtId="174" fontId="120" fillId="28" borderId="1" xfId="12" applyNumberFormat="1" applyFont="1" applyFill="1" applyBorder="1" applyAlignment="1">
      <alignment horizontal="left" vertical="center" wrapText="1"/>
    </xf>
    <xf numFmtId="43" fontId="121" fillId="0" borderId="16" xfId="6" applyFont="1" applyBorder="1" applyAlignment="1">
      <alignment vertical="center"/>
    </xf>
    <xf numFmtId="43" fontId="121" fillId="0" borderId="93" xfId="6" applyFont="1" applyBorder="1" applyAlignment="1">
      <alignment vertical="center"/>
    </xf>
    <xf numFmtId="43" fontId="121" fillId="0" borderId="20" xfId="6" applyFont="1" applyBorder="1" applyAlignment="1">
      <alignment vertical="center"/>
    </xf>
    <xf numFmtId="43" fontId="121" fillId="0" borderId="53" xfId="6" applyFont="1" applyBorder="1" applyAlignment="1">
      <alignment vertical="center"/>
    </xf>
    <xf numFmtId="43" fontId="121" fillId="0" borderId="97" xfId="6" applyFont="1" applyBorder="1" applyAlignment="1">
      <alignment vertical="center"/>
    </xf>
    <xf numFmtId="43" fontId="121" fillId="0" borderId="94" xfId="6" applyFont="1" applyBorder="1" applyAlignment="1">
      <alignment vertical="center"/>
    </xf>
    <xf numFmtId="43" fontId="121" fillId="0" borderId="15" xfId="6" applyFont="1" applyBorder="1" applyAlignment="1">
      <alignment vertical="center"/>
    </xf>
    <xf numFmtId="43" fontId="121" fillId="0" borderId="19" xfId="6" applyFont="1" applyBorder="1" applyAlignment="1">
      <alignment vertical="center"/>
    </xf>
    <xf numFmtId="4" fontId="121" fillId="0" borderId="22" xfId="6" applyNumberFormat="1" applyFont="1" applyBorder="1" applyAlignment="1">
      <alignment horizontal="right" vertical="center"/>
    </xf>
    <xf numFmtId="168" fontId="121" fillId="0" borderId="107" xfId="9" applyNumberFormat="1" applyFont="1" applyBorder="1" applyAlignment="1">
      <alignment horizontal="right" vertical="center"/>
    </xf>
    <xf numFmtId="168" fontId="121" fillId="0" borderId="15" xfId="9" applyNumberFormat="1" applyFont="1" applyBorder="1" applyAlignment="1">
      <alignment horizontal="right" vertical="center"/>
    </xf>
    <xf numFmtId="168" fontId="121" fillId="0" borderId="108" xfId="9" applyNumberFormat="1" applyFont="1" applyBorder="1" applyAlignment="1">
      <alignment horizontal="right" vertical="center"/>
    </xf>
    <xf numFmtId="168" fontId="121" fillId="0" borderId="20" xfId="6" applyNumberFormat="1" applyFont="1" applyBorder="1" applyAlignment="1">
      <alignment horizontal="right" vertical="center"/>
    </xf>
    <xf numFmtId="174" fontId="112" fillId="0" borderId="15" xfId="0" applyNumberFormat="1" applyFont="1" applyBorder="1" applyAlignment="1">
      <alignment vertical="center"/>
    </xf>
    <xf numFmtId="43" fontId="121" fillId="0" borderId="16" xfId="6" applyFont="1" applyFill="1" applyBorder="1" applyAlignment="1">
      <alignment vertical="center"/>
    </xf>
    <xf numFmtId="43" fontId="121" fillId="0" borderId="95" xfId="6" applyFont="1" applyBorder="1" applyAlignment="1">
      <alignment vertical="center"/>
    </xf>
    <xf numFmtId="43" fontId="121" fillId="0" borderId="22" xfId="6" applyFont="1" applyBorder="1" applyAlignment="1">
      <alignment vertical="center"/>
    </xf>
    <xf numFmtId="43" fontId="121" fillId="0" borderId="21" xfId="6" applyFont="1" applyBorder="1" applyAlignment="1">
      <alignment vertical="center"/>
    </xf>
    <xf numFmtId="168" fontId="121" fillId="0" borderId="109" xfId="9" applyNumberFormat="1" applyFont="1" applyBorder="1" applyAlignment="1">
      <alignment horizontal="right" vertical="center"/>
    </xf>
    <xf numFmtId="168" fontId="121" fillId="0" borderId="16" xfId="9" applyNumberFormat="1" applyFont="1" applyBorder="1" applyAlignment="1">
      <alignment horizontal="right" vertical="center"/>
    </xf>
    <xf numFmtId="168" fontId="121" fillId="0" borderId="110" xfId="9" applyNumberFormat="1" applyFont="1" applyBorder="1" applyAlignment="1">
      <alignment horizontal="right" vertical="center"/>
    </xf>
    <xf numFmtId="168" fontId="121" fillId="0" borderId="22" xfId="6" applyNumberFormat="1" applyFont="1" applyBorder="1" applyAlignment="1">
      <alignment horizontal="right" vertical="center"/>
    </xf>
    <xf numFmtId="174" fontId="123" fillId="0" borderId="16" xfId="0" applyNumberFormat="1" applyFont="1" applyBorder="1" applyAlignment="1">
      <alignment vertical="center"/>
    </xf>
    <xf numFmtId="43" fontId="121" fillId="0" borderId="17" xfId="6" applyFont="1" applyBorder="1" applyAlignment="1">
      <alignment vertical="center"/>
    </xf>
    <xf numFmtId="43" fontId="121" fillId="0" borderId="98" xfId="6" applyFont="1" applyBorder="1" applyAlignment="1">
      <alignment vertical="center"/>
    </xf>
    <xf numFmtId="43" fontId="121" fillId="0" borderId="24" xfId="6" applyFont="1" applyBorder="1" applyAlignment="1">
      <alignment vertical="center"/>
    </xf>
    <xf numFmtId="43" fontId="121" fillId="0" borderId="52" xfId="6" applyFont="1" applyBorder="1" applyAlignment="1">
      <alignment vertical="center"/>
    </xf>
    <xf numFmtId="43" fontId="121" fillId="0" borderId="111" xfId="6" applyFont="1" applyBorder="1" applyAlignment="1">
      <alignment vertical="center"/>
    </xf>
    <xf numFmtId="43" fontId="121" fillId="0" borderId="112" xfId="6" applyFont="1" applyBorder="1" applyAlignment="1">
      <alignment vertical="center"/>
    </xf>
    <xf numFmtId="43" fontId="121" fillId="0" borderId="23" xfId="6" applyFont="1" applyBorder="1" applyAlignment="1">
      <alignment vertical="center"/>
    </xf>
    <xf numFmtId="4" fontId="121" fillId="0" borderId="113" xfId="6" applyNumberFormat="1" applyFont="1" applyBorder="1" applyAlignment="1">
      <alignment horizontal="right" vertical="center"/>
    </xf>
    <xf numFmtId="168" fontId="121" fillId="0" borderId="114" xfId="9" applyNumberFormat="1" applyFont="1" applyBorder="1" applyAlignment="1">
      <alignment horizontal="right" vertical="center"/>
    </xf>
    <xf numFmtId="168" fontId="121" fillId="0" borderId="17" xfId="9" applyNumberFormat="1" applyFont="1" applyBorder="1" applyAlignment="1">
      <alignment horizontal="right" vertical="center"/>
    </xf>
    <xf numFmtId="168" fontId="121" fillId="0" borderId="115" xfId="9" applyNumberFormat="1" applyFont="1" applyBorder="1" applyAlignment="1">
      <alignment horizontal="right" vertical="center"/>
    </xf>
    <xf numFmtId="168" fontId="121" fillId="0" borderId="24" xfId="6" applyNumberFormat="1" applyFont="1" applyBorder="1" applyAlignment="1">
      <alignment horizontal="right" vertical="center"/>
    </xf>
    <xf numFmtId="174" fontId="123" fillId="0" borderId="17" xfId="0" applyNumberFormat="1" applyFont="1" applyBorder="1" applyAlignment="1">
      <alignment vertical="center"/>
    </xf>
    <xf numFmtId="4" fontId="121" fillId="0" borderId="20" xfId="6" applyNumberFormat="1" applyFont="1" applyBorder="1" applyAlignment="1">
      <alignment horizontal="right" vertical="center"/>
    </xf>
    <xf numFmtId="174" fontId="123" fillId="0" borderId="15" xfId="0" applyNumberFormat="1" applyFont="1" applyBorder="1" applyAlignment="1">
      <alignment vertical="center"/>
    </xf>
    <xf numFmtId="4" fontId="121" fillId="0" borderId="24" xfId="6" applyNumberFormat="1" applyFont="1" applyBorder="1" applyAlignment="1">
      <alignment horizontal="right" vertical="center"/>
    </xf>
    <xf numFmtId="0" fontId="122" fillId="28" borderId="1" xfId="0" applyFont="1" applyFill="1" applyBorder="1" applyAlignment="1">
      <alignment horizontal="left" vertical="center"/>
    </xf>
    <xf numFmtId="0" fontId="127" fillId="0" borderId="0" xfId="0" applyFont="1" applyAlignment="1">
      <alignment vertical="center"/>
    </xf>
    <xf numFmtId="171" fontId="122" fillId="28" borderId="1" xfId="6" applyNumberFormat="1" applyFont="1" applyFill="1" applyBorder="1" applyAlignment="1">
      <alignment horizontal="left" vertical="center"/>
    </xf>
    <xf numFmtId="171" fontId="122" fillId="28" borderId="92" xfId="6" applyNumberFormat="1" applyFont="1" applyFill="1" applyBorder="1" applyAlignment="1">
      <alignment horizontal="left" vertical="center"/>
    </xf>
    <xf numFmtId="171" fontId="122" fillId="28" borderId="3" xfId="6" applyNumberFormat="1" applyFont="1" applyFill="1" applyBorder="1" applyAlignment="1">
      <alignment horizontal="left" vertical="center"/>
    </xf>
    <xf numFmtId="171" fontId="122" fillId="28" borderId="2" xfId="6" applyNumberFormat="1" applyFont="1" applyFill="1" applyBorder="1" applyAlignment="1">
      <alignment horizontal="left" vertical="center"/>
    </xf>
    <xf numFmtId="4" fontId="122" fillId="28" borderId="3" xfId="6" applyNumberFormat="1" applyFont="1" applyFill="1" applyBorder="1" applyAlignment="1">
      <alignment horizontal="right" vertical="center"/>
    </xf>
    <xf numFmtId="168" fontId="122" fillId="28" borderId="104" xfId="9" applyNumberFormat="1" applyFont="1" applyFill="1" applyBorder="1" applyAlignment="1">
      <alignment horizontal="right" vertical="center"/>
    </xf>
    <xf numFmtId="168" fontId="122" fillId="28" borderId="1" xfId="9" applyNumberFormat="1" applyFont="1" applyFill="1" applyBorder="1" applyAlignment="1">
      <alignment horizontal="right" vertical="center"/>
    </xf>
    <xf numFmtId="168" fontId="122" fillId="28" borderId="105" xfId="9" applyNumberFormat="1" applyFont="1" applyFill="1" applyBorder="1" applyAlignment="1">
      <alignment horizontal="right" vertical="center"/>
    </xf>
    <xf numFmtId="174" fontId="122" fillId="28" borderId="1" xfId="12" applyNumberFormat="1" applyFont="1" applyFill="1" applyBorder="1" applyAlignment="1">
      <alignment horizontal="left" vertical="center" wrapText="1"/>
    </xf>
    <xf numFmtId="0" fontId="127" fillId="0" borderId="4" xfId="0" applyFont="1" applyBorder="1" applyAlignment="1">
      <alignment vertical="center"/>
    </xf>
    <xf numFmtId="171" fontId="122" fillId="28" borderId="18" xfId="6" applyNumberFormat="1" applyFont="1" applyFill="1" applyBorder="1" applyAlignment="1">
      <alignment horizontal="left" vertical="center"/>
    </xf>
    <xf numFmtId="168" fontId="122" fillId="28" borderId="116" xfId="9" applyNumberFormat="1" applyFont="1" applyFill="1" applyBorder="1" applyAlignment="1">
      <alignment horizontal="right" vertical="center"/>
    </xf>
    <xf numFmtId="168" fontId="122" fillId="28" borderId="18" xfId="9" applyNumberFormat="1" applyFont="1" applyFill="1" applyBorder="1" applyAlignment="1">
      <alignment horizontal="right" vertical="center"/>
    </xf>
    <xf numFmtId="168" fontId="121" fillId="15" borderId="3" xfId="6" applyNumberFormat="1" applyFont="1" applyFill="1" applyBorder="1" applyAlignment="1">
      <alignment horizontal="right" vertical="center"/>
    </xf>
    <xf numFmtId="0" fontId="123" fillId="0" borderId="18" xfId="0" applyFont="1" applyBorder="1" applyAlignment="1">
      <alignment vertical="center"/>
    </xf>
    <xf numFmtId="174" fontId="123" fillId="0" borderId="117" xfId="0" applyNumberFormat="1" applyFont="1" applyBorder="1" applyAlignment="1">
      <alignment vertical="center"/>
    </xf>
    <xf numFmtId="174" fontId="120" fillId="0" borderId="5" xfId="12" applyNumberFormat="1" applyFont="1" applyBorder="1" applyAlignment="1">
      <alignment vertical="center"/>
    </xf>
    <xf numFmtId="174" fontId="120" fillId="0" borderId="117" xfId="12" applyNumberFormat="1" applyFont="1" applyBorder="1" applyAlignment="1">
      <alignment vertical="center"/>
    </xf>
    <xf numFmtId="174" fontId="123" fillId="0" borderId="5" xfId="0" applyNumberFormat="1" applyFont="1" applyBorder="1" applyAlignment="1">
      <alignment vertical="center"/>
    </xf>
    <xf numFmtId="174" fontId="123" fillId="0" borderId="18" xfId="0" applyNumberFormat="1" applyFont="1" applyBorder="1" applyAlignment="1">
      <alignment vertical="center"/>
    </xf>
    <xf numFmtId="174" fontId="123" fillId="0" borderId="7" xfId="0" applyNumberFormat="1" applyFont="1" applyBorder="1" applyAlignment="1">
      <alignment vertical="center"/>
    </xf>
    <xf numFmtId="3" fontId="123" fillId="0" borderId="5" xfId="0" applyNumberFormat="1" applyFont="1" applyBorder="1" applyAlignment="1">
      <alignment horizontal="right" vertical="center"/>
    </xf>
    <xf numFmtId="9" fontId="120" fillId="0" borderId="118" xfId="9" applyFont="1" applyBorder="1" applyAlignment="1">
      <alignment horizontal="right" vertical="center"/>
    </xf>
    <xf numFmtId="9" fontId="120" fillId="0" borderId="55" xfId="9" applyFont="1" applyBorder="1" applyAlignment="1">
      <alignment horizontal="right" vertical="center"/>
    </xf>
    <xf numFmtId="174" fontId="123" fillId="0" borderId="119" xfId="0" applyNumberFormat="1" applyFont="1" applyBorder="1" applyAlignment="1">
      <alignment vertical="center"/>
    </xf>
    <xf numFmtId="168" fontId="121" fillId="0" borderId="96" xfId="6" applyNumberFormat="1" applyFont="1" applyBorder="1" applyAlignment="1">
      <alignment horizontal="right" vertical="center"/>
    </xf>
    <xf numFmtId="168" fontId="121" fillId="0" borderId="120" xfId="6" applyNumberFormat="1" applyFont="1" applyBorder="1" applyAlignment="1">
      <alignment horizontal="right" vertical="center"/>
    </xf>
    <xf numFmtId="176" fontId="123" fillId="0" borderId="93" xfId="0" applyNumberFormat="1" applyFont="1" applyBorder="1" applyAlignment="1">
      <alignment horizontal="center" vertical="center"/>
    </xf>
    <xf numFmtId="176" fontId="123" fillId="0" borderId="20" xfId="0" applyNumberFormat="1" applyFont="1" applyBorder="1" applyAlignment="1">
      <alignment horizontal="center" vertical="center"/>
    </xf>
    <xf numFmtId="176" fontId="123" fillId="0" borderId="53" xfId="0" applyNumberFormat="1" applyFont="1" applyBorder="1" applyAlignment="1">
      <alignment horizontal="center" vertical="center"/>
    </xf>
    <xf numFmtId="176" fontId="123" fillId="0" borderId="97" xfId="0" applyNumberFormat="1" applyFont="1" applyBorder="1" applyAlignment="1">
      <alignment horizontal="center" vertical="center"/>
    </xf>
    <xf numFmtId="176" fontId="123" fillId="0" borderId="94" xfId="0" applyNumberFormat="1" applyFont="1" applyBorder="1" applyAlignment="1">
      <alignment horizontal="center" vertical="center"/>
    </xf>
    <xf numFmtId="176" fontId="123" fillId="0" borderId="19" xfId="0" applyNumberFormat="1" applyFont="1" applyBorder="1" applyAlignment="1">
      <alignment horizontal="center" vertical="center"/>
    </xf>
    <xf numFmtId="175" fontId="120" fillId="0" borderId="96" xfId="6" applyNumberFormat="1" applyFont="1" applyBorder="1" applyAlignment="1">
      <alignment horizontal="right" vertical="center"/>
    </xf>
    <xf numFmtId="9" fontId="123" fillId="0" borderId="107" xfId="9" applyFont="1" applyBorder="1" applyAlignment="1">
      <alignment vertical="center"/>
    </xf>
    <xf numFmtId="9" fontId="123" fillId="0" borderId="15" xfId="9" applyFont="1" applyBorder="1" applyAlignment="1">
      <alignment vertical="center"/>
    </xf>
    <xf numFmtId="9" fontId="123" fillId="0" borderId="108" xfId="9" applyFont="1" applyBorder="1" applyAlignment="1">
      <alignment vertical="center"/>
    </xf>
    <xf numFmtId="176" fontId="123" fillId="0" borderId="99" xfId="0" applyNumberFormat="1" applyFont="1" applyBorder="1" applyAlignment="1">
      <alignment horizontal="center" vertical="center"/>
    </xf>
    <xf numFmtId="176" fontId="123" fillId="0" borderId="24" xfId="0" applyNumberFormat="1" applyFont="1" applyBorder="1" applyAlignment="1">
      <alignment horizontal="center" vertical="center"/>
    </xf>
    <xf numFmtId="176" fontId="123" fillId="0" borderId="23" xfId="0" applyNumberFormat="1" applyFont="1" applyBorder="1" applyAlignment="1">
      <alignment horizontal="center" vertical="center"/>
    </xf>
    <xf numFmtId="175" fontId="120" fillId="0" borderId="24" xfId="6" applyNumberFormat="1" applyFont="1" applyBorder="1" applyAlignment="1">
      <alignment horizontal="right" vertical="center"/>
    </xf>
    <xf numFmtId="9" fontId="123" fillId="0" borderId="121" xfId="9" applyFont="1" applyBorder="1" applyAlignment="1">
      <alignment vertical="center"/>
    </xf>
    <xf numFmtId="9" fontId="123" fillId="0" borderId="122" xfId="9" applyFont="1" applyBorder="1" applyAlignment="1">
      <alignment vertical="center"/>
    </xf>
    <xf numFmtId="9" fontId="123" fillId="0" borderId="123" xfId="9" applyFont="1" applyBorder="1" applyAlignment="1">
      <alignment vertical="center"/>
    </xf>
    <xf numFmtId="168" fontId="121" fillId="0" borderId="3" xfId="6" applyNumberFormat="1" applyFont="1" applyBorder="1" applyAlignment="1">
      <alignment horizontal="right" vertical="center"/>
    </xf>
    <xf numFmtId="168" fontId="121" fillId="0" borderId="5" xfId="6" applyNumberFormat="1" applyFont="1" applyBorder="1" applyAlignment="1">
      <alignment horizontal="right" vertical="center"/>
    </xf>
    <xf numFmtId="174" fontId="117" fillId="41" borderId="1" xfId="12" applyNumberFormat="1" applyFont="1" applyFill="1" applyBorder="1" applyAlignment="1">
      <alignment horizontal="center" vertical="center" wrapText="1"/>
    </xf>
    <xf numFmtId="170" fontId="120" fillId="28" borderId="1" xfId="9" applyNumberFormat="1" applyFont="1" applyFill="1" applyBorder="1" applyAlignment="1">
      <alignment horizontal="center"/>
    </xf>
    <xf numFmtId="170" fontId="120" fillId="28" borderId="2" xfId="9" applyNumberFormat="1" applyFont="1" applyFill="1" applyBorder="1" applyAlignment="1">
      <alignment horizontal="center"/>
    </xf>
    <xf numFmtId="170" fontId="120" fillId="28" borderId="92" xfId="9" applyNumberFormat="1" applyFont="1" applyFill="1" applyBorder="1" applyAlignment="1">
      <alignment horizontal="center"/>
    </xf>
    <xf numFmtId="170" fontId="121" fillId="0" borderId="15" xfId="9" applyNumberFormat="1" applyFont="1" applyBorder="1"/>
    <xf numFmtId="170" fontId="121" fillId="0" borderId="19" xfId="9" applyNumberFormat="1" applyFont="1" applyBorder="1"/>
    <xf numFmtId="170" fontId="121" fillId="0" borderId="93" xfId="9" applyNumberFormat="1" applyFont="1" applyBorder="1"/>
    <xf numFmtId="170" fontId="121" fillId="0" borderId="16" xfId="9" applyNumberFormat="1" applyFont="1" applyBorder="1"/>
    <xf numFmtId="170" fontId="121" fillId="0" borderId="21" xfId="9" applyNumberFormat="1" applyFont="1" applyBorder="1"/>
    <xf numFmtId="170" fontId="121" fillId="0" borderId="95" xfId="9" applyNumberFormat="1" applyFont="1" applyBorder="1"/>
    <xf numFmtId="170" fontId="121" fillId="0" borderId="17" xfId="9" applyNumberFormat="1" applyFont="1" applyBorder="1"/>
    <xf numFmtId="170" fontId="121" fillId="0" borderId="23" xfId="9" applyNumberFormat="1" applyFont="1" applyBorder="1"/>
    <xf numFmtId="170" fontId="121" fillId="0" borderId="98" xfId="9" applyNumberFormat="1" applyFont="1" applyBorder="1"/>
    <xf numFmtId="170" fontId="122" fillId="28" borderId="1" xfId="9" applyNumberFormat="1" applyFont="1" applyFill="1" applyBorder="1" applyAlignment="1">
      <alignment horizontal="center"/>
    </xf>
    <xf numFmtId="170" fontId="122" fillId="28" borderId="2" xfId="9" applyNumberFormat="1" applyFont="1" applyFill="1" applyBorder="1" applyAlignment="1">
      <alignment horizontal="center"/>
    </xf>
    <xf numFmtId="170" fontId="122" fillId="28" borderId="124" xfId="9" applyNumberFormat="1" applyFont="1" applyFill="1" applyBorder="1" applyAlignment="1">
      <alignment horizontal="center"/>
    </xf>
    <xf numFmtId="168" fontId="79" fillId="0" borderId="16" xfId="0" applyNumberFormat="1" applyFont="1" applyBorder="1"/>
    <xf numFmtId="177" fontId="79" fillId="0" borderId="16" xfId="0" applyNumberFormat="1" applyFont="1" applyBorder="1"/>
    <xf numFmtId="170" fontId="79" fillId="0" borderId="16" xfId="0" applyNumberFormat="1" applyFont="1" applyBorder="1"/>
    <xf numFmtId="168" fontId="79" fillId="0" borderId="17" xfId="0" applyNumberFormat="1" applyFont="1" applyBorder="1"/>
    <xf numFmtId="166" fontId="79" fillId="0" borderId="53" xfId="0" applyNumberFormat="1" applyFont="1" applyBorder="1"/>
    <xf numFmtId="0" fontId="83" fillId="0" borderId="10" xfId="0" applyFont="1" applyBorder="1" applyAlignment="1">
      <alignment horizontal="center" vertical="center" wrapText="1"/>
    </xf>
    <xf numFmtId="0" fontId="83" fillId="0" borderId="11" xfId="0" applyFont="1" applyBorder="1" applyAlignment="1">
      <alignment horizontal="center" vertical="center" wrapText="1"/>
    </xf>
    <xf numFmtId="0" fontId="83" fillId="0" borderId="11" xfId="6" applyNumberFormat="1" applyFont="1" applyFill="1" applyBorder="1" applyAlignment="1">
      <alignment horizontal="center" vertical="center" wrapText="1"/>
    </xf>
    <xf numFmtId="0" fontId="83" fillId="14" borderId="11" xfId="6" applyNumberFormat="1" applyFont="1" applyFill="1" applyBorder="1" applyAlignment="1">
      <alignment horizontal="center" vertical="center" wrapText="1"/>
    </xf>
    <xf numFmtId="0" fontId="83" fillId="0" borderId="0" xfId="6" applyNumberFormat="1" applyFont="1" applyFill="1" applyBorder="1" applyAlignment="1">
      <alignment horizontal="center" vertical="center" wrapText="1"/>
    </xf>
    <xf numFmtId="0" fontId="83" fillId="0" borderId="56" xfId="6" applyNumberFormat="1" applyFont="1" applyFill="1" applyBorder="1" applyAlignment="1">
      <alignment horizontal="center" vertical="center" wrapText="1"/>
    </xf>
    <xf numFmtId="0" fontId="13" fillId="44" borderId="0" xfId="0" applyFont="1" applyFill="1"/>
    <xf numFmtId="0" fontId="13" fillId="44" borderId="0" xfId="0" applyFont="1" applyFill="1" applyAlignment="1">
      <alignment horizontal="right"/>
    </xf>
    <xf numFmtId="11" fontId="89" fillId="0" borderId="0" xfId="0" applyNumberFormat="1" applyFont="1"/>
    <xf numFmtId="11" fontId="0" fillId="0" borderId="0" xfId="0" applyNumberFormat="1"/>
    <xf numFmtId="0" fontId="84" fillId="45" borderId="0" xfId="0" applyFont="1" applyFill="1"/>
    <xf numFmtId="0" fontId="13" fillId="45" borderId="0" xfId="0" applyFont="1" applyFill="1" applyAlignment="1">
      <alignment horizontal="right"/>
    </xf>
    <xf numFmtId="9" fontId="0" fillId="0" borderId="0" xfId="0" applyNumberFormat="1"/>
    <xf numFmtId="166" fontId="0" fillId="12" borderId="0" xfId="6" applyNumberFormat="1" applyFont="1" applyFill="1"/>
    <xf numFmtId="166" fontId="0" fillId="12" borderId="0" xfId="0" applyNumberFormat="1" applyFill="1"/>
    <xf numFmtId="0" fontId="6" fillId="12" borderId="50" xfId="0" applyFont="1" applyFill="1" applyBorder="1"/>
    <xf numFmtId="166" fontId="6" fillId="12" borderId="50" xfId="0" applyNumberFormat="1" applyFont="1" applyFill="1" applyBorder="1"/>
    <xf numFmtId="168" fontId="8" fillId="0" borderId="0" xfId="7" applyNumberFormat="1" applyFont="1" applyAlignment="1">
      <alignment vertical="top"/>
    </xf>
    <xf numFmtId="168" fontId="4" fillId="12" borderId="0" xfId="7" applyNumberFormat="1" applyFill="1" applyAlignment="1">
      <alignment vertical="top"/>
    </xf>
    <xf numFmtId="168" fontId="4" fillId="5" borderId="0" xfId="7" applyNumberFormat="1" applyFill="1" applyAlignment="1">
      <alignment vertical="top"/>
    </xf>
    <xf numFmtId="0" fontId="0" fillId="0" borderId="15" xfId="0" quotePrefix="1" applyBorder="1" applyAlignment="1">
      <alignment horizontal="center" vertical="center"/>
    </xf>
    <xf numFmtId="0" fontId="0" fillId="0" borderId="16" xfId="0" quotePrefix="1" applyBorder="1" applyAlignment="1">
      <alignment horizontal="center" vertical="center"/>
    </xf>
    <xf numFmtId="0" fontId="52" fillId="0" borderId="0" xfId="0" applyFont="1" applyAlignment="1">
      <alignment horizontal="right"/>
    </xf>
    <xf numFmtId="0" fontId="19" fillId="19" borderId="0" xfId="0" applyFont="1" applyFill="1" applyAlignment="1">
      <alignment horizontal="center" vertical="center" wrapText="1"/>
    </xf>
    <xf numFmtId="41" fontId="24" fillId="38" borderId="11" xfId="6" applyNumberFormat="1" applyFont="1" applyFill="1" applyBorder="1" applyAlignment="1">
      <alignment horizontal="center" vertical="center" wrapText="1"/>
    </xf>
    <xf numFmtId="166" fontId="24" fillId="38" borderId="11" xfId="6" applyNumberFormat="1" applyFont="1" applyFill="1" applyBorder="1" applyAlignment="1">
      <alignment horizontal="center" vertical="center" wrapText="1"/>
    </xf>
    <xf numFmtId="41" fontId="18" fillId="34" borderId="11" xfId="6" applyNumberFormat="1" applyFont="1" applyFill="1" applyBorder="1" applyAlignment="1">
      <alignment horizontal="center" vertical="center" wrapText="1"/>
    </xf>
    <xf numFmtId="41" fontId="134" fillId="34" borderId="11" xfId="6" applyNumberFormat="1" applyFont="1" applyFill="1" applyBorder="1" applyAlignment="1">
      <alignment horizontal="center" vertical="center" wrapText="1"/>
    </xf>
    <xf numFmtId="41" fontId="18" fillId="38" borderId="10" xfId="6" applyNumberFormat="1" applyFont="1" applyFill="1" applyBorder="1" applyAlignment="1">
      <alignment horizontal="center" vertical="center" wrapText="1"/>
    </xf>
    <xf numFmtId="41" fontId="134" fillId="38" borderId="10" xfId="6" applyNumberFormat="1" applyFont="1" applyFill="1" applyBorder="1" applyAlignment="1">
      <alignment horizontal="center" vertical="center" wrapText="1"/>
    </xf>
    <xf numFmtId="41" fontId="18" fillId="0" borderId="125" xfId="6" applyNumberFormat="1" applyFont="1" applyFill="1" applyBorder="1" applyAlignment="1">
      <alignment horizontal="left" vertical="center" wrapText="1"/>
    </xf>
    <xf numFmtId="41" fontId="18" fillId="38" borderId="125" xfId="6" applyNumberFormat="1" applyFont="1" applyFill="1" applyBorder="1" applyAlignment="1">
      <alignment horizontal="center" vertical="center" wrapText="1"/>
    </xf>
    <xf numFmtId="41" fontId="134" fillId="38" borderId="125" xfId="6" applyNumberFormat="1" applyFont="1" applyFill="1" applyBorder="1" applyAlignment="1">
      <alignment horizontal="center" vertical="center" wrapText="1"/>
    </xf>
    <xf numFmtId="41" fontId="25" fillId="0" borderId="125" xfId="6" applyNumberFormat="1" applyFont="1" applyFill="1" applyBorder="1" applyAlignment="1">
      <alignment horizontal="left" vertical="center" wrapText="1"/>
    </xf>
    <xf numFmtId="166" fontId="18" fillId="0" borderId="125" xfId="6" applyNumberFormat="1" applyFont="1" applyFill="1" applyBorder="1" applyAlignment="1">
      <alignment horizontal="left" vertical="center" wrapText="1"/>
    </xf>
    <xf numFmtId="41" fontId="18" fillId="34" borderId="125" xfId="6" applyNumberFormat="1" applyFont="1" applyFill="1" applyBorder="1" applyAlignment="1">
      <alignment horizontal="center" vertical="center" wrapText="1"/>
    </xf>
    <xf numFmtId="41" fontId="134" fillId="34" borderId="125" xfId="6" applyNumberFormat="1" applyFont="1" applyFill="1" applyBorder="1" applyAlignment="1">
      <alignment horizontal="center" vertical="center" wrapText="1"/>
    </xf>
    <xf numFmtId="41" fontId="25" fillId="34" borderId="125" xfId="6" applyNumberFormat="1" applyFont="1" applyFill="1" applyBorder="1" applyAlignment="1">
      <alignment horizontal="left" vertical="center" wrapText="1"/>
    </xf>
    <xf numFmtId="41" fontId="18" fillId="34" borderId="10" xfId="6" applyNumberFormat="1" applyFont="1" applyFill="1" applyBorder="1" applyAlignment="1">
      <alignment horizontal="center" vertical="center" wrapText="1"/>
    </xf>
    <xf numFmtId="41" fontId="134" fillId="34" borderId="10" xfId="6" applyNumberFormat="1" applyFont="1" applyFill="1" applyBorder="1" applyAlignment="1">
      <alignment horizontal="center" vertical="center" wrapText="1"/>
    </xf>
    <xf numFmtId="41" fontId="25" fillId="34" borderId="0" xfId="6" applyNumberFormat="1" applyFont="1" applyFill="1" applyBorder="1" applyAlignment="1">
      <alignment horizontal="left" vertical="center" wrapText="1"/>
    </xf>
    <xf numFmtId="0" fontId="114" fillId="21" borderId="0" xfId="0" applyFont="1" applyFill="1" applyAlignment="1">
      <alignment horizontal="left"/>
    </xf>
    <xf numFmtId="174" fontId="121" fillId="0" borderId="15" xfId="12" applyNumberFormat="1" applyFont="1" applyFill="1" applyBorder="1" applyAlignment="1">
      <alignment vertical="center"/>
    </xf>
    <xf numFmtId="176" fontId="120" fillId="0" borderId="17" xfId="12" applyNumberFormat="1" applyFont="1" applyBorder="1" applyAlignment="1">
      <alignment vertical="center"/>
    </xf>
    <xf numFmtId="176" fontId="120" fillId="0" borderId="23" xfId="12" applyNumberFormat="1" applyFont="1" applyBorder="1" applyAlignment="1">
      <alignment vertical="center"/>
    </xf>
    <xf numFmtId="176" fontId="123" fillId="0" borderId="92" xfId="0" applyNumberFormat="1" applyFont="1" applyBorder="1" applyAlignment="1">
      <alignment vertical="center"/>
    </xf>
    <xf numFmtId="165" fontId="123" fillId="0" borderId="92" xfId="0" applyNumberFormat="1" applyFont="1" applyBorder="1" applyAlignment="1">
      <alignment horizontal="center" vertical="center"/>
    </xf>
    <xf numFmtId="165" fontId="123" fillId="0" borderId="1" xfId="0" applyNumberFormat="1" applyFont="1" applyBorder="1" applyAlignment="1">
      <alignment horizontal="center" vertical="center"/>
    </xf>
    <xf numFmtId="165" fontId="123" fillId="0" borderId="2" xfId="0" applyNumberFormat="1" applyFont="1" applyBorder="1" applyAlignment="1">
      <alignment horizontal="center" vertical="center"/>
    </xf>
    <xf numFmtId="165" fontId="123" fillId="0" borderId="3" xfId="0" applyNumberFormat="1" applyFont="1" applyBorder="1" applyAlignment="1">
      <alignment horizontal="center" vertical="center"/>
    </xf>
    <xf numFmtId="165" fontId="123" fillId="0" borderId="1" xfId="0" applyNumberFormat="1" applyFont="1" applyBorder="1" applyAlignment="1">
      <alignment vertical="center"/>
    </xf>
    <xf numFmtId="179" fontId="121" fillId="0" borderId="0" xfId="0" applyNumberFormat="1" applyFont="1"/>
    <xf numFmtId="166" fontId="120" fillId="0" borderId="0" xfId="6" applyNumberFormat="1" applyFont="1"/>
    <xf numFmtId="43" fontId="121" fillId="0" borderId="0" xfId="6" applyFont="1"/>
    <xf numFmtId="43" fontId="120" fillId="0" borderId="0" xfId="6" applyFont="1"/>
    <xf numFmtId="166" fontId="96" fillId="14" borderId="2" xfId="6" applyNumberFormat="1" applyFont="1" applyFill="1" applyBorder="1" applyAlignment="1">
      <alignment vertical="center" wrapText="1"/>
    </xf>
    <xf numFmtId="166" fontId="96" fillId="14" borderId="13" xfId="6" applyNumberFormat="1" applyFont="1" applyFill="1" applyBorder="1" applyAlignment="1">
      <alignment vertical="center" wrapText="1"/>
    </xf>
    <xf numFmtId="166" fontId="96" fillId="14" borderId="3" xfId="6" applyNumberFormat="1" applyFont="1" applyFill="1" applyBorder="1" applyAlignment="1">
      <alignment vertical="center" wrapText="1"/>
    </xf>
    <xf numFmtId="43" fontId="121" fillId="0" borderId="0" xfId="0" applyNumberFormat="1" applyFont="1"/>
    <xf numFmtId="165" fontId="120" fillId="0" borderId="0" xfId="12" applyFont="1" applyBorder="1"/>
    <xf numFmtId="174" fontId="110" fillId="5" borderId="1" xfId="12" applyNumberFormat="1" applyFont="1" applyFill="1" applyBorder="1"/>
    <xf numFmtId="0" fontId="0" fillId="21" borderId="0" xfId="0" applyFill="1"/>
    <xf numFmtId="0" fontId="0" fillId="0" borderId="0" xfId="0" applyAlignment="1">
      <alignment horizontal="right"/>
    </xf>
    <xf numFmtId="166" fontId="6" fillId="0" borderId="12" xfId="6" applyNumberFormat="1" applyFont="1" applyBorder="1"/>
    <xf numFmtId="168" fontId="46" fillId="0" borderId="0" xfId="0" applyNumberFormat="1" applyFont="1"/>
    <xf numFmtId="166" fontId="46" fillId="0" borderId="0" xfId="6" applyNumberFormat="1" applyFont="1"/>
    <xf numFmtId="0" fontId="6" fillId="0" borderId="126" xfId="0" applyFont="1" applyBorder="1" applyAlignment="1">
      <alignment horizontal="center"/>
    </xf>
    <xf numFmtId="0" fontId="6" fillId="0" borderId="126" xfId="0" applyFont="1" applyBorder="1"/>
    <xf numFmtId="43" fontId="6" fillId="0" borderId="126" xfId="6" applyFont="1" applyBorder="1"/>
    <xf numFmtId="43" fontId="6" fillId="0" borderId="126" xfId="0" applyNumberFormat="1" applyFont="1" applyBorder="1"/>
    <xf numFmtId="0" fontId="0" fillId="0" borderId="126" xfId="0" applyBorder="1" applyAlignment="1">
      <alignment horizontal="center"/>
    </xf>
    <xf numFmtId="0" fontId="0" fillId="0" borderId="126" xfId="0" applyBorder="1" applyAlignment="1">
      <alignment horizontal="left"/>
    </xf>
    <xf numFmtId="0" fontId="0" fillId="0" borderId="126" xfId="0" applyBorder="1"/>
    <xf numFmtId="171" fontId="3" fillId="0" borderId="126" xfId="6" applyNumberFormat="1" applyFont="1" applyFill="1" applyBorder="1"/>
    <xf numFmtId="43" fontId="0" fillId="0" borderId="126" xfId="6" applyFont="1" applyFill="1" applyBorder="1"/>
    <xf numFmtId="43" fontId="0" fillId="5" borderId="126" xfId="0" applyNumberFormat="1" applyFill="1" applyBorder="1"/>
    <xf numFmtId="43" fontId="0" fillId="0" borderId="126" xfId="0" applyNumberFormat="1" applyBorder="1"/>
    <xf numFmtId="43" fontId="0" fillId="0" borderId="126" xfId="6" applyFont="1" applyBorder="1"/>
    <xf numFmtId="171" fontId="3" fillId="0" borderId="126" xfId="6" applyNumberFormat="1" applyFont="1" applyBorder="1"/>
    <xf numFmtId="171" fontId="6" fillId="0" borderId="126" xfId="6" applyNumberFormat="1" applyFont="1" applyBorder="1"/>
    <xf numFmtId="171" fontId="0" fillId="0" borderId="126" xfId="6" applyNumberFormat="1" applyFont="1" applyBorder="1"/>
    <xf numFmtId="0" fontId="6" fillId="0" borderId="127" xfId="0" applyFont="1" applyBorder="1" applyAlignment="1">
      <alignment horizontal="center"/>
    </xf>
    <xf numFmtId="0" fontId="6" fillId="0" borderId="127" xfId="0" applyFont="1" applyBorder="1"/>
    <xf numFmtId="43" fontId="6" fillId="0" borderId="127" xfId="6" applyFont="1" applyBorder="1"/>
    <xf numFmtId="43" fontId="6" fillId="0" borderId="127" xfId="0" applyNumberFormat="1" applyFont="1" applyBorder="1"/>
    <xf numFmtId="0" fontId="0" fillId="0" borderId="128" xfId="0" applyBorder="1" applyAlignment="1">
      <alignment horizontal="center"/>
    </xf>
    <xf numFmtId="0" fontId="0" fillId="0" borderId="128" xfId="0" applyBorder="1"/>
    <xf numFmtId="0" fontId="4" fillId="34" borderId="0" xfId="7" applyFill="1" applyAlignment="1">
      <alignment vertical="top"/>
    </xf>
    <xf numFmtId="168" fontId="8" fillId="34" borderId="0" xfId="7" applyNumberFormat="1" applyFont="1" applyFill="1" applyAlignment="1">
      <alignment vertical="top"/>
    </xf>
    <xf numFmtId="168" fontId="4" fillId="0" borderId="0" xfId="7" applyNumberFormat="1" applyAlignment="1">
      <alignment vertical="top"/>
    </xf>
    <xf numFmtId="0" fontId="36" fillId="0" borderId="0" xfId="7" applyFont="1" applyAlignment="1">
      <alignment horizontal="right" vertical="top"/>
    </xf>
    <xf numFmtId="174" fontId="36" fillId="0" borderId="0" xfId="11" applyNumberFormat="1" applyFont="1" applyFill="1" applyAlignment="1">
      <alignment vertical="top"/>
    </xf>
    <xf numFmtId="174" fontId="16" fillId="0" borderId="0" xfId="11" applyNumberFormat="1" applyFont="1" applyFill="1" applyAlignment="1">
      <alignment vertical="top"/>
    </xf>
    <xf numFmtId="166" fontId="37" fillId="0" borderId="0" xfId="6" applyNumberFormat="1" applyFont="1" applyFill="1" applyAlignment="1">
      <alignment vertical="top"/>
    </xf>
    <xf numFmtId="166" fontId="16" fillId="0" borderId="0" xfId="6" applyNumberFormat="1" applyFont="1" applyFill="1" applyAlignment="1">
      <alignment vertical="top"/>
    </xf>
    <xf numFmtId="166" fontId="36" fillId="0" borderId="0" xfId="6" applyNumberFormat="1" applyFont="1" applyFill="1" applyAlignment="1">
      <alignment vertical="top"/>
    </xf>
    <xf numFmtId="41" fontId="8" fillId="0" borderId="0" xfId="6" applyNumberFormat="1" applyFont="1" applyAlignment="1">
      <alignment vertical="top"/>
    </xf>
    <xf numFmtId="41" fontId="8" fillId="0" borderId="0" xfId="6" applyNumberFormat="1" applyFont="1" applyFill="1" applyAlignment="1">
      <alignment vertical="top"/>
    </xf>
    <xf numFmtId="41" fontId="8" fillId="34" borderId="0" xfId="6" applyNumberFormat="1" applyFont="1" applyFill="1" applyAlignment="1">
      <alignment vertical="top"/>
    </xf>
    <xf numFmtId="41" fontId="0" fillId="0" borderId="0" xfId="6" applyNumberFormat="1" applyFont="1" applyAlignment="1">
      <alignment vertical="top"/>
    </xf>
    <xf numFmtId="41" fontId="0" fillId="0" borderId="0" xfId="6" applyNumberFormat="1" applyFont="1" applyFill="1" applyAlignment="1">
      <alignment vertical="top"/>
    </xf>
    <xf numFmtId="41" fontId="0" fillId="34" borderId="0" xfId="6" applyNumberFormat="1" applyFont="1" applyFill="1" applyAlignment="1">
      <alignment vertical="top"/>
    </xf>
    <xf numFmtId="41" fontId="4" fillId="0" borderId="0" xfId="6" applyNumberFormat="1" applyFont="1" applyAlignment="1">
      <alignment vertical="top"/>
    </xf>
    <xf numFmtId="41" fontId="4" fillId="0" borderId="0" xfId="6" applyNumberFormat="1" applyFont="1" applyFill="1" applyAlignment="1">
      <alignment vertical="top"/>
    </xf>
    <xf numFmtId="41" fontId="4" fillId="34" borderId="0" xfId="6" applyNumberFormat="1" applyFont="1" applyFill="1" applyAlignment="1">
      <alignment vertical="top"/>
    </xf>
    <xf numFmtId="180" fontId="8" fillId="12" borderId="0" xfId="6" applyNumberFormat="1" applyFont="1" applyFill="1" applyAlignment="1">
      <alignment vertical="top"/>
    </xf>
    <xf numFmtId="166" fontId="6" fillId="0" borderId="127" xfId="0" applyNumberFormat="1" applyFont="1" applyBorder="1"/>
    <xf numFmtId="43" fontId="6" fillId="0" borderId="126" xfId="6" applyFont="1" applyFill="1" applyBorder="1"/>
    <xf numFmtId="0" fontId="8" fillId="34" borderId="0" xfId="7" applyFont="1" applyFill="1" applyAlignment="1">
      <alignment vertical="top"/>
    </xf>
    <xf numFmtId="0" fontId="0" fillId="0" borderId="16" xfId="0" quotePrefix="1" applyBorder="1" applyAlignment="1">
      <alignment vertical="center" wrapText="1"/>
    </xf>
    <xf numFmtId="0" fontId="0" fillId="0" borderId="0" xfId="0" applyAlignment="1">
      <alignment vertical="center"/>
    </xf>
    <xf numFmtId="0" fontId="87" fillId="18" borderId="18" xfId="0" applyFont="1" applyFill="1" applyBorder="1" applyAlignment="1">
      <alignment vertical="center"/>
    </xf>
    <xf numFmtId="0" fontId="0" fillId="0" borderId="15" xfId="0" applyBorder="1" applyAlignment="1">
      <alignment vertical="center" wrapText="1"/>
    </xf>
    <xf numFmtId="0" fontId="87" fillId="18" borderId="1" xfId="0" applyFont="1" applyFill="1" applyBorder="1" applyAlignment="1">
      <alignment vertical="center"/>
    </xf>
    <xf numFmtId="0" fontId="8" fillId="25" borderId="0" xfId="7" applyFont="1" applyFill="1" applyAlignment="1">
      <alignment horizontal="right" vertical="top"/>
    </xf>
    <xf numFmtId="0" fontId="8" fillId="0" borderId="0" xfId="7" applyFont="1" applyAlignment="1">
      <alignment horizontal="right" vertical="top"/>
    </xf>
    <xf numFmtId="0" fontId="8" fillId="26" borderId="0" xfId="7" applyFont="1" applyFill="1" applyAlignment="1">
      <alignment vertical="top"/>
    </xf>
    <xf numFmtId="43" fontId="8" fillId="0" borderId="0" xfId="7" applyNumberFormat="1" applyFont="1" applyAlignment="1">
      <alignment vertical="top"/>
    </xf>
    <xf numFmtId="43" fontId="4" fillId="0" borderId="0" xfId="6" applyFont="1" applyAlignment="1">
      <alignment vertical="top"/>
    </xf>
    <xf numFmtId="166" fontId="37" fillId="0" borderId="0" xfId="7" applyNumberFormat="1" applyFont="1" applyAlignment="1">
      <alignment vertical="top"/>
    </xf>
    <xf numFmtId="43" fontId="138" fillId="0" borderId="0" xfId="6" applyFont="1" applyAlignment="1">
      <alignment vertical="top"/>
    </xf>
    <xf numFmtId="43" fontId="139" fillId="0" borderId="0" xfId="7" applyNumberFormat="1" applyFont="1" applyAlignment="1">
      <alignment vertical="top"/>
    </xf>
    <xf numFmtId="43" fontId="0" fillId="5" borderId="126" xfId="6" applyFont="1" applyFill="1" applyBorder="1"/>
    <xf numFmtId="43" fontId="100" fillId="5" borderId="126" xfId="6" applyFont="1" applyFill="1" applyBorder="1"/>
    <xf numFmtId="0" fontId="98" fillId="18" borderId="7" xfId="0" quotePrefix="1" applyFont="1" applyFill="1" applyBorder="1" applyAlignment="1">
      <alignment horizontal="left" vertical="center"/>
    </xf>
    <xf numFmtId="0" fontId="87" fillId="18" borderId="4" xfId="0" applyFont="1" applyFill="1" applyBorder="1" applyAlignment="1">
      <alignment vertical="center"/>
    </xf>
    <xf numFmtId="0" fontId="87" fillId="18" borderId="5" xfId="0" applyFont="1" applyFill="1" applyBorder="1" applyAlignment="1">
      <alignment vertical="center"/>
    </xf>
    <xf numFmtId="43" fontId="85" fillId="18" borderId="5" xfId="0" applyNumberFormat="1" applyFont="1" applyFill="1" applyBorder="1" applyAlignment="1">
      <alignment vertical="center"/>
    </xf>
    <xf numFmtId="0" fontId="0" fillId="0" borderId="53" xfId="0" applyBorder="1" applyAlignment="1">
      <alignment vertical="center" wrapText="1"/>
    </xf>
    <xf numFmtId="181" fontId="112" fillId="0" borderId="0" xfId="0" applyNumberFormat="1" applyFont="1"/>
    <xf numFmtId="2" fontId="136" fillId="0" borderId="0" xfId="0" applyNumberFormat="1" applyFont="1" applyAlignment="1">
      <alignment horizontal="left"/>
    </xf>
    <xf numFmtId="4" fontId="121" fillId="15" borderId="19" xfId="6" applyNumberFormat="1" applyFont="1" applyFill="1" applyBorder="1" applyAlignment="1">
      <alignment horizontal="right" vertical="center"/>
    </xf>
    <xf numFmtId="4" fontId="121" fillId="0" borderId="19" xfId="6" applyNumberFormat="1" applyFont="1" applyBorder="1" applyAlignment="1">
      <alignment horizontal="right" vertical="center"/>
    </xf>
    <xf numFmtId="4" fontId="121" fillId="0" borderId="21" xfId="6" applyNumberFormat="1" applyFont="1" applyBorder="1" applyAlignment="1">
      <alignment horizontal="right" vertical="center"/>
    </xf>
    <xf numFmtId="4" fontId="121" fillId="0" borderId="23" xfId="6" applyNumberFormat="1" applyFont="1" applyBorder="1" applyAlignment="1">
      <alignment horizontal="right" vertical="center"/>
    </xf>
    <xf numFmtId="4" fontId="121" fillId="15" borderId="2" xfId="6" applyNumberFormat="1" applyFont="1" applyFill="1" applyBorder="1" applyAlignment="1">
      <alignment horizontal="right" vertical="center"/>
    </xf>
    <xf numFmtId="3" fontId="123" fillId="0" borderId="7" xfId="0" applyNumberFormat="1" applyFont="1" applyBorder="1" applyAlignment="1">
      <alignment horizontal="right" vertical="center"/>
    </xf>
    <xf numFmtId="174" fontId="90" fillId="0" borderId="0" xfId="0" applyNumberFormat="1" applyFont="1" applyAlignment="1">
      <alignment horizontal="center"/>
    </xf>
    <xf numFmtId="43" fontId="3" fillId="0" borderId="126" xfId="6" applyFont="1" applyBorder="1"/>
    <xf numFmtId="0" fontId="0" fillId="0" borderId="0" xfId="0" applyAlignment="1">
      <alignment horizontal="left"/>
    </xf>
    <xf numFmtId="0" fontId="13" fillId="22" borderId="0" xfId="0" applyFont="1" applyFill="1" applyAlignment="1">
      <alignment horizontal="left"/>
    </xf>
    <xf numFmtId="0" fontId="6" fillId="0" borderId="127" xfId="0" applyFont="1" applyBorder="1" applyAlignment="1">
      <alignment horizontal="left"/>
    </xf>
    <xf numFmtId="0" fontId="6" fillId="0" borderId="126" xfId="0" applyFont="1" applyBorder="1" applyAlignment="1">
      <alignment horizontal="left"/>
    </xf>
    <xf numFmtId="0" fontId="0" fillId="0" borderId="128" xfId="0" applyBorder="1" applyAlignment="1">
      <alignment horizontal="left"/>
    </xf>
    <xf numFmtId="0" fontId="46" fillId="0" borderId="0" xfId="0" applyFont="1" applyAlignment="1">
      <alignment horizontal="left"/>
    </xf>
    <xf numFmtId="0" fontId="6" fillId="0" borderId="0" xfId="0" applyFont="1" applyAlignment="1">
      <alignment horizontal="left"/>
    </xf>
    <xf numFmtId="0" fontId="24" fillId="0" borderId="10" xfId="0" applyFont="1" applyBorder="1" applyAlignment="1">
      <alignment vertical="center" wrapText="1"/>
    </xf>
    <xf numFmtId="14" fontId="24" fillId="0" borderId="10" xfId="0" applyNumberFormat="1" applyFont="1" applyBorder="1" applyAlignment="1">
      <alignment horizontal="center" vertical="center" wrapText="1"/>
    </xf>
    <xf numFmtId="0" fontId="24" fillId="0" borderId="10" xfId="0" applyFont="1" applyBorder="1" applyAlignment="1">
      <alignment horizontal="center" vertical="center" wrapText="1"/>
    </xf>
    <xf numFmtId="0" fontId="23" fillId="0" borderId="10" xfId="10" applyFont="1" applyBorder="1" applyAlignment="1">
      <alignment horizontal="center" vertical="center" wrapText="1"/>
    </xf>
    <xf numFmtId="41" fontId="83" fillId="0" borderId="10" xfId="6" applyNumberFormat="1" applyFont="1" applyFill="1" applyBorder="1" applyAlignment="1">
      <alignment horizontal="center" vertical="center" wrapText="1"/>
    </xf>
    <xf numFmtId="0" fontId="83" fillId="0" borderId="10" xfId="6" applyNumberFormat="1" applyFont="1" applyFill="1" applyBorder="1" applyAlignment="1">
      <alignment horizontal="center" vertical="center" wrapText="1"/>
    </xf>
    <xf numFmtId="0" fontId="16" fillId="0" borderId="10" xfId="0" applyFont="1" applyBorder="1" applyAlignment="1">
      <alignment vertical="center" wrapText="1"/>
    </xf>
    <xf numFmtId="41" fontId="18" fillId="0" borderId="10" xfId="6" applyNumberFormat="1" applyFont="1" applyFill="1" applyBorder="1" applyAlignment="1">
      <alignment horizontal="center" vertical="center" wrapText="1"/>
    </xf>
    <xf numFmtId="41" fontId="134" fillId="0" borderId="10" xfId="6" applyNumberFormat="1" applyFont="1" applyFill="1" applyBorder="1" applyAlignment="1">
      <alignment horizontal="center" vertical="center" wrapText="1"/>
    </xf>
    <xf numFmtId="41" fontId="25" fillId="0" borderId="10" xfId="6" applyNumberFormat="1" applyFont="1" applyFill="1" applyBorder="1" applyAlignment="1">
      <alignment horizontal="center" vertical="center" wrapText="1"/>
    </xf>
    <xf numFmtId="0" fontId="16" fillId="0" borderId="11" xfId="0" applyFont="1" applyBorder="1" applyAlignment="1">
      <alignment vertical="center" wrapText="1"/>
    </xf>
    <xf numFmtId="166" fontId="18" fillId="0" borderId="11" xfId="6" applyNumberFormat="1" applyFont="1" applyFill="1" applyBorder="1" applyAlignment="1">
      <alignment horizontal="center" vertical="center" wrapText="1"/>
    </xf>
    <xf numFmtId="0" fontId="16" fillId="0" borderId="56" xfId="0" applyFont="1" applyBorder="1" applyAlignment="1">
      <alignment vertical="center" wrapText="1"/>
    </xf>
    <xf numFmtId="41" fontId="134" fillId="0" borderId="56" xfId="6" applyNumberFormat="1" applyFont="1" applyFill="1" applyBorder="1" applyAlignment="1">
      <alignment horizontal="center" vertical="center" wrapText="1"/>
    </xf>
    <xf numFmtId="41" fontId="24" fillId="0" borderId="130" xfId="6" applyNumberFormat="1" applyFont="1" applyFill="1" applyBorder="1" applyAlignment="1">
      <alignment horizontal="center" vertical="center" wrapText="1"/>
    </xf>
    <xf numFmtId="166" fontId="24" fillId="0" borderId="130" xfId="6" applyNumberFormat="1" applyFont="1" applyFill="1" applyBorder="1" applyAlignment="1">
      <alignment horizontal="center" vertical="center" wrapText="1"/>
    </xf>
    <xf numFmtId="166" fontId="24" fillId="0" borderId="130" xfId="6" applyNumberFormat="1" applyFont="1" applyBorder="1" applyAlignment="1">
      <alignment horizontal="center" vertical="center" wrapText="1"/>
    </xf>
    <xf numFmtId="43" fontId="25" fillId="0" borderId="130" xfId="0" applyNumberFormat="1" applyFont="1" applyBorder="1" applyAlignment="1">
      <alignment horizontal="center" vertical="center" wrapText="1"/>
    </xf>
    <xf numFmtId="0" fontId="21" fillId="0" borderId="130" xfId="0" applyFont="1" applyBorder="1" applyAlignment="1">
      <alignment horizontal="center" vertical="center"/>
    </xf>
    <xf numFmtId="0" fontId="22" fillId="0" borderId="130" xfId="0" applyFont="1" applyBorder="1" applyAlignment="1">
      <alignment horizontal="center" vertical="center"/>
    </xf>
    <xf numFmtId="0" fontId="22" fillId="0" borderId="130" xfId="0" applyFont="1" applyBorder="1" applyAlignment="1">
      <alignment horizontal="left" vertical="center"/>
    </xf>
    <xf numFmtId="0" fontId="18" fillId="0" borderId="130" xfId="0" applyFont="1" applyBorder="1" applyAlignment="1">
      <alignment horizontal="center" vertical="center" wrapText="1"/>
    </xf>
    <xf numFmtId="0" fontId="24" fillId="0" borderId="130" xfId="0" applyFont="1" applyBorder="1" applyAlignment="1">
      <alignment vertical="center" wrapText="1"/>
    </xf>
    <xf numFmtId="14" fontId="24" fillId="0" borderId="130" xfId="0" applyNumberFormat="1" applyFont="1" applyBorder="1" applyAlignment="1">
      <alignment horizontal="center" vertical="center" wrapText="1"/>
    </xf>
    <xf numFmtId="0" fontId="24" fillId="0" borderId="130" xfId="0" applyFont="1" applyBorder="1" applyAlignment="1">
      <alignment horizontal="center" vertical="center" wrapText="1"/>
    </xf>
    <xf numFmtId="0" fontId="23" fillId="0" borderId="130" xfId="10" applyFont="1" applyBorder="1" applyAlignment="1">
      <alignment horizontal="center" vertical="center" wrapText="1"/>
    </xf>
    <xf numFmtId="41" fontId="18" fillId="34" borderId="130" xfId="6" applyNumberFormat="1" applyFont="1" applyFill="1" applyBorder="1" applyAlignment="1">
      <alignment horizontal="center" vertical="center" wrapText="1"/>
    </xf>
    <xf numFmtId="41" fontId="18" fillId="0" borderId="130" xfId="6" applyNumberFormat="1" applyFont="1" applyFill="1" applyBorder="1" applyAlignment="1">
      <alignment horizontal="center" vertical="center" wrapText="1"/>
    </xf>
    <xf numFmtId="166" fontId="18" fillId="0" borderId="130" xfId="6" applyNumberFormat="1" applyFont="1" applyFill="1" applyBorder="1" applyAlignment="1">
      <alignment horizontal="center" vertical="center" wrapText="1"/>
    </xf>
    <xf numFmtId="41" fontId="134" fillId="0" borderId="130" xfId="6" applyNumberFormat="1" applyFont="1" applyFill="1" applyBorder="1" applyAlignment="1">
      <alignment horizontal="center" vertical="center" wrapText="1"/>
    </xf>
    <xf numFmtId="41" fontId="25" fillId="0" borderId="130" xfId="6" applyNumberFormat="1" applyFont="1" applyFill="1" applyBorder="1" applyAlignment="1">
      <alignment horizontal="center" vertical="center" wrapText="1"/>
    </xf>
    <xf numFmtId="0" fontId="22" fillId="0" borderId="47" xfId="0" applyFont="1" applyBorder="1" applyAlignment="1">
      <alignment horizontal="center" vertical="center"/>
    </xf>
    <xf numFmtId="0" fontId="22" fillId="0" borderId="47" xfId="0" applyFont="1" applyBorder="1" applyAlignment="1">
      <alignment horizontal="left" vertical="center"/>
    </xf>
    <xf numFmtId="41" fontId="83" fillId="0" borderId="130" xfId="6" applyNumberFormat="1" applyFont="1" applyFill="1" applyBorder="1" applyAlignment="1">
      <alignment horizontal="center" vertical="center" wrapText="1"/>
    </xf>
    <xf numFmtId="0" fontId="83" fillId="0" borderId="130" xfId="6" applyNumberFormat="1" applyFont="1" applyFill="1" applyBorder="1" applyAlignment="1">
      <alignment horizontal="center" vertical="center" wrapText="1"/>
    </xf>
    <xf numFmtId="41" fontId="24" fillId="38" borderId="56" xfId="6" applyNumberFormat="1" applyFont="1" applyFill="1" applyBorder="1" applyAlignment="1">
      <alignment horizontal="center" vertical="center" wrapText="1"/>
    </xf>
    <xf numFmtId="41" fontId="18" fillId="46" borderId="56" xfId="6" applyNumberFormat="1" applyFont="1" applyFill="1" applyBorder="1" applyAlignment="1">
      <alignment horizontal="center" vertical="center" wrapText="1"/>
    </xf>
    <xf numFmtId="166" fontId="18" fillId="38" borderId="11" xfId="6" applyNumberFormat="1" applyFont="1" applyFill="1" applyBorder="1" applyAlignment="1">
      <alignment horizontal="center" vertical="center" wrapText="1"/>
    </xf>
    <xf numFmtId="166" fontId="18" fillId="38" borderId="56" xfId="6" applyNumberFormat="1" applyFont="1" applyFill="1" applyBorder="1" applyAlignment="1">
      <alignment horizontal="center" vertical="center" wrapText="1"/>
    </xf>
    <xf numFmtId="41" fontId="18" fillId="46" borderId="11" xfId="6" applyNumberFormat="1" applyFont="1" applyFill="1" applyBorder="1" applyAlignment="1">
      <alignment horizontal="center" vertical="center" wrapText="1"/>
    </xf>
    <xf numFmtId="0" fontId="21" fillId="14" borderId="11" xfId="0" applyFont="1" applyFill="1" applyBorder="1" applyAlignment="1">
      <alignment horizontal="center" vertical="center"/>
    </xf>
    <xf numFmtId="0" fontId="18" fillId="14" borderId="11" xfId="0" applyFont="1" applyFill="1" applyBorder="1" applyAlignment="1">
      <alignment horizontal="center" vertical="center" wrapText="1"/>
    </xf>
    <xf numFmtId="166" fontId="18" fillId="14" borderId="11" xfId="6" applyNumberFormat="1" applyFont="1" applyFill="1" applyBorder="1" applyAlignment="1">
      <alignment horizontal="center" vertical="center" wrapText="1"/>
    </xf>
    <xf numFmtId="43" fontId="25" fillId="14" borderId="11" xfId="0" applyNumberFormat="1" applyFont="1" applyFill="1" applyBorder="1" applyAlignment="1">
      <alignment horizontal="center" vertical="center" wrapText="1"/>
    </xf>
    <xf numFmtId="166" fontId="113" fillId="0" borderId="0" xfId="6" applyNumberFormat="1" applyFont="1"/>
    <xf numFmtId="166" fontId="112" fillId="0" borderId="0" xfId="6" applyNumberFormat="1" applyFont="1"/>
    <xf numFmtId="0" fontId="0" fillId="0" borderId="53" xfId="0" quotePrefix="1" applyBorder="1" applyAlignment="1">
      <alignment horizontal="center" vertical="center"/>
    </xf>
    <xf numFmtId="43" fontId="100" fillId="0" borderId="53" xfId="0" applyNumberFormat="1" applyFont="1" applyBorder="1" applyAlignment="1">
      <alignment vertical="center"/>
    </xf>
    <xf numFmtId="0" fontId="109" fillId="0" borderId="0" xfId="0" applyFont="1"/>
    <xf numFmtId="174" fontId="109" fillId="0" borderId="0" xfId="12" applyNumberFormat="1" applyFont="1" applyAlignment="1">
      <alignment horizontal="center"/>
    </xf>
    <xf numFmtId="174" fontId="109" fillId="0" borderId="0" xfId="12" applyNumberFormat="1" applyFont="1"/>
    <xf numFmtId="174" fontId="109" fillId="0" borderId="0" xfId="0" applyNumberFormat="1" applyFont="1"/>
    <xf numFmtId="49" fontId="105" fillId="31" borderId="1" xfId="0" applyNumberFormat="1" applyFont="1" applyFill="1" applyBorder="1" applyAlignment="1">
      <alignment horizontal="center" vertical="center"/>
    </xf>
    <xf numFmtId="0" fontId="140" fillId="47" borderId="0" xfId="0" applyFont="1" applyFill="1"/>
    <xf numFmtId="0" fontId="107" fillId="28" borderId="2" xfId="0" applyFont="1" applyFill="1" applyBorder="1" applyAlignment="1">
      <alignment horizontal="left"/>
    </xf>
    <xf numFmtId="0" fontId="107" fillId="28" borderId="92" xfId="0" applyFont="1" applyFill="1" applyBorder="1" applyAlignment="1">
      <alignment horizontal="left"/>
    </xf>
    <xf numFmtId="0" fontId="107" fillId="28" borderId="3" xfId="0" applyFont="1" applyFill="1" applyBorder="1" applyAlignment="1">
      <alignment horizontal="left"/>
    </xf>
    <xf numFmtId="0" fontId="110" fillId="0" borderId="1" xfId="14" applyFont="1" applyBorder="1"/>
    <xf numFmtId="0" fontId="141" fillId="0" borderId="1" xfId="0" applyFont="1" applyBorder="1" applyAlignment="1">
      <alignment horizontal="left"/>
    </xf>
    <xf numFmtId="174" fontId="109" fillId="0" borderId="1" xfId="12" applyNumberFormat="1" applyFont="1" applyFill="1" applyBorder="1"/>
    <xf numFmtId="174" fontId="109" fillId="0" borderId="2" xfId="12" applyNumberFormat="1" applyFont="1" applyFill="1" applyBorder="1"/>
    <xf numFmtId="174" fontId="111" fillId="0" borderId="92" xfId="12" applyNumberFormat="1" applyFont="1" applyFill="1" applyBorder="1"/>
    <xf numFmtId="174" fontId="109" fillId="0" borderId="3" xfId="12" applyNumberFormat="1" applyFont="1" applyFill="1" applyBorder="1"/>
    <xf numFmtId="174" fontId="111" fillId="0" borderId="2" xfId="12" applyNumberFormat="1" applyFont="1" applyFill="1" applyBorder="1"/>
    <xf numFmtId="174" fontId="111" fillId="0" borderId="1" xfId="12" applyNumberFormat="1" applyFont="1" applyFill="1" applyBorder="1"/>
    <xf numFmtId="9" fontId="15" fillId="0" borderId="1" xfId="10" quotePrefix="1" applyNumberFormat="1" applyFill="1" applyBorder="1"/>
    <xf numFmtId="9" fontId="142" fillId="0" borderId="1" xfId="10" quotePrefix="1" applyNumberFormat="1" applyFont="1" applyFill="1" applyBorder="1"/>
    <xf numFmtId="9" fontId="109" fillId="0" borderId="1" xfId="9" applyFont="1" applyFill="1" applyBorder="1"/>
    <xf numFmtId="0" fontId="110" fillId="0" borderId="1" xfId="14" applyFont="1" applyBorder="1" applyAlignment="1">
      <alignment wrapText="1"/>
    </xf>
    <xf numFmtId="0" fontId="15" fillId="0" borderId="1" xfId="10" quotePrefix="1" applyFill="1" applyBorder="1"/>
    <xf numFmtId="174" fontId="109" fillId="0" borderId="1" xfId="12" applyNumberFormat="1" applyFont="1" applyBorder="1"/>
    <xf numFmtId="9" fontId="142" fillId="0" borderId="1" xfId="10" quotePrefix="1" applyNumberFormat="1" applyFont="1" applyBorder="1"/>
    <xf numFmtId="174" fontId="105" fillId="28" borderId="1" xfId="0" applyNumberFormat="1" applyFont="1" applyFill="1" applyBorder="1" applyAlignment="1">
      <alignment horizontal="left"/>
    </xf>
    <xf numFmtId="174" fontId="107" fillId="28" borderId="1" xfId="0" applyNumberFormat="1" applyFont="1" applyFill="1" applyBorder="1" applyAlignment="1">
      <alignment horizontal="left"/>
    </xf>
    <xf numFmtId="9" fontId="142" fillId="0" borderId="1" xfId="10" applyNumberFormat="1" applyFont="1" applyFill="1" applyBorder="1"/>
    <xf numFmtId="0" fontId="109" fillId="0" borderId="6" xfId="0" applyFont="1" applyBorder="1"/>
    <xf numFmtId="0" fontId="110" fillId="0" borderId="6" xfId="14" applyFont="1" applyBorder="1"/>
    <xf numFmtId="0" fontId="141" fillId="0" borderId="6" xfId="0" applyFont="1" applyBorder="1" applyAlignment="1">
      <alignment horizontal="left"/>
    </xf>
    <xf numFmtId="9" fontId="142" fillId="0" borderId="6" xfId="10" quotePrefix="1" applyNumberFormat="1" applyFont="1" applyFill="1" applyBorder="1"/>
    <xf numFmtId="0" fontId="110" fillId="0" borderId="131" xfId="14" applyFont="1" applyBorder="1"/>
    <xf numFmtId="0" fontId="108" fillId="0" borderId="2" xfId="0" applyFont="1" applyBorder="1"/>
    <xf numFmtId="0" fontId="108" fillId="0" borderId="50" xfId="0" applyFont="1" applyBorder="1"/>
    <xf numFmtId="0" fontId="108" fillId="0" borderId="1" xfId="0" applyFont="1" applyBorder="1"/>
    <xf numFmtId="174" fontId="108" fillId="0" borderId="2" xfId="0" applyNumberFormat="1" applyFont="1" applyBorder="1"/>
    <xf numFmtId="174" fontId="108" fillId="0" borderId="124" xfId="0" applyNumberFormat="1" applyFont="1" applyBorder="1"/>
    <xf numFmtId="174" fontId="108" fillId="0" borderId="3" xfId="0" applyNumberFormat="1" applyFont="1" applyBorder="1"/>
    <xf numFmtId="174" fontId="108" fillId="0" borderId="1" xfId="12" applyNumberFormat="1" applyFont="1" applyBorder="1"/>
    <xf numFmtId="174" fontId="111" fillId="0" borderId="1" xfId="12" applyNumberFormat="1" applyFont="1" applyBorder="1"/>
    <xf numFmtId="0" fontId="108" fillId="0" borderId="0" xfId="0" applyFont="1"/>
    <xf numFmtId="174" fontId="109" fillId="0" borderId="18" xfId="12" applyNumberFormat="1" applyFont="1" applyFill="1" applyBorder="1"/>
    <xf numFmtId="0" fontId="108" fillId="0" borderId="1" xfId="14" applyFont="1" applyBorder="1"/>
    <xf numFmtId="0" fontId="107" fillId="0" borderId="1" xfId="0" applyFont="1" applyBorder="1" applyAlignment="1">
      <alignment horizontal="left"/>
    </xf>
    <xf numFmtId="3" fontId="111" fillId="0" borderId="1" xfId="12" applyNumberFormat="1" applyFont="1" applyBorder="1"/>
    <xf numFmtId="9" fontId="111" fillId="0" borderId="1" xfId="9" applyFont="1" applyBorder="1"/>
    <xf numFmtId="0" fontId="143" fillId="0" borderId="0" xfId="0" applyFont="1" applyAlignment="1">
      <alignment vertical="center"/>
    </xf>
    <xf numFmtId="174" fontId="144" fillId="0" borderId="0" xfId="12" applyNumberFormat="1" applyFont="1"/>
    <xf numFmtId="0" fontId="109" fillId="5" borderId="4" xfId="0" applyFont="1" applyFill="1" applyBorder="1"/>
    <xf numFmtId="174" fontId="106" fillId="31" borderId="1" xfId="12" applyNumberFormat="1" applyFont="1" applyFill="1" applyBorder="1" applyAlignment="1">
      <alignment horizontal="left" vertical="center"/>
    </xf>
    <xf numFmtId="0" fontId="140" fillId="0" borderId="0" xfId="0" applyFont="1" applyAlignment="1">
      <alignment vertical="center"/>
    </xf>
    <xf numFmtId="168" fontId="111" fillId="0" borderId="1" xfId="9" applyNumberFormat="1" applyFont="1" applyBorder="1"/>
    <xf numFmtId="0" fontId="108" fillId="0" borderId="0" xfId="14" applyFont="1"/>
    <xf numFmtId="9" fontId="111" fillId="0" borderId="0" xfId="9" applyFont="1" applyBorder="1"/>
    <xf numFmtId="174" fontId="111" fillId="0" borderId="0" xfId="12" applyNumberFormat="1" applyFont="1"/>
    <xf numFmtId="174" fontId="111" fillId="0" borderId="0" xfId="9" applyNumberFormat="1" applyFont="1" applyBorder="1"/>
    <xf numFmtId="0" fontId="98" fillId="18" borderId="7" xfId="0" quotePrefix="1" applyFont="1" applyFill="1" applyBorder="1" applyAlignment="1">
      <alignment horizontal="center" vertical="center"/>
    </xf>
    <xf numFmtId="0" fontId="98" fillId="18" borderId="2" xfId="0" quotePrefix="1" applyFont="1" applyFill="1" applyBorder="1" applyAlignment="1">
      <alignment horizontal="center" vertical="center"/>
    </xf>
    <xf numFmtId="0" fontId="0" fillId="0" borderId="129" xfId="0" applyBorder="1" applyAlignment="1">
      <alignment vertical="center" wrapText="1"/>
    </xf>
    <xf numFmtId="182" fontId="0" fillId="0" borderId="126" xfId="6" applyNumberFormat="1" applyFont="1" applyBorder="1"/>
    <xf numFmtId="9" fontId="0" fillId="0" borderId="0" xfId="9" applyFont="1"/>
    <xf numFmtId="166" fontId="18" fillId="34" borderId="56" xfId="6" applyNumberFormat="1" applyFont="1" applyFill="1" applyBorder="1" applyAlignment="1">
      <alignment horizontal="center" vertical="center" wrapText="1"/>
    </xf>
    <xf numFmtId="41" fontId="134" fillId="34" borderId="56" xfId="6" applyNumberFormat="1" applyFont="1" applyFill="1" applyBorder="1" applyAlignment="1">
      <alignment horizontal="center" vertical="center" wrapText="1"/>
    </xf>
    <xf numFmtId="43" fontId="120" fillId="0" borderId="0" xfId="6" applyFont="1" applyBorder="1"/>
    <xf numFmtId="174" fontId="117" fillId="41" borderId="2" xfId="12" applyNumberFormat="1" applyFont="1" applyFill="1" applyBorder="1" applyAlignment="1">
      <alignment horizontal="center" vertical="center" wrapText="1"/>
    </xf>
    <xf numFmtId="174" fontId="111" fillId="5" borderId="1" xfId="0" applyNumberFormat="1" applyFont="1" applyFill="1" applyBorder="1"/>
    <xf numFmtId="174" fontId="109" fillId="5" borderId="1" xfId="12" applyNumberFormat="1" applyFont="1" applyFill="1" applyBorder="1"/>
    <xf numFmtId="0" fontId="0" fillId="0" borderId="0" xfId="0" applyAlignment="1">
      <alignment wrapText="1"/>
    </xf>
    <xf numFmtId="0" fontId="146" fillId="17" borderId="49" xfId="0" applyFont="1" applyFill="1" applyBorder="1" applyAlignment="1">
      <alignment horizontal="center" vertical="center" wrapText="1"/>
    </xf>
    <xf numFmtId="43" fontId="85" fillId="18" borderId="5" xfId="0" applyNumberFormat="1" applyFont="1" applyFill="1" applyBorder="1" applyAlignment="1">
      <alignment horizontal="center" vertical="center"/>
    </xf>
    <xf numFmtId="43" fontId="100" fillId="0" borderId="15" xfId="0" applyNumberFormat="1" applyFont="1" applyBorder="1" applyAlignment="1">
      <alignment horizontal="center" vertical="center"/>
    </xf>
    <xf numFmtId="43" fontId="100" fillId="0" borderId="53" xfId="0" applyNumberFormat="1" applyFont="1" applyBorder="1" applyAlignment="1">
      <alignment horizontal="center" vertical="center"/>
    </xf>
    <xf numFmtId="43" fontId="85" fillId="18" borderId="3" xfId="0" applyNumberFormat="1" applyFont="1" applyFill="1" applyBorder="1" applyAlignment="1">
      <alignment horizontal="center" vertical="center"/>
    </xf>
    <xf numFmtId="43" fontId="100" fillId="0" borderId="16" xfId="0" applyNumberFormat="1" applyFont="1" applyBorder="1" applyAlignment="1">
      <alignment horizontal="center" vertical="center"/>
    </xf>
    <xf numFmtId="43" fontId="103" fillId="18" borderId="3" xfId="0" applyNumberFormat="1" applyFont="1" applyFill="1" applyBorder="1" applyAlignment="1">
      <alignment horizontal="center" vertical="center"/>
    </xf>
    <xf numFmtId="43" fontId="121" fillId="5" borderId="95" xfId="6" applyFont="1" applyFill="1" applyBorder="1" applyAlignment="1">
      <alignment vertical="center"/>
    </xf>
    <xf numFmtId="43" fontId="121" fillId="5" borderId="93" xfId="6" applyFont="1" applyFill="1" applyBorder="1" applyAlignment="1">
      <alignment vertical="center"/>
    </xf>
    <xf numFmtId="171" fontId="81" fillId="0" borderId="0" xfId="6" applyNumberFormat="1" applyFont="1"/>
    <xf numFmtId="183" fontId="8" fillId="12" borderId="0" xfId="6" applyNumberFormat="1" applyFont="1" applyFill="1" applyAlignment="1">
      <alignment vertical="top"/>
    </xf>
    <xf numFmtId="167" fontId="0" fillId="0" borderId="0" xfId="6" applyNumberFormat="1" applyFont="1" applyAlignment="1">
      <alignment vertical="top"/>
    </xf>
    <xf numFmtId="183" fontId="4" fillId="0" borderId="0" xfId="6" applyNumberFormat="1" applyFont="1" applyAlignment="1">
      <alignment vertical="top"/>
    </xf>
    <xf numFmtId="166" fontId="4" fillId="0" borderId="0" xfId="6" applyNumberFormat="1" applyFont="1" applyAlignment="1">
      <alignment vertical="top"/>
    </xf>
    <xf numFmtId="166" fontId="8" fillId="10" borderId="0" xfId="6" applyNumberFormat="1" applyFont="1" applyFill="1" applyAlignment="1">
      <alignment vertical="top"/>
    </xf>
    <xf numFmtId="166" fontId="4" fillId="10" borderId="0" xfId="6" applyNumberFormat="1" applyFont="1" applyFill="1" applyAlignment="1">
      <alignment vertical="top"/>
    </xf>
    <xf numFmtId="166" fontId="8" fillId="14" borderId="0" xfId="6" applyNumberFormat="1" applyFont="1" applyFill="1" applyAlignment="1">
      <alignment vertical="top"/>
    </xf>
    <xf numFmtId="0" fontId="8" fillId="14" borderId="0" xfId="7" applyFont="1" applyFill="1" applyAlignment="1">
      <alignment vertical="top"/>
    </xf>
    <xf numFmtId="166" fontId="4" fillId="14" borderId="0" xfId="6" applyNumberFormat="1" applyFont="1" applyFill="1" applyAlignment="1">
      <alignment vertical="top"/>
    </xf>
    <xf numFmtId="0" fontId="4" fillId="14" borderId="0" xfId="7" applyFill="1" applyAlignment="1">
      <alignment vertical="top"/>
    </xf>
    <xf numFmtId="167" fontId="4" fillId="0" borderId="0" xfId="6" applyNumberFormat="1" applyFont="1" applyAlignment="1">
      <alignment vertical="top"/>
    </xf>
    <xf numFmtId="0" fontId="22" fillId="5" borderId="56" xfId="0" applyFont="1" applyFill="1" applyBorder="1" applyAlignment="1">
      <alignment horizontal="left" vertical="center"/>
    </xf>
    <xf numFmtId="166" fontId="81" fillId="0" borderId="0" xfId="0" applyNumberFormat="1" applyFont="1"/>
    <xf numFmtId="0" fontId="79" fillId="5" borderId="16" xfId="0" applyFont="1" applyFill="1" applyBorder="1" applyAlignment="1">
      <alignment horizontal="center"/>
    </xf>
    <xf numFmtId="0" fontId="52" fillId="5" borderId="16" xfId="0" applyFont="1" applyFill="1" applyBorder="1"/>
    <xf numFmtId="166" fontId="82" fillId="5" borderId="16" xfId="6" applyNumberFormat="1" applyFont="1" applyFill="1" applyBorder="1"/>
    <xf numFmtId="166" fontId="52" fillId="5" borderId="16" xfId="6" applyNumberFormat="1" applyFont="1" applyFill="1" applyBorder="1"/>
    <xf numFmtId="166" fontId="82" fillId="0" borderId="16" xfId="6" applyNumberFormat="1" applyFont="1" applyFill="1" applyBorder="1"/>
    <xf numFmtId="166" fontId="52" fillId="0" borderId="16" xfId="6" applyNumberFormat="1" applyFont="1" applyFill="1" applyBorder="1"/>
    <xf numFmtId="174" fontId="120" fillId="0" borderId="17" xfId="12" applyNumberFormat="1" applyFont="1" applyFill="1" applyBorder="1" applyAlignment="1">
      <alignment vertical="center"/>
    </xf>
    <xf numFmtId="43" fontId="122" fillId="48" borderId="92" xfId="6" applyFont="1" applyFill="1" applyBorder="1" applyAlignment="1">
      <alignment horizontal="left" vertical="center"/>
    </xf>
    <xf numFmtId="0" fontId="0" fillId="0" borderId="132" xfId="0" applyBorder="1"/>
    <xf numFmtId="0" fontId="6" fillId="0" borderId="4" xfId="0" applyFont="1" applyBorder="1"/>
    <xf numFmtId="166" fontId="6" fillId="0" borderId="4" xfId="6" applyNumberFormat="1" applyFont="1" applyBorder="1"/>
    <xf numFmtId="0" fontId="147" fillId="0" borderId="0" xfId="0" applyFont="1"/>
    <xf numFmtId="166" fontId="0" fillId="0" borderId="126" xfId="6" applyNumberFormat="1" applyFont="1" applyBorder="1"/>
    <xf numFmtId="0" fontId="148" fillId="0" borderId="126" xfId="0" applyFont="1" applyBorder="1"/>
    <xf numFmtId="0" fontId="148" fillId="0" borderId="0" xfId="0" applyFont="1"/>
    <xf numFmtId="166" fontId="148" fillId="0" borderId="126" xfId="6" applyNumberFormat="1" applyFont="1" applyBorder="1"/>
    <xf numFmtId="166" fontId="6" fillId="0" borderId="126" xfId="6" applyNumberFormat="1" applyFont="1" applyBorder="1"/>
    <xf numFmtId="166" fontId="149" fillId="0" borderId="126" xfId="6" applyNumberFormat="1" applyFont="1" applyBorder="1"/>
    <xf numFmtId="0" fontId="150" fillId="0" borderId="0" xfId="0" applyFont="1"/>
    <xf numFmtId="166" fontId="150" fillId="0" borderId="0" xfId="6" applyNumberFormat="1" applyFont="1"/>
    <xf numFmtId="0" fontId="0" fillId="0" borderId="53" xfId="0" quotePrefix="1" applyBorder="1" applyAlignment="1">
      <alignment vertical="center" wrapText="1"/>
    </xf>
    <xf numFmtId="0" fontId="150" fillId="12" borderId="0" xfId="0" applyFont="1" applyFill="1"/>
    <xf numFmtId="0" fontId="0" fillId="12" borderId="126" xfId="0" applyFill="1" applyBorder="1"/>
    <xf numFmtId="168" fontId="0" fillId="12" borderId="126" xfId="0" applyNumberFormat="1" applyFill="1" applyBorder="1"/>
    <xf numFmtId="168" fontId="6" fillId="12" borderId="126" xfId="6" applyNumberFormat="1" applyFont="1" applyFill="1" applyBorder="1"/>
    <xf numFmtId="168" fontId="0" fillId="12" borderId="126" xfId="6" applyNumberFormat="1" applyFont="1" applyFill="1" applyBorder="1"/>
    <xf numFmtId="0" fontId="151" fillId="0" borderId="0" xfId="0" applyFont="1"/>
    <xf numFmtId="168" fontId="151" fillId="0" borderId="0" xfId="0" applyNumberFormat="1" applyFont="1"/>
    <xf numFmtId="0" fontId="152" fillId="0" borderId="0" xfId="0" applyFont="1"/>
    <xf numFmtId="166" fontId="152" fillId="0" borderId="0" xfId="6" applyNumberFormat="1" applyFont="1"/>
    <xf numFmtId="0" fontId="152" fillId="12" borderId="0" xfId="0" applyFont="1" applyFill="1"/>
    <xf numFmtId="166" fontId="152" fillId="12" borderId="0" xfId="6" applyNumberFormat="1" applyFont="1" applyFill="1"/>
    <xf numFmtId="0" fontId="149" fillId="0" borderId="0" xfId="0" applyFont="1"/>
    <xf numFmtId="168" fontId="149" fillId="0" borderId="0" xfId="0" applyNumberFormat="1" applyFont="1"/>
    <xf numFmtId="0" fontId="6" fillId="49" borderId="126" xfId="0" applyFont="1" applyFill="1" applyBorder="1"/>
    <xf numFmtId="0" fontId="149" fillId="49" borderId="126" xfId="0" applyFont="1" applyFill="1" applyBorder="1"/>
    <xf numFmtId="168" fontId="6" fillId="49" borderId="126" xfId="0" applyNumberFormat="1" applyFont="1" applyFill="1" applyBorder="1"/>
    <xf numFmtId="168" fontId="6" fillId="49" borderId="126" xfId="6" applyNumberFormat="1" applyFont="1" applyFill="1" applyBorder="1"/>
    <xf numFmtId="168" fontId="149" fillId="49" borderId="126" xfId="0" applyNumberFormat="1" applyFont="1" applyFill="1" applyBorder="1"/>
    <xf numFmtId="168" fontId="149" fillId="49" borderId="126" xfId="6" applyNumberFormat="1" applyFont="1" applyFill="1" applyBorder="1"/>
    <xf numFmtId="170" fontId="150" fillId="12" borderId="0" xfId="0" applyNumberFormat="1" applyFont="1" applyFill="1"/>
    <xf numFmtId="170" fontId="150" fillId="12" borderId="0" xfId="6" applyNumberFormat="1" applyFont="1" applyFill="1"/>
    <xf numFmtId="170" fontId="0" fillId="12" borderId="126" xfId="6" applyNumberFormat="1" applyFont="1" applyFill="1" applyBorder="1"/>
    <xf numFmtId="170" fontId="0" fillId="12" borderId="126" xfId="0" applyNumberFormat="1" applyFill="1" applyBorder="1"/>
    <xf numFmtId="170" fontId="6" fillId="12" borderId="126" xfId="6" applyNumberFormat="1" applyFont="1" applyFill="1" applyBorder="1"/>
    <xf numFmtId="170" fontId="6" fillId="49" borderId="126" xfId="6" applyNumberFormat="1" applyFont="1" applyFill="1" applyBorder="1"/>
    <xf numFmtId="170" fontId="6" fillId="49" borderId="126" xfId="0" applyNumberFormat="1" applyFont="1" applyFill="1" applyBorder="1"/>
    <xf numFmtId="170" fontId="149" fillId="49" borderId="126" xfId="6" applyNumberFormat="1" applyFont="1" applyFill="1" applyBorder="1"/>
    <xf numFmtId="170" fontId="149" fillId="49" borderId="126" xfId="0" applyNumberFormat="1" applyFont="1" applyFill="1" applyBorder="1"/>
    <xf numFmtId="170" fontId="152" fillId="12" borderId="0" xfId="0" applyNumberFormat="1" applyFont="1" applyFill="1"/>
    <xf numFmtId="174" fontId="109" fillId="50" borderId="3" xfId="12" applyNumberFormat="1" applyFont="1" applyFill="1" applyBorder="1"/>
    <xf numFmtId="164" fontId="108" fillId="0" borderId="0" xfId="14" applyNumberFormat="1" applyFont="1"/>
    <xf numFmtId="0" fontId="111" fillId="0" borderId="0" xfId="0" applyFont="1" applyAlignment="1">
      <alignment horizontal="right"/>
    </xf>
    <xf numFmtId="41" fontId="154" fillId="0" borderId="56" xfId="6" applyNumberFormat="1" applyFont="1" applyFill="1" applyBorder="1" applyAlignment="1">
      <alignment horizontal="center" vertical="center" wrapText="1"/>
    </xf>
    <xf numFmtId="0" fontId="0" fillId="0" borderId="15" xfId="0" quotePrefix="1" applyBorder="1" applyAlignment="1">
      <alignment vertical="center" wrapText="1"/>
    </xf>
    <xf numFmtId="43" fontId="4" fillId="0" borderId="0" xfId="7" applyNumberFormat="1" applyAlignment="1">
      <alignment vertical="top"/>
    </xf>
    <xf numFmtId="168" fontId="37" fillId="0" borderId="0" xfId="7" applyNumberFormat="1" applyFont="1" applyAlignment="1">
      <alignment vertical="top"/>
    </xf>
    <xf numFmtId="10" fontId="4" fillId="0" borderId="0" xfId="6" applyNumberFormat="1" applyFont="1" applyAlignment="1">
      <alignment vertical="top"/>
    </xf>
    <xf numFmtId="10" fontId="37" fillId="0" borderId="0" xfId="6" applyNumberFormat="1" applyFont="1" applyAlignment="1">
      <alignment vertical="top"/>
    </xf>
    <xf numFmtId="184" fontId="4" fillId="0" borderId="0" xfId="6" applyNumberFormat="1" applyFont="1" applyAlignment="1">
      <alignment vertical="top"/>
    </xf>
    <xf numFmtId="183" fontId="8" fillId="0" borderId="0" xfId="6" applyNumberFormat="1" applyFont="1" applyAlignment="1">
      <alignment vertical="top"/>
    </xf>
    <xf numFmtId="9" fontId="99" fillId="0" borderId="0" xfId="9" applyFont="1"/>
    <xf numFmtId="0" fontId="155" fillId="17" borderId="49" xfId="0" applyFont="1" applyFill="1" applyBorder="1" applyAlignment="1">
      <alignment horizontal="center" vertical="center"/>
    </xf>
    <xf numFmtId="0" fontId="156" fillId="18" borderId="7" xfId="0" quotePrefix="1" applyFont="1" applyFill="1" applyBorder="1" applyAlignment="1">
      <alignment horizontal="center" vertical="center"/>
    </xf>
    <xf numFmtId="0" fontId="16" fillId="0" borderId="15" xfId="0" quotePrefix="1" applyFont="1" applyBorder="1" applyAlignment="1">
      <alignment horizontal="center" vertical="center"/>
    </xf>
    <xf numFmtId="0" fontId="16" fillId="0" borderId="15" xfId="0" applyFont="1" applyBorder="1" applyAlignment="1">
      <alignment vertical="center"/>
    </xf>
    <xf numFmtId="43" fontId="131" fillId="0" borderId="15" xfId="0" applyNumberFormat="1" applyFont="1" applyBorder="1" applyAlignment="1">
      <alignment horizontal="center" vertical="center"/>
    </xf>
    <xf numFmtId="0" fontId="16" fillId="0" borderId="15" xfId="0" quotePrefix="1" applyFont="1" applyBorder="1" applyAlignment="1">
      <alignment vertical="center" wrapText="1"/>
    </xf>
    <xf numFmtId="0" fontId="16" fillId="0" borderId="53" xfId="0" quotePrefix="1" applyFont="1" applyBorder="1" applyAlignment="1">
      <alignment horizontal="center" vertical="center"/>
    </xf>
    <xf numFmtId="0" fontId="16" fillId="0" borderId="53" xfId="0" applyFont="1" applyBorder="1" applyAlignment="1">
      <alignment vertical="center"/>
    </xf>
    <xf numFmtId="43" fontId="131" fillId="0" borderId="53" xfId="0" applyNumberFormat="1" applyFont="1" applyBorder="1" applyAlignment="1">
      <alignment horizontal="center" vertical="center"/>
    </xf>
    <xf numFmtId="0" fontId="16" fillId="0" borderId="53" xfId="0" quotePrefix="1" applyFont="1" applyBorder="1" applyAlignment="1">
      <alignment vertical="center" wrapText="1"/>
    </xf>
    <xf numFmtId="0" fontId="16" fillId="0" borderId="16" xfId="0" quotePrefix="1" applyFont="1" applyBorder="1" applyAlignment="1">
      <alignment vertical="center" wrapText="1"/>
    </xf>
    <xf numFmtId="0" fontId="16" fillId="0" borderId="16" xfId="0" applyFont="1" applyBorder="1" applyAlignment="1">
      <alignment vertical="center"/>
    </xf>
    <xf numFmtId="167" fontId="131" fillId="0" borderId="16" xfId="0" applyNumberFormat="1" applyFont="1" applyBorder="1" applyAlignment="1">
      <alignment horizontal="center" vertical="center"/>
    </xf>
    <xf numFmtId="0" fontId="156" fillId="18" borderId="2" xfId="0" quotePrefix="1" applyFont="1" applyFill="1" applyBorder="1" applyAlignment="1">
      <alignment horizontal="center" vertical="center"/>
    </xf>
    <xf numFmtId="0" fontId="16" fillId="0" borderId="16" xfId="0" quotePrefix="1" applyFont="1" applyBorder="1" applyAlignment="1">
      <alignment horizontal="center" vertical="center"/>
    </xf>
    <xf numFmtId="43" fontId="131" fillId="0" borderId="16" xfId="0" applyNumberFormat="1" applyFont="1" applyBorder="1" applyAlignment="1">
      <alignment horizontal="center" vertical="center"/>
    </xf>
    <xf numFmtId="0" fontId="16" fillId="0" borderId="52" xfId="0" quotePrefix="1" applyFont="1" applyBorder="1" applyAlignment="1">
      <alignment horizontal="center" vertical="center"/>
    </xf>
    <xf numFmtId="0" fontId="16" fillId="0" borderId="52" xfId="0" applyFont="1" applyBorder="1" applyAlignment="1">
      <alignment vertical="center"/>
    </xf>
    <xf numFmtId="43" fontId="131" fillId="0" borderId="52" xfId="0" applyNumberFormat="1" applyFont="1" applyBorder="1" applyAlignment="1">
      <alignment horizontal="center" vertical="center"/>
    </xf>
    <xf numFmtId="0" fontId="157" fillId="18" borderId="2" xfId="0" quotePrefix="1" applyFont="1" applyFill="1" applyBorder="1" applyAlignment="1">
      <alignment horizontal="left" vertical="center"/>
    </xf>
    <xf numFmtId="0" fontId="157" fillId="18" borderId="50" xfId="0" applyFont="1" applyFill="1" applyBorder="1" applyAlignment="1">
      <alignment vertical="center"/>
    </xf>
    <xf numFmtId="0" fontId="157" fillId="18" borderId="3" xfId="0" applyFont="1" applyFill="1" applyBorder="1" applyAlignment="1">
      <alignment vertical="center"/>
    </xf>
    <xf numFmtId="43" fontId="158" fillId="18" borderId="3" xfId="0" applyNumberFormat="1" applyFont="1" applyFill="1" applyBorder="1" applyAlignment="1">
      <alignment horizontal="center" vertical="center"/>
    </xf>
    <xf numFmtId="0" fontId="157" fillId="18" borderId="1" xfId="0" applyFont="1" applyFill="1" applyBorder="1" applyAlignment="1">
      <alignment vertical="center"/>
    </xf>
    <xf numFmtId="0" fontId="156" fillId="18" borderId="4" xfId="0" applyFont="1" applyFill="1" applyBorder="1" applyAlignment="1">
      <alignment vertical="center"/>
    </xf>
    <xf numFmtId="0" fontId="156" fillId="18" borderId="5" xfId="0" applyFont="1" applyFill="1" applyBorder="1" applyAlignment="1">
      <alignment vertical="center"/>
    </xf>
    <xf numFmtId="43" fontId="159" fillId="18" borderId="5" xfId="0" applyNumberFormat="1" applyFont="1" applyFill="1" applyBorder="1" applyAlignment="1">
      <alignment horizontal="center" vertical="center"/>
    </xf>
    <xf numFmtId="0" fontId="156" fillId="18" borderId="18" xfId="0" applyFont="1" applyFill="1" applyBorder="1" applyAlignment="1">
      <alignment vertical="center"/>
    </xf>
    <xf numFmtId="0" fontId="156" fillId="18" borderId="50" xfId="0" applyFont="1" applyFill="1" applyBorder="1" applyAlignment="1">
      <alignment vertical="center"/>
    </xf>
    <xf numFmtId="0" fontId="156" fillId="18" borderId="3" xfId="0" applyFont="1" applyFill="1" applyBorder="1" applyAlignment="1">
      <alignment vertical="center"/>
    </xf>
    <xf numFmtId="43" fontId="159" fillId="18" borderId="3" xfId="0" applyNumberFormat="1" applyFont="1" applyFill="1" applyBorder="1" applyAlignment="1">
      <alignment horizontal="center" vertical="center"/>
    </xf>
    <xf numFmtId="0" fontId="156" fillId="18" borderId="1" xfId="0" applyFont="1" applyFill="1" applyBorder="1" applyAlignment="1">
      <alignment vertical="center"/>
    </xf>
    <xf numFmtId="43" fontId="52" fillId="0" borderId="0" xfId="0" applyNumberFormat="1" applyFont="1"/>
    <xf numFmtId="41" fontId="25" fillId="5" borderId="56" xfId="6" applyNumberFormat="1" applyFont="1" applyFill="1" applyBorder="1" applyAlignment="1">
      <alignment horizontal="center" vertical="center" wrapText="1"/>
    </xf>
    <xf numFmtId="41" fontId="25" fillId="5" borderId="11" xfId="6" applyNumberFormat="1" applyFont="1" applyFill="1" applyBorder="1" applyAlignment="1">
      <alignment horizontal="center" vertical="center" wrapText="1"/>
    </xf>
    <xf numFmtId="0" fontId="24" fillId="5" borderId="11" xfId="0" applyFont="1" applyFill="1" applyBorder="1" applyAlignment="1">
      <alignment horizontal="center" vertical="center" wrapText="1"/>
    </xf>
    <xf numFmtId="0" fontId="24" fillId="5" borderId="56" xfId="0" applyFont="1" applyFill="1" applyBorder="1" applyAlignment="1">
      <alignment horizontal="center" vertical="center" wrapText="1"/>
    </xf>
    <xf numFmtId="182" fontId="3" fillId="12" borderId="0" xfId="6" applyNumberFormat="1" applyFont="1" applyFill="1"/>
    <xf numFmtId="185" fontId="0" fillId="0" borderId="0" xfId="0" applyNumberFormat="1"/>
    <xf numFmtId="185" fontId="0" fillId="0" borderId="0" xfId="6" applyNumberFormat="1" applyFont="1"/>
    <xf numFmtId="165" fontId="111" fillId="0" borderId="1" xfId="0" applyNumberFormat="1" applyFont="1" applyBorder="1"/>
    <xf numFmtId="0" fontId="109" fillId="29" borderId="1" xfId="0" applyFont="1" applyFill="1" applyBorder="1"/>
    <xf numFmtId="0" fontId="110" fillId="29" borderId="1" xfId="14" applyFont="1" applyFill="1" applyBorder="1"/>
    <xf numFmtId="0" fontId="141" fillId="29" borderId="1" xfId="0" applyFont="1" applyFill="1" applyBorder="1" applyAlignment="1">
      <alignment horizontal="left"/>
    </xf>
    <xf numFmtId="164" fontId="0" fillId="0" borderId="0" xfId="0" applyNumberFormat="1"/>
    <xf numFmtId="0" fontId="21" fillId="14" borderId="56" xfId="0" applyFont="1" applyFill="1" applyBorder="1" applyAlignment="1">
      <alignment horizontal="center" vertical="center"/>
    </xf>
    <xf numFmtId="0" fontId="22" fillId="14" borderId="47" xfId="0" applyFont="1" applyFill="1" applyBorder="1" applyAlignment="1">
      <alignment horizontal="center" vertical="center"/>
    </xf>
    <xf numFmtId="0" fontId="22" fillId="14" borderId="47" xfId="0" applyFont="1" applyFill="1" applyBorder="1" applyAlignment="1">
      <alignment horizontal="left" vertical="center"/>
    </xf>
    <xf numFmtId="0" fontId="22" fillId="14" borderId="56" xfId="0" applyFont="1" applyFill="1" applyBorder="1" applyAlignment="1">
      <alignment horizontal="left" vertical="center"/>
    </xf>
    <xf numFmtId="0" fontId="22" fillId="14" borderId="56" xfId="0" applyFont="1" applyFill="1" applyBorder="1" applyAlignment="1">
      <alignment horizontal="center" vertical="center"/>
    </xf>
    <xf numFmtId="0" fontId="18" fillId="14" borderId="56" xfId="0" applyFont="1" applyFill="1" applyBorder="1" applyAlignment="1">
      <alignment horizontal="center" vertical="center" wrapText="1"/>
    </xf>
    <xf numFmtId="0" fontId="24" fillId="14" borderId="56" xfId="0" applyFont="1" applyFill="1" applyBorder="1" applyAlignment="1">
      <alignment vertical="center" wrapText="1"/>
    </xf>
    <xf numFmtId="14" fontId="24" fillId="14" borderId="56" xfId="0" applyNumberFormat="1" applyFont="1" applyFill="1" applyBorder="1" applyAlignment="1">
      <alignment horizontal="center" vertical="center" wrapText="1"/>
    </xf>
    <xf numFmtId="0" fontId="24" fillId="14" borderId="56" xfId="0" applyFont="1" applyFill="1" applyBorder="1" applyAlignment="1">
      <alignment horizontal="center" vertical="center" wrapText="1"/>
    </xf>
    <xf numFmtId="0" fontId="23" fillId="14" borderId="56" xfId="10" applyFont="1" applyFill="1" applyBorder="1" applyAlignment="1">
      <alignment horizontal="center" vertical="center" wrapText="1"/>
    </xf>
    <xf numFmtId="41" fontId="83" fillId="14" borderId="56" xfId="6" applyNumberFormat="1" applyFont="1" applyFill="1" applyBorder="1" applyAlignment="1">
      <alignment horizontal="center" vertical="center" wrapText="1"/>
    </xf>
    <xf numFmtId="0" fontId="83" fillId="14" borderId="56" xfId="6" applyNumberFormat="1" applyFont="1" applyFill="1" applyBorder="1" applyAlignment="1">
      <alignment horizontal="center" vertical="center" wrapText="1"/>
    </xf>
    <xf numFmtId="41" fontId="18" fillId="14" borderId="56" xfId="6" applyNumberFormat="1" applyFont="1" applyFill="1" applyBorder="1" applyAlignment="1">
      <alignment horizontal="center" vertical="center" wrapText="1"/>
    </xf>
    <xf numFmtId="41" fontId="25" fillId="14" borderId="56" xfId="6" applyNumberFormat="1" applyFont="1" applyFill="1" applyBorder="1" applyAlignment="1">
      <alignment horizontal="center" vertical="center" wrapText="1"/>
    </xf>
    <xf numFmtId="166" fontId="24" fillId="14" borderId="56" xfId="6" applyNumberFormat="1" applyFont="1" applyFill="1" applyBorder="1" applyAlignment="1">
      <alignment horizontal="center" vertical="center" wrapText="1"/>
    </xf>
    <xf numFmtId="166" fontId="134" fillId="0" borderId="11" xfId="6" applyNumberFormat="1" applyFont="1" applyFill="1" applyBorder="1" applyAlignment="1">
      <alignment horizontal="center" vertical="center" wrapText="1"/>
    </xf>
    <xf numFmtId="174" fontId="121" fillId="0" borderId="95" xfId="12" applyNumberFormat="1" applyFont="1" applyFill="1" applyBorder="1" applyAlignment="1">
      <alignment vertical="center"/>
    </xf>
    <xf numFmtId="174" fontId="110" fillId="29" borderId="1" xfId="12" applyNumberFormat="1" applyFont="1" applyFill="1" applyBorder="1"/>
    <xf numFmtId="38" fontId="108" fillId="5" borderId="1" xfId="0" applyNumberFormat="1" applyFont="1" applyFill="1" applyBorder="1"/>
    <xf numFmtId="0" fontId="105" fillId="31" borderId="1" xfId="0" applyFont="1" applyFill="1" applyBorder="1" applyAlignment="1">
      <alignment horizontal="center" vertical="top"/>
    </xf>
    <xf numFmtId="49" fontId="105" fillId="31" borderId="1" xfId="0" applyNumberFormat="1" applyFont="1" applyFill="1" applyBorder="1" applyAlignment="1">
      <alignment horizontal="center" vertical="top"/>
    </xf>
    <xf numFmtId="174" fontId="106" fillId="31" borderId="1" xfId="12" applyNumberFormat="1" applyFont="1" applyFill="1" applyBorder="1" applyAlignment="1">
      <alignment horizontal="center" vertical="top"/>
    </xf>
    <xf numFmtId="174" fontId="105" fillId="31" borderId="1" xfId="12" applyNumberFormat="1" applyFont="1" applyFill="1" applyBorder="1" applyAlignment="1">
      <alignment horizontal="center" vertical="top"/>
    </xf>
    <xf numFmtId="174" fontId="105" fillId="31" borderId="1" xfId="12" applyNumberFormat="1" applyFont="1" applyFill="1" applyBorder="1" applyAlignment="1">
      <alignment horizontal="center" vertical="top" wrapText="1"/>
    </xf>
    <xf numFmtId="174" fontId="105" fillId="31" borderId="2" xfId="12" applyNumberFormat="1" applyFont="1" applyFill="1" applyBorder="1" applyAlignment="1">
      <alignment horizontal="center" vertical="top"/>
    </xf>
    <xf numFmtId="174" fontId="105" fillId="31" borderId="91" xfId="12" applyNumberFormat="1" applyFont="1" applyFill="1" applyBorder="1" applyAlignment="1">
      <alignment horizontal="center" vertical="top"/>
    </xf>
    <xf numFmtId="0" fontId="105" fillId="31" borderId="3" xfId="0" applyFont="1" applyFill="1" applyBorder="1" applyAlignment="1">
      <alignment horizontal="center" vertical="top"/>
    </xf>
    <xf numFmtId="174" fontId="105" fillId="31" borderId="2" xfId="12" applyNumberFormat="1" applyFont="1" applyFill="1" applyBorder="1" applyAlignment="1">
      <alignment horizontal="center" vertical="top" wrapText="1"/>
    </xf>
    <xf numFmtId="0" fontId="105" fillId="32" borderId="1" xfId="0" applyFont="1" applyFill="1" applyBorder="1" applyAlignment="1">
      <alignment horizontal="center" vertical="top"/>
    </xf>
    <xf numFmtId="0" fontId="140" fillId="47" borderId="0" xfId="0" applyFont="1" applyFill="1" applyAlignment="1">
      <alignment vertical="top"/>
    </xf>
    <xf numFmtId="41" fontId="2" fillId="0" borderId="0" xfId="6" applyNumberFormat="1" applyFont="1" applyAlignment="1">
      <alignment vertical="top"/>
    </xf>
    <xf numFmtId="41" fontId="2" fillId="0" borderId="0" xfId="6" applyNumberFormat="1" applyFont="1" applyFill="1" applyAlignment="1">
      <alignment vertical="top"/>
    </xf>
    <xf numFmtId="41" fontId="2" fillId="34" borderId="0" xfId="6" applyNumberFormat="1" applyFont="1" applyFill="1" applyAlignment="1">
      <alignment vertical="top"/>
    </xf>
    <xf numFmtId="167" fontId="2" fillId="0" borderId="0" xfId="6" applyNumberFormat="1" applyFont="1" applyAlignment="1">
      <alignment vertical="top"/>
    </xf>
    <xf numFmtId="174" fontId="2" fillId="0" borderId="0" xfId="11" applyNumberFormat="1" applyFont="1" applyAlignment="1">
      <alignment vertical="top"/>
    </xf>
    <xf numFmtId="174" fontId="2" fillId="0" borderId="0" xfId="11" applyNumberFormat="1" applyFont="1" applyFill="1" applyAlignment="1">
      <alignment vertical="top"/>
    </xf>
    <xf numFmtId="10" fontId="2" fillId="0" borderId="0" xfId="11" applyNumberFormat="1" applyFont="1" applyAlignment="1">
      <alignment vertical="top"/>
    </xf>
    <xf numFmtId="166" fontId="2" fillId="0" borderId="0" xfId="6" applyNumberFormat="1" applyFont="1" applyFill="1" applyAlignment="1">
      <alignment vertical="top"/>
    </xf>
    <xf numFmtId="0" fontId="160" fillId="5" borderId="0" xfId="7" applyFont="1" applyFill="1" applyAlignment="1">
      <alignment vertical="top"/>
    </xf>
    <xf numFmtId="0" fontId="161" fillId="0" borderId="0" xfId="7" applyFont="1" applyAlignment="1">
      <alignment vertical="top"/>
    </xf>
    <xf numFmtId="0" fontId="160" fillId="25" borderId="0" xfId="7" applyFont="1" applyFill="1" applyAlignment="1">
      <alignment horizontal="right" vertical="top"/>
    </xf>
    <xf numFmtId="0" fontId="160" fillId="0" borderId="0" xfId="7" applyFont="1" applyAlignment="1">
      <alignment horizontal="right" vertical="top"/>
    </xf>
    <xf numFmtId="0" fontId="160" fillId="26" borderId="0" xfId="7" applyFont="1" applyFill="1" applyAlignment="1">
      <alignment vertical="top"/>
    </xf>
    <xf numFmtId="0" fontId="161" fillId="0" borderId="0" xfId="7" applyFont="1" applyAlignment="1">
      <alignment horizontal="right" vertical="top"/>
    </xf>
    <xf numFmtId="0" fontId="161" fillId="34" borderId="0" xfId="7" applyFont="1" applyFill="1" applyAlignment="1">
      <alignment vertical="top"/>
    </xf>
    <xf numFmtId="0" fontId="160" fillId="0" borderId="0" xfId="7" applyFont="1" applyAlignment="1">
      <alignment vertical="top"/>
    </xf>
    <xf numFmtId="41" fontId="160" fillId="0" borderId="0" xfId="6" applyNumberFormat="1" applyFont="1" applyAlignment="1">
      <alignment vertical="top"/>
    </xf>
    <xf numFmtId="41" fontId="160" fillId="0" borderId="0" xfId="6" applyNumberFormat="1" applyFont="1" applyFill="1" applyAlignment="1">
      <alignment vertical="top"/>
    </xf>
    <xf numFmtId="41" fontId="160" fillId="34" borderId="0" xfId="6" applyNumberFormat="1" applyFont="1" applyFill="1" applyAlignment="1">
      <alignment vertical="top"/>
    </xf>
    <xf numFmtId="41" fontId="161" fillId="0" borderId="0" xfId="6" applyNumberFormat="1" applyFont="1" applyAlignment="1">
      <alignment vertical="top"/>
    </xf>
    <xf numFmtId="41" fontId="161" fillId="0" borderId="0" xfId="6" applyNumberFormat="1" applyFont="1" applyFill="1" applyAlignment="1">
      <alignment vertical="top"/>
    </xf>
    <xf numFmtId="41" fontId="161" fillId="34" borderId="0" xfId="6" applyNumberFormat="1" applyFont="1" applyFill="1" applyAlignment="1">
      <alignment vertical="top"/>
    </xf>
    <xf numFmtId="43" fontId="162" fillId="0" borderId="0" xfId="6" applyFont="1" applyAlignment="1">
      <alignment vertical="top"/>
    </xf>
    <xf numFmtId="166" fontId="161" fillId="0" borderId="0" xfId="6" applyNumberFormat="1" applyFont="1" applyAlignment="1">
      <alignment vertical="top"/>
    </xf>
    <xf numFmtId="183" fontId="160" fillId="12" borderId="0" xfId="6" applyNumberFormat="1" applyFont="1" applyFill="1" applyAlignment="1">
      <alignment vertical="top"/>
    </xf>
    <xf numFmtId="180" fontId="160" fillId="12" borderId="0" xfId="6" applyNumberFormat="1" applyFont="1" applyFill="1" applyAlignment="1">
      <alignment vertical="top"/>
    </xf>
    <xf numFmtId="43" fontId="160" fillId="0" borderId="0" xfId="7" applyNumberFormat="1" applyFont="1" applyAlignment="1">
      <alignment vertical="top"/>
    </xf>
    <xf numFmtId="166" fontId="160" fillId="10" borderId="0" xfId="6" applyNumberFormat="1" applyFont="1" applyFill="1" applyAlignment="1">
      <alignment vertical="top"/>
    </xf>
    <xf numFmtId="166" fontId="160" fillId="14" borderId="0" xfId="6" applyNumberFormat="1" applyFont="1" applyFill="1" applyAlignment="1">
      <alignment vertical="top"/>
    </xf>
    <xf numFmtId="0" fontId="160" fillId="14" borderId="0" xfId="7" applyFont="1" applyFill="1" applyAlignment="1">
      <alignment vertical="top"/>
    </xf>
    <xf numFmtId="43" fontId="161" fillId="0" borderId="0" xfId="6" applyFont="1" applyAlignment="1">
      <alignment vertical="top"/>
    </xf>
    <xf numFmtId="167" fontId="161" fillId="0" borderId="0" xfId="6" applyNumberFormat="1" applyFont="1" applyAlignment="1">
      <alignment vertical="top"/>
    </xf>
    <xf numFmtId="166" fontId="161" fillId="10" borderId="0" xfId="6" applyNumberFormat="1" applyFont="1" applyFill="1" applyAlignment="1">
      <alignment vertical="top"/>
    </xf>
    <xf numFmtId="166" fontId="161" fillId="14" borderId="0" xfId="6" applyNumberFormat="1" applyFont="1" applyFill="1" applyAlignment="1">
      <alignment vertical="top"/>
    </xf>
    <xf numFmtId="0" fontId="161" fillId="14" borderId="0" xfId="7" applyFont="1" applyFill="1" applyAlignment="1">
      <alignment vertical="top"/>
    </xf>
    <xf numFmtId="43" fontId="160" fillId="0" borderId="0" xfId="6" applyFont="1" applyAlignment="1">
      <alignment vertical="top"/>
    </xf>
    <xf numFmtId="183" fontId="161" fillId="0" borderId="0" xfId="6" applyNumberFormat="1" applyFont="1" applyAlignment="1">
      <alignment vertical="top"/>
    </xf>
    <xf numFmtId="168" fontId="160" fillId="0" borderId="0" xfId="7" applyNumberFormat="1" applyFont="1" applyAlignment="1">
      <alignment vertical="top"/>
    </xf>
    <xf numFmtId="168" fontId="160" fillId="34" borderId="0" xfId="7" applyNumberFormat="1" applyFont="1" applyFill="1" applyAlignment="1">
      <alignment vertical="top"/>
    </xf>
    <xf numFmtId="0" fontId="160" fillId="34" borderId="0" xfId="7" applyFont="1" applyFill="1" applyAlignment="1">
      <alignment vertical="top"/>
    </xf>
    <xf numFmtId="168" fontId="161" fillId="12" borderId="0" xfId="7" applyNumberFormat="1" applyFont="1" applyFill="1" applyAlignment="1">
      <alignment vertical="top"/>
    </xf>
    <xf numFmtId="168" fontId="161" fillId="5" borderId="0" xfId="7" applyNumberFormat="1" applyFont="1" applyFill="1" applyAlignment="1">
      <alignment vertical="top"/>
    </xf>
    <xf numFmtId="168" fontId="161" fillId="0" borderId="0" xfId="7" applyNumberFormat="1" applyFont="1" applyAlignment="1">
      <alignment vertical="top"/>
    </xf>
    <xf numFmtId="43" fontId="161" fillId="0" borderId="0" xfId="7" applyNumberFormat="1" applyFont="1" applyAlignment="1">
      <alignment vertical="top"/>
    </xf>
    <xf numFmtId="0" fontId="161" fillId="12" borderId="0" xfId="7" applyFont="1" applyFill="1" applyAlignment="1">
      <alignment vertical="top"/>
    </xf>
    <xf numFmtId="166" fontId="160" fillId="0" borderId="0" xfId="6" applyNumberFormat="1" applyFont="1" applyAlignment="1">
      <alignment vertical="top"/>
    </xf>
    <xf numFmtId="0" fontId="161" fillId="0" borderId="42" xfId="7" applyFont="1" applyBorder="1" applyAlignment="1">
      <alignment vertical="top"/>
    </xf>
    <xf numFmtId="0" fontId="163" fillId="0" borderId="0" xfId="7" applyFont="1" applyAlignment="1">
      <alignment vertical="top"/>
    </xf>
    <xf numFmtId="0" fontId="164" fillId="0" borderId="0" xfId="7" applyFont="1" applyAlignment="1">
      <alignment vertical="top"/>
    </xf>
    <xf numFmtId="174" fontId="160" fillId="0" borderId="0" xfId="11" applyNumberFormat="1" applyFont="1" applyAlignment="1">
      <alignment vertical="top"/>
    </xf>
    <xf numFmtId="174" fontId="160" fillId="0" borderId="0" xfId="11" applyNumberFormat="1" applyFont="1" applyFill="1" applyAlignment="1">
      <alignment vertical="top"/>
    </xf>
    <xf numFmtId="43" fontId="162" fillId="0" borderId="0" xfId="7" applyNumberFormat="1" applyFont="1" applyAlignment="1">
      <alignment vertical="top"/>
    </xf>
    <xf numFmtId="166" fontId="160" fillId="0" borderId="0" xfId="6" applyNumberFormat="1" applyFont="1" applyFill="1" applyAlignment="1">
      <alignment vertical="top"/>
    </xf>
    <xf numFmtId="43" fontId="160" fillId="12" borderId="0" xfId="6" applyFont="1" applyFill="1" applyAlignment="1">
      <alignment vertical="top"/>
    </xf>
    <xf numFmtId="166" fontId="161" fillId="0" borderId="0" xfId="7" applyNumberFormat="1" applyFont="1" applyAlignment="1">
      <alignment vertical="top"/>
    </xf>
    <xf numFmtId="166" fontId="161" fillId="0" borderId="0" xfId="6" applyNumberFormat="1" applyFont="1" applyFill="1" applyAlignment="1">
      <alignment vertical="top"/>
    </xf>
    <xf numFmtId="10" fontId="161" fillId="0" borderId="0" xfId="7" applyNumberFormat="1" applyFont="1" applyAlignment="1">
      <alignment vertical="top"/>
    </xf>
    <xf numFmtId="10" fontId="160" fillId="0" borderId="0" xfId="7" applyNumberFormat="1" applyFont="1" applyAlignment="1">
      <alignment vertical="top"/>
    </xf>
    <xf numFmtId="10" fontId="161" fillId="12" borderId="0" xfId="7" applyNumberFormat="1" applyFont="1" applyFill="1" applyAlignment="1">
      <alignment vertical="top"/>
    </xf>
    <xf numFmtId="0" fontId="19" fillId="36" borderId="0" xfId="0" applyFont="1" applyFill="1" applyAlignment="1">
      <alignment horizontal="center" vertical="center" wrapText="1"/>
    </xf>
    <xf numFmtId="166" fontId="6" fillId="0" borderId="4" xfId="6" applyNumberFormat="1" applyFont="1" applyFill="1" applyBorder="1"/>
    <xf numFmtId="166" fontId="0" fillId="0" borderId="126" xfId="6" applyNumberFormat="1" applyFont="1" applyFill="1" applyBorder="1"/>
    <xf numFmtId="166" fontId="6" fillId="0" borderId="126" xfId="6" applyNumberFormat="1" applyFont="1" applyFill="1" applyBorder="1"/>
    <xf numFmtId="166" fontId="148" fillId="0" borderId="126" xfId="6" applyNumberFormat="1" applyFont="1" applyFill="1" applyBorder="1"/>
    <xf numFmtId="166" fontId="149" fillId="0" borderId="126" xfId="6" applyNumberFormat="1" applyFont="1" applyFill="1" applyBorder="1"/>
    <xf numFmtId="166" fontId="150" fillId="0" borderId="0" xfId="6" applyNumberFormat="1" applyFont="1" applyFill="1"/>
    <xf numFmtId="0" fontId="0" fillId="0" borderId="133" xfId="0" applyBorder="1"/>
    <xf numFmtId="166" fontId="0" fillId="0" borderId="133" xfId="6" applyNumberFormat="1" applyFont="1" applyBorder="1"/>
    <xf numFmtId="168" fontId="0" fillId="0" borderId="133" xfId="0" applyNumberFormat="1" applyBorder="1"/>
    <xf numFmtId="168" fontId="0" fillId="0" borderId="126" xfId="0" applyNumberFormat="1" applyBorder="1"/>
    <xf numFmtId="168" fontId="0" fillId="5" borderId="126" xfId="0" applyNumberFormat="1" applyFill="1" applyBorder="1"/>
    <xf numFmtId="0" fontId="13" fillId="35" borderId="0" xfId="0" applyFont="1" applyFill="1"/>
    <xf numFmtId="0" fontId="13" fillId="35" borderId="0" xfId="0" applyFont="1" applyFill="1" applyAlignment="1">
      <alignment horizontal="right"/>
    </xf>
    <xf numFmtId="174" fontId="117" fillId="51" borderId="1" xfId="12" applyNumberFormat="1" applyFont="1" applyFill="1" applyBorder="1" applyAlignment="1">
      <alignment horizontal="center" vertical="center"/>
    </xf>
    <xf numFmtId="174" fontId="117" fillId="51" borderId="2" xfId="12" applyNumberFormat="1" applyFont="1" applyFill="1" applyBorder="1" applyAlignment="1">
      <alignment horizontal="center" vertical="center"/>
    </xf>
    <xf numFmtId="174" fontId="117" fillId="51" borderId="91" xfId="12" applyNumberFormat="1" applyFont="1" applyFill="1" applyBorder="1" applyAlignment="1">
      <alignment horizontal="center" vertical="center" wrapText="1"/>
    </xf>
    <xf numFmtId="174" fontId="117" fillId="52" borderId="1" xfId="12" applyNumberFormat="1" applyFont="1" applyFill="1" applyBorder="1" applyAlignment="1">
      <alignment horizontal="center" vertical="center"/>
    </xf>
    <xf numFmtId="174" fontId="117" fillId="52" borderId="2" xfId="12" applyNumberFormat="1" applyFont="1" applyFill="1" applyBorder="1" applyAlignment="1">
      <alignment horizontal="center" vertical="center"/>
    </xf>
    <xf numFmtId="174" fontId="117" fillId="52" borderId="91" xfId="12" applyNumberFormat="1" applyFont="1" applyFill="1" applyBorder="1" applyAlignment="1">
      <alignment horizontal="center" vertical="center" wrapText="1"/>
    </xf>
    <xf numFmtId="174" fontId="117" fillId="41" borderId="3" xfId="12" applyNumberFormat="1" applyFont="1" applyFill="1" applyBorder="1" applyAlignment="1">
      <alignment horizontal="center" vertical="center" wrapText="1"/>
    </xf>
    <xf numFmtId="165" fontId="120" fillId="0" borderId="3" xfId="12" applyFont="1" applyBorder="1" applyAlignment="1">
      <alignment vertical="center"/>
    </xf>
    <xf numFmtId="49" fontId="117" fillId="43" borderId="134" xfId="12" applyNumberFormat="1" applyFont="1" applyFill="1" applyBorder="1" applyAlignment="1">
      <alignment horizontal="center" vertical="center" wrapText="1"/>
    </xf>
    <xf numFmtId="168" fontId="120" fillId="28" borderId="3" xfId="9" applyNumberFormat="1" applyFont="1" applyFill="1" applyBorder="1" applyAlignment="1">
      <alignment horizontal="right" vertical="center"/>
    </xf>
    <xf numFmtId="2" fontId="121" fillId="0" borderId="22" xfId="6" applyNumberFormat="1" applyFont="1" applyBorder="1" applyAlignment="1">
      <alignment horizontal="right" vertical="center"/>
    </xf>
    <xf numFmtId="168" fontId="121" fillId="0" borderId="20" xfId="9" applyNumberFormat="1" applyFont="1" applyBorder="1" applyAlignment="1">
      <alignment horizontal="right" vertical="center"/>
    </xf>
    <xf numFmtId="168" fontId="121" fillId="0" borderId="22" xfId="9" applyNumberFormat="1" applyFont="1" applyBorder="1" applyAlignment="1">
      <alignment horizontal="right" vertical="center"/>
    </xf>
    <xf numFmtId="168" fontId="121" fillId="0" borderId="24" xfId="9" applyNumberFormat="1" applyFont="1" applyBorder="1" applyAlignment="1">
      <alignment horizontal="right" vertical="center"/>
    </xf>
    <xf numFmtId="168" fontId="122" fillId="28" borderId="3" xfId="9" applyNumberFormat="1" applyFont="1" applyFill="1" applyBorder="1" applyAlignment="1">
      <alignment horizontal="right" vertical="center"/>
    </xf>
    <xf numFmtId="168" fontId="122" fillId="28" borderId="5" xfId="9" applyNumberFormat="1" applyFont="1" applyFill="1" applyBorder="1" applyAlignment="1">
      <alignment horizontal="right" vertical="center"/>
    </xf>
    <xf numFmtId="9" fontId="120" fillId="0" borderId="120" xfId="9" applyFont="1" applyBorder="1" applyAlignment="1">
      <alignment horizontal="right" vertical="center"/>
    </xf>
    <xf numFmtId="9" fontId="123" fillId="0" borderId="20" xfId="9" applyFont="1" applyBorder="1" applyAlignment="1">
      <alignment vertical="center"/>
    </xf>
    <xf numFmtId="9" fontId="123" fillId="0" borderId="135" xfId="9" applyFont="1" applyBorder="1" applyAlignment="1">
      <alignment vertical="center"/>
    </xf>
    <xf numFmtId="2" fontId="0" fillId="0" borderId="0" xfId="0" applyNumberFormat="1"/>
    <xf numFmtId="174" fontId="6" fillId="0" borderId="0" xfId="0" applyNumberFormat="1" applyFont="1"/>
    <xf numFmtId="166" fontId="110" fillId="5" borderId="0" xfId="6" applyNumberFormat="1" applyFont="1" applyFill="1"/>
    <xf numFmtId="174" fontId="140" fillId="8" borderId="0" xfId="12" applyNumberFormat="1" applyFont="1" applyFill="1" applyAlignment="1">
      <alignment horizontal="center"/>
    </xf>
    <xf numFmtId="11" fontId="109" fillId="0" borderId="0" xfId="0" applyNumberFormat="1" applyFont="1"/>
    <xf numFmtId="43" fontId="109" fillId="0" borderId="0" xfId="6" applyFont="1"/>
    <xf numFmtId="174" fontId="140" fillId="8" borderId="3" xfId="12" applyNumberFormat="1" applyFont="1" applyFill="1" applyBorder="1"/>
    <xf numFmtId="174" fontId="140" fillId="8" borderId="1" xfId="12" applyNumberFormat="1" applyFont="1" applyFill="1" applyBorder="1"/>
    <xf numFmtId="174" fontId="106" fillId="8" borderId="2" xfId="12" applyNumberFormat="1" applyFont="1" applyFill="1" applyBorder="1"/>
    <xf numFmtId="174" fontId="109" fillId="53" borderId="1" xfId="12" applyNumberFormat="1" applyFont="1" applyFill="1" applyBorder="1"/>
    <xf numFmtId="43" fontId="108" fillId="0" borderId="0" xfId="6" applyFont="1"/>
    <xf numFmtId="43" fontId="109" fillId="5" borderId="0" xfId="6" applyFont="1" applyFill="1"/>
    <xf numFmtId="0" fontId="140" fillId="0" borderId="0" xfId="0" applyFont="1"/>
    <xf numFmtId="164" fontId="0" fillId="0" borderId="0" xfId="16" applyFont="1"/>
    <xf numFmtId="164" fontId="109" fillId="0" borderId="0" xfId="16" applyFont="1" applyAlignment="1">
      <alignment horizontal="left"/>
    </xf>
    <xf numFmtId="164" fontId="140" fillId="47" borderId="0" xfId="16" applyFont="1" applyFill="1" applyAlignment="1">
      <alignment horizontal="left" vertical="top"/>
    </xf>
    <xf numFmtId="164" fontId="140" fillId="47" borderId="0" xfId="16" applyFont="1" applyFill="1" applyAlignment="1">
      <alignment horizontal="left"/>
    </xf>
    <xf numFmtId="164" fontId="109" fillId="0" borderId="0" xfId="16" quotePrefix="1" applyFont="1" applyAlignment="1">
      <alignment horizontal="left"/>
    </xf>
    <xf numFmtId="164" fontId="109" fillId="0" borderId="0" xfId="16" applyFont="1"/>
    <xf numFmtId="164" fontId="140" fillId="0" borderId="0" xfId="16" applyFont="1" applyAlignment="1">
      <alignment horizontal="left" vertical="center"/>
    </xf>
    <xf numFmtId="164" fontId="111" fillId="0" borderId="0" xfId="16" applyFont="1" applyAlignment="1">
      <alignment horizontal="left"/>
    </xf>
    <xf numFmtId="174" fontId="136" fillId="0" borderId="0" xfId="0" applyNumberFormat="1" applyFont="1" applyAlignment="1">
      <alignment horizontal="left"/>
    </xf>
    <xf numFmtId="186" fontId="110" fillId="0" borderId="1" xfId="16" applyNumberFormat="1" applyFont="1" applyBorder="1"/>
    <xf numFmtId="186" fontId="107" fillId="28" borderId="1" xfId="16" applyNumberFormat="1" applyFont="1" applyFill="1" applyBorder="1" applyAlignment="1">
      <alignment horizontal="left"/>
    </xf>
    <xf numFmtId="186" fontId="111" fillId="0" borderId="1" xfId="16" applyNumberFormat="1" applyFont="1" applyBorder="1"/>
    <xf numFmtId="187" fontId="111" fillId="0" borderId="0" xfId="0" applyNumberFormat="1" applyFont="1"/>
    <xf numFmtId="168" fontId="0" fillId="0" borderId="0" xfId="9" applyNumberFormat="1" applyFont="1"/>
    <xf numFmtId="0" fontId="165" fillId="0" borderId="127" xfId="0" applyFont="1" applyBorder="1"/>
    <xf numFmtId="0" fontId="165" fillId="0" borderId="0" xfId="0" applyFont="1"/>
    <xf numFmtId="43" fontId="165" fillId="0" borderId="127" xfId="6" applyFont="1" applyBorder="1"/>
    <xf numFmtId="0" fontId="13" fillId="45" borderId="0" xfId="0" applyFont="1" applyFill="1"/>
    <xf numFmtId="0" fontId="166" fillId="0" borderId="0" xfId="0" applyFont="1"/>
    <xf numFmtId="11" fontId="166" fillId="0" borderId="0" xfId="0" applyNumberFormat="1" applyFont="1"/>
    <xf numFmtId="43" fontId="166" fillId="0" borderId="0" xfId="0" applyNumberFormat="1" applyFont="1"/>
    <xf numFmtId="0" fontId="100" fillId="0" borderId="0" xfId="0" applyFont="1"/>
    <xf numFmtId="168" fontId="152" fillId="12" borderId="0" xfId="0" applyNumberFormat="1" applyFont="1" applyFill="1"/>
    <xf numFmtId="168" fontId="152" fillId="12" borderId="0" xfId="6" applyNumberFormat="1" applyFont="1" applyFill="1"/>
    <xf numFmtId="43" fontId="122" fillId="28" borderId="3" xfId="6" applyFont="1" applyFill="1" applyBorder="1" applyAlignment="1">
      <alignment horizontal="left" vertical="center"/>
    </xf>
    <xf numFmtId="43" fontId="122" fillId="28" borderId="1" xfId="6" applyFont="1" applyFill="1" applyBorder="1" applyAlignment="1">
      <alignment horizontal="left" vertical="center"/>
    </xf>
    <xf numFmtId="43" fontId="3" fillId="0" borderId="126" xfId="6" applyFont="1" applyFill="1" applyBorder="1"/>
    <xf numFmtId="188" fontId="160" fillId="12" borderId="0" xfId="6" applyNumberFormat="1" applyFont="1" applyFill="1" applyAlignment="1">
      <alignment vertical="top"/>
    </xf>
    <xf numFmtId="189" fontId="6" fillId="0" borderId="0" xfId="0" applyNumberFormat="1" applyFont="1"/>
    <xf numFmtId="190" fontId="6" fillId="0" borderId="0" xfId="0" applyNumberFormat="1" applyFont="1"/>
    <xf numFmtId="0" fontId="1" fillId="0" borderId="0" xfId="0" applyFont="1" applyAlignment="1">
      <alignment vertical="center" wrapText="1"/>
    </xf>
    <xf numFmtId="174" fontId="109" fillId="4" borderId="3" xfId="12" applyNumberFormat="1" applyFont="1" applyFill="1" applyBorder="1"/>
    <xf numFmtId="174" fontId="109" fillId="4" borderId="1" xfId="12" applyNumberFormat="1" applyFont="1" applyFill="1" applyBorder="1"/>
    <xf numFmtId="166" fontId="0" fillId="0" borderId="0" xfId="6" applyNumberFormat="1" applyFont="1" applyAlignment="1"/>
    <xf numFmtId="167" fontId="0" fillId="0" borderId="126" xfId="6" applyNumberFormat="1" applyFont="1" applyBorder="1"/>
    <xf numFmtId="0" fontId="69" fillId="0" borderId="0" xfId="0" applyFont="1" applyAlignment="1">
      <alignment horizontal="left" vertical="top"/>
    </xf>
    <xf numFmtId="0" fontId="63" fillId="0" borderId="0" xfId="0" applyFont="1" applyAlignment="1">
      <alignment horizontal="left" vertical="top"/>
    </xf>
    <xf numFmtId="0" fontId="67" fillId="0" borderId="0" xfId="0" applyFont="1" applyAlignment="1">
      <alignment horizontal="center" vertical="top" wrapText="1"/>
    </xf>
    <xf numFmtId="0" fontId="67" fillId="0" borderId="0" xfId="0" applyFont="1" applyAlignment="1">
      <alignment horizontal="center" vertical="center" wrapText="1"/>
    </xf>
    <xf numFmtId="0" fontId="67" fillId="0" borderId="0" xfId="0" applyFont="1" applyAlignment="1">
      <alignment horizontal="left" vertical="top" wrapText="1"/>
    </xf>
    <xf numFmtId="0" fontId="60" fillId="0" borderId="0" xfId="0" applyFont="1" applyAlignment="1">
      <alignment horizontal="left" vertical="top" wrapText="1"/>
    </xf>
    <xf numFmtId="0" fontId="19" fillId="17" borderId="0" xfId="0" applyFont="1" applyFill="1" applyAlignment="1">
      <alignment horizontal="center" vertical="center"/>
    </xf>
    <xf numFmtId="0" fontId="19" fillId="17" borderId="0" xfId="0" applyFont="1" applyFill="1" applyAlignment="1">
      <alignment horizontal="center" vertical="center" wrapText="1"/>
    </xf>
    <xf numFmtId="0" fontId="19" fillId="19" borderId="0" xfId="0" applyFont="1" applyFill="1" applyAlignment="1">
      <alignment horizontal="center" vertical="center" wrapText="1"/>
    </xf>
    <xf numFmtId="0" fontId="19" fillId="36" borderId="8" xfId="0" applyFont="1" applyFill="1" applyBorder="1" applyAlignment="1">
      <alignment horizontal="center" vertical="center"/>
    </xf>
    <xf numFmtId="0" fontId="19" fillId="36" borderId="8" xfId="0" applyFont="1" applyFill="1" applyBorder="1" applyAlignment="1">
      <alignment horizontal="center" vertical="center" wrapText="1"/>
    </xf>
    <xf numFmtId="0" fontId="19" fillId="17" borderId="8" xfId="0" applyFont="1" applyFill="1" applyBorder="1" applyAlignment="1">
      <alignment horizontal="center" vertical="center" wrapText="1"/>
    </xf>
    <xf numFmtId="9" fontId="112" fillId="0" borderId="16" xfId="9" applyFont="1" applyBorder="1" applyAlignment="1">
      <alignment horizontal="left" vertical="top" wrapText="1"/>
    </xf>
    <xf numFmtId="174" fontId="117" fillId="33" borderId="51" xfId="12" applyNumberFormat="1" applyFont="1" applyFill="1" applyBorder="1" applyAlignment="1">
      <alignment horizontal="center" vertical="center" wrapText="1"/>
    </xf>
    <xf numFmtId="174" fontId="117" fillId="33" borderId="0" xfId="12" applyNumberFormat="1" applyFont="1" applyFill="1" applyBorder="1" applyAlignment="1">
      <alignment horizontal="center" vertical="center" wrapText="1"/>
    </xf>
    <xf numFmtId="174" fontId="120" fillId="28" borderId="1" xfId="12" applyNumberFormat="1" applyFont="1" applyFill="1" applyBorder="1" applyAlignment="1">
      <alignment horizontal="center" vertical="center" wrapText="1"/>
    </xf>
    <xf numFmtId="164" fontId="112" fillId="0" borderId="15" xfId="16" quotePrefix="1" applyFont="1" applyBorder="1" applyAlignment="1">
      <alignment horizontal="left" vertical="top" wrapText="1"/>
    </xf>
    <xf numFmtId="164" fontId="112" fillId="0" borderId="15" xfId="16" applyFont="1" applyBorder="1" applyAlignment="1">
      <alignment horizontal="left" vertical="top" wrapText="1"/>
    </xf>
    <xf numFmtId="9" fontId="112" fillId="0" borderId="16" xfId="9" quotePrefix="1" applyFont="1" applyBorder="1" applyAlignment="1">
      <alignment horizontal="left" vertical="top" wrapText="1"/>
    </xf>
    <xf numFmtId="9" fontId="112" fillId="0" borderId="16" xfId="9" quotePrefix="1" applyFont="1" applyFill="1" applyBorder="1" applyAlignment="1">
      <alignment horizontal="left" vertical="top" wrapText="1"/>
    </xf>
    <xf numFmtId="9" fontId="112" fillId="0" borderId="16" xfId="9" applyFont="1" applyFill="1" applyBorder="1" applyAlignment="1">
      <alignment horizontal="left" vertical="top" wrapText="1"/>
    </xf>
    <xf numFmtId="0" fontId="123" fillId="0" borderId="1" xfId="0" applyFont="1" applyBorder="1" applyAlignment="1">
      <alignment horizontal="left" vertical="center" wrapText="1"/>
    </xf>
    <xf numFmtId="9" fontId="112" fillId="0" borderId="1" xfId="9" applyFont="1" applyBorder="1" applyAlignment="1">
      <alignment horizontal="left" vertical="top" wrapText="1"/>
    </xf>
    <xf numFmtId="9" fontId="112" fillId="0" borderId="17" xfId="9" quotePrefix="1" applyFont="1" applyBorder="1" applyAlignment="1">
      <alignment horizontal="left" vertical="top" wrapText="1"/>
    </xf>
    <xf numFmtId="9" fontId="112" fillId="0" borderId="17" xfId="9" applyFont="1" applyBorder="1" applyAlignment="1">
      <alignment horizontal="left" vertical="top" wrapText="1"/>
    </xf>
    <xf numFmtId="9" fontId="112" fillId="0" borderId="15" xfId="9" applyFont="1" applyBorder="1" applyAlignment="1">
      <alignment horizontal="left" vertical="top" wrapText="1"/>
    </xf>
    <xf numFmtId="49" fontId="112" fillId="0" borderId="16" xfId="9" quotePrefix="1" applyNumberFormat="1" applyFont="1" applyBorder="1" applyAlignment="1">
      <alignment horizontal="left" vertical="top" wrapText="1"/>
    </xf>
    <xf numFmtId="49" fontId="112" fillId="0" borderId="16" xfId="9" applyNumberFormat="1" applyFont="1" applyBorder="1" applyAlignment="1">
      <alignment horizontal="left" vertical="top"/>
    </xf>
    <xf numFmtId="174" fontId="112" fillId="0" borderId="16" xfId="9" applyNumberFormat="1" applyFont="1" applyBorder="1" applyAlignment="1">
      <alignment horizontal="left" vertical="top" wrapText="1"/>
    </xf>
    <xf numFmtId="174" fontId="112" fillId="0" borderId="16" xfId="9" quotePrefix="1" applyNumberFormat="1" applyFont="1" applyBorder="1" applyAlignment="1">
      <alignment horizontal="left" vertical="top" wrapText="1"/>
    </xf>
    <xf numFmtId="0" fontId="123" fillId="0" borderId="15" xfId="0" applyFont="1" applyBorder="1" applyAlignment="1">
      <alignment horizontal="left" vertical="center" wrapText="1"/>
    </xf>
    <xf numFmtId="0" fontId="123" fillId="0" borderId="17" xfId="0" applyFont="1" applyBorder="1" applyAlignment="1">
      <alignment horizontal="left" vertical="center" wrapText="1"/>
    </xf>
    <xf numFmtId="0" fontId="133" fillId="35" borderId="72" xfId="0" applyFont="1" applyFill="1" applyBorder="1" applyAlignment="1">
      <alignment horizontal="center" vertical="center"/>
    </xf>
    <xf numFmtId="0" fontId="133" fillId="35" borderId="12" xfId="0" applyFont="1" applyFill="1" applyBorder="1" applyAlignment="1">
      <alignment horizontal="center" vertical="center"/>
    </xf>
    <xf numFmtId="0" fontId="133" fillId="35" borderId="14" xfId="0" applyFont="1" applyFill="1" applyBorder="1" applyAlignment="1">
      <alignment horizontal="center" vertical="center"/>
    </xf>
    <xf numFmtId="166" fontId="16" fillId="24" borderId="70" xfId="6" applyNumberFormat="1" applyFont="1" applyFill="1" applyBorder="1" applyAlignment="1">
      <alignment vertical="center"/>
    </xf>
    <xf numFmtId="166" fontId="16" fillId="24" borderId="55" xfId="6" applyNumberFormat="1" applyFont="1" applyFill="1" applyBorder="1" applyAlignment="1">
      <alignment vertical="center"/>
    </xf>
    <xf numFmtId="166" fontId="16" fillId="24" borderId="73" xfId="6" applyNumberFormat="1" applyFont="1" applyFill="1" applyBorder="1" applyAlignment="1">
      <alignment vertical="center"/>
    </xf>
    <xf numFmtId="166" fontId="16" fillId="14" borderId="70" xfId="6" applyNumberFormat="1" applyFont="1" applyFill="1" applyBorder="1" applyAlignment="1">
      <alignment vertical="center"/>
    </xf>
    <xf numFmtId="166" fontId="16" fillId="14" borderId="55" xfId="6" applyNumberFormat="1" applyFont="1" applyFill="1" applyBorder="1" applyAlignment="1">
      <alignment vertical="center"/>
    </xf>
    <xf numFmtId="166" fontId="16" fillId="14" borderId="73" xfId="6" applyNumberFormat="1" applyFont="1" applyFill="1" applyBorder="1" applyAlignment="1">
      <alignment vertical="center"/>
    </xf>
    <xf numFmtId="166" fontId="16" fillId="14" borderId="59" xfId="6" applyNumberFormat="1" applyFont="1" applyFill="1" applyBorder="1" applyAlignment="1">
      <alignment horizontal="right" vertical="center"/>
    </xf>
    <xf numFmtId="166" fontId="16" fillId="14" borderId="16" xfId="6" applyNumberFormat="1" applyFont="1" applyFill="1" applyBorder="1" applyAlignment="1">
      <alignment horizontal="right" vertical="center"/>
    </xf>
    <xf numFmtId="166" fontId="16" fillId="14" borderId="63" xfId="6" applyNumberFormat="1" applyFont="1" applyFill="1" applyBorder="1" applyAlignment="1">
      <alignment horizontal="right" vertical="center"/>
    </xf>
    <xf numFmtId="0" fontId="16" fillId="24" borderId="59" xfId="0" applyFont="1" applyFill="1" applyBorder="1" applyAlignment="1">
      <alignment horizontal="left" vertical="center"/>
    </xf>
    <xf numFmtId="0" fontId="16" fillId="24" borderId="16" xfId="0" applyFont="1" applyFill="1" applyBorder="1" applyAlignment="1">
      <alignment horizontal="left" vertical="center"/>
    </xf>
    <xf numFmtId="0" fontId="16" fillId="24" borderId="63" xfId="0" applyFont="1" applyFill="1" applyBorder="1" applyAlignment="1">
      <alignment horizontal="left" vertical="center"/>
    </xf>
    <xf numFmtId="166" fontId="16" fillId="24" borderId="59" xfId="6" applyNumberFormat="1" applyFont="1" applyFill="1" applyBorder="1" applyAlignment="1">
      <alignment horizontal="right" vertical="center"/>
    </xf>
    <xf numFmtId="166" fontId="16" fillId="24" borderId="16" xfId="6" applyNumberFormat="1" applyFont="1" applyFill="1" applyBorder="1" applyAlignment="1">
      <alignment horizontal="right" vertical="center"/>
    </xf>
    <xf numFmtId="166" fontId="16" fillId="24" borderId="63" xfId="6" applyNumberFormat="1" applyFont="1" applyFill="1" applyBorder="1" applyAlignment="1">
      <alignment horizontal="right" vertical="center"/>
    </xf>
    <xf numFmtId="168" fontId="16" fillId="24" borderId="60" xfId="9" applyNumberFormat="1" applyFont="1" applyFill="1" applyBorder="1" applyAlignment="1">
      <alignment horizontal="center" vertical="center"/>
    </xf>
    <xf numFmtId="168" fontId="16" fillId="24" borderId="34" xfId="9" applyNumberFormat="1" applyFont="1" applyFill="1" applyBorder="1" applyAlignment="1">
      <alignment horizontal="center" vertical="center"/>
    </xf>
    <xf numFmtId="168" fontId="16" fillId="24" borderId="35" xfId="9" applyNumberFormat="1" applyFont="1" applyFill="1" applyBorder="1" applyAlignment="1">
      <alignment horizontal="center" vertical="center"/>
    </xf>
    <xf numFmtId="0" fontId="16" fillId="14" borderId="59" xfId="0" applyFont="1" applyFill="1" applyBorder="1" applyAlignment="1">
      <alignment horizontal="left" vertical="center"/>
    </xf>
    <xf numFmtId="0" fontId="16" fillId="14" borderId="16" xfId="0" applyFont="1" applyFill="1" applyBorder="1" applyAlignment="1">
      <alignment horizontal="left" vertical="center"/>
    </xf>
    <xf numFmtId="0" fontId="16" fillId="14" borderId="63" xfId="0" applyFont="1" applyFill="1" applyBorder="1" applyAlignment="1">
      <alignment horizontal="left" vertical="center"/>
    </xf>
    <xf numFmtId="166" fontId="41" fillId="14" borderId="59" xfId="13" applyNumberFormat="1" applyFont="1" applyFill="1" applyBorder="1" applyAlignment="1">
      <alignment horizontal="left" vertical="center" wrapText="1"/>
    </xf>
    <xf numFmtId="166" fontId="41" fillId="14" borderId="16" xfId="13" applyNumberFormat="1" applyFont="1" applyFill="1" applyBorder="1" applyAlignment="1">
      <alignment horizontal="left" vertical="center" wrapText="1"/>
    </xf>
    <xf numFmtId="166" fontId="41" fillId="14" borderId="63" xfId="13" applyNumberFormat="1" applyFont="1" applyFill="1" applyBorder="1" applyAlignment="1">
      <alignment horizontal="left" vertical="center" wrapText="1"/>
    </xf>
    <xf numFmtId="168" fontId="16" fillId="14" borderId="60" xfId="9" applyNumberFormat="1" applyFont="1" applyFill="1" applyBorder="1" applyAlignment="1">
      <alignment horizontal="center" vertical="center"/>
    </xf>
    <xf numFmtId="168" fontId="16" fillId="14" borderId="34" xfId="9" applyNumberFormat="1" applyFont="1" applyFill="1" applyBorder="1" applyAlignment="1">
      <alignment horizontal="center" vertical="center"/>
    </xf>
    <xf numFmtId="168" fontId="16" fillId="14" borderId="35" xfId="9" applyNumberFormat="1" applyFont="1" applyFill="1" applyBorder="1" applyAlignment="1">
      <alignment horizontal="center" vertical="center"/>
    </xf>
    <xf numFmtId="168" fontId="16" fillId="14" borderId="60" xfId="6" applyNumberFormat="1" applyFont="1" applyFill="1" applyBorder="1" applyAlignment="1">
      <alignment horizontal="center" vertical="center"/>
    </xf>
    <xf numFmtId="168" fontId="16" fillId="14" borderId="34" xfId="6" applyNumberFormat="1" applyFont="1" applyFill="1" applyBorder="1" applyAlignment="1">
      <alignment horizontal="center" vertical="center"/>
    </xf>
    <xf numFmtId="168" fontId="16" fillId="14" borderId="35" xfId="6" applyNumberFormat="1" applyFont="1" applyFill="1" applyBorder="1" applyAlignment="1">
      <alignment horizontal="center" vertical="center"/>
    </xf>
    <xf numFmtId="168" fontId="16" fillId="14" borderId="59" xfId="6" applyNumberFormat="1" applyFont="1" applyFill="1" applyBorder="1" applyAlignment="1">
      <alignment horizontal="center" vertical="center"/>
    </xf>
    <xf numFmtId="168" fontId="16" fillId="14" borderId="16" xfId="6" applyNumberFormat="1" applyFont="1" applyFill="1" applyBorder="1" applyAlignment="1">
      <alignment horizontal="center" vertical="center"/>
    </xf>
    <xf numFmtId="168" fontId="16" fillId="14" borderId="63" xfId="6" applyNumberFormat="1" applyFont="1" applyFill="1" applyBorder="1" applyAlignment="1">
      <alignment horizontal="center" vertical="center"/>
    </xf>
    <xf numFmtId="168" fontId="16" fillId="24" borderId="59" xfId="6" applyNumberFormat="1" applyFont="1" applyFill="1" applyBorder="1" applyAlignment="1">
      <alignment horizontal="center" vertical="center"/>
    </xf>
    <xf numFmtId="168" fontId="16" fillId="24" borderId="16" xfId="6" applyNumberFormat="1" applyFont="1" applyFill="1" applyBorder="1" applyAlignment="1">
      <alignment horizontal="center" vertical="center"/>
    </xf>
    <xf numFmtId="168" fontId="16" fillId="24" borderId="63" xfId="6" applyNumberFormat="1" applyFont="1" applyFill="1" applyBorder="1" applyAlignment="1">
      <alignment horizontal="center" vertical="center"/>
    </xf>
    <xf numFmtId="0" fontId="16" fillId="24" borderId="52" xfId="0" applyFont="1" applyFill="1" applyBorder="1" applyAlignment="1">
      <alignment horizontal="left" vertical="center"/>
    </xf>
    <xf numFmtId="166" fontId="16" fillId="24" borderId="52" xfId="6" applyNumberFormat="1" applyFont="1" applyFill="1" applyBorder="1" applyAlignment="1">
      <alignment horizontal="right" vertical="center"/>
    </xf>
    <xf numFmtId="168" fontId="16" fillId="24" borderId="52" xfId="6" applyNumberFormat="1" applyFont="1" applyFill="1" applyBorder="1" applyAlignment="1">
      <alignment horizontal="center" vertical="center"/>
    </xf>
    <xf numFmtId="0" fontId="16" fillId="24" borderId="15" xfId="0" applyFont="1" applyFill="1" applyBorder="1" applyAlignment="1">
      <alignment horizontal="left" vertical="center"/>
    </xf>
    <xf numFmtId="166" fontId="16" fillId="24" borderId="15" xfId="6" applyNumberFormat="1" applyFont="1" applyFill="1" applyBorder="1" applyAlignment="1">
      <alignment horizontal="right" vertical="center"/>
    </xf>
    <xf numFmtId="168" fontId="16" fillId="24" borderId="15" xfId="6" applyNumberFormat="1" applyFont="1" applyFill="1" applyBorder="1" applyAlignment="1">
      <alignment horizontal="center" vertical="center"/>
    </xf>
    <xf numFmtId="166" fontId="16" fillId="24" borderId="6" xfId="6" applyNumberFormat="1" applyFont="1" applyFill="1" applyBorder="1" applyAlignment="1">
      <alignment vertical="center"/>
    </xf>
    <xf numFmtId="168" fontId="16" fillId="24" borderId="59" xfId="0" applyNumberFormat="1" applyFont="1" applyFill="1" applyBorder="1" applyAlignment="1">
      <alignment horizontal="center" vertical="center"/>
    </xf>
    <xf numFmtId="168" fontId="16" fillId="24" borderId="16" xfId="0" applyNumberFormat="1" applyFont="1" applyFill="1" applyBorder="1" applyAlignment="1">
      <alignment horizontal="center" vertical="center"/>
    </xf>
    <xf numFmtId="168" fontId="16" fillId="24" borderId="63" xfId="0" applyNumberFormat="1" applyFont="1" applyFill="1" applyBorder="1" applyAlignment="1">
      <alignment horizontal="center" vertical="center"/>
    </xf>
    <xf numFmtId="0" fontId="16" fillId="14" borderId="15" xfId="0" applyFont="1" applyFill="1" applyBorder="1" applyAlignment="1">
      <alignment horizontal="left" vertical="center"/>
    </xf>
    <xf numFmtId="0" fontId="16" fillId="14" borderId="17" xfId="0" applyFont="1" applyFill="1" applyBorder="1" applyAlignment="1">
      <alignment horizontal="left" vertical="center"/>
    </xf>
    <xf numFmtId="0" fontId="34" fillId="0" borderId="0" xfId="0" applyFont="1" applyAlignment="1">
      <alignment horizontal="center"/>
    </xf>
    <xf numFmtId="0" fontId="34" fillId="0" borderId="4" xfId="0" applyFont="1" applyBorder="1" applyAlignment="1">
      <alignment horizontal="center"/>
    </xf>
    <xf numFmtId="0" fontId="7" fillId="6"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cellXfs>
  <cellStyles count="17">
    <cellStyle name="Comma" xfId="6" builtinId="3"/>
    <cellStyle name="Comma [0]" xfId="16" builtinId="6"/>
    <cellStyle name="Comma [0] 2" xfId="15" xr:uid="{E677E4B3-CDD1-4116-A24A-E70A0589175B}"/>
    <cellStyle name="Comma 2" xfId="2" xr:uid="{00000000-0005-0000-0000-000001000000}"/>
    <cellStyle name="Comma 2 2" xfId="12" xr:uid="{CF82DCE3-DDEE-4D92-B267-1AD8C00A5754}"/>
    <cellStyle name="Comma 4" xfId="11" xr:uid="{8CBEC4C2-189F-4E37-B4FD-18B6EE31B645}"/>
    <cellStyle name="Comma 4 2" xfId="13" xr:uid="{E89A577C-88B4-473A-B77C-E8AF99A3CA7D}"/>
    <cellStyle name="Hyperlink" xfId="10" builtinId="8"/>
    <cellStyle name="Normal" xfId="0" builtinId="0"/>
    <cellStyle name="Normal 2" xfId="3" xr:uid="{00000000-0005-0000-0000-000003000000}"/>
    <cellStyle name="Normal 2 2" xfId="7" xr:uid="{F0AB0B31-EBBB-4CC4-B6FE-55B4726D91DB}"/>
    <cellStyle name="Normal 3" xfId="5" xr:uid="{00000000-0005-0000-0000-000004000000}"/>
    <cellStyle name="Normal 3 2" xfId="8" xr:uid="{A5539AA3-EFAE-4FC7-BD93-E3518B4686D8}"/>
    <cellStyle name="Normal 3 3" xfId="14" xr:uid="{7DC2510B-2809-46CB-B929-C6F34A771852}"/>
    <cellStyle name="Normal 4" xfId="1" xr:uid="{00000000-0005-0000-0000-000005000000}"/>
    <cellStyle name="Percent" xfId="9" builtinId="5"/>
    <cellStyle name="Percent 2" xfId="4" xr:uid="{00000000-0005-0000-0000-000006000000}"/>
  </cellStyles>
  <dxfs count="17">
    <dxf>
      <font>
        <color rgb="FFFF0000"/>
      </font>
    </dxf>
    <dxf>
      <font>
        <color rgb="FFFF0000"/>
      </font>
    </dxf>
    <dxf>
      <font>
        <color rgb="FFFF0000"/>
      </font>
    </dxf>
    <dxf>
      <font>
        <color rgb="FF0000FF"/>
      </font>
    </dxf>
    <dxf>
      <font>
        <color rgb="FF0000FF"/>
      </font>
    </dxf>
    <dxf>
      <font>
        <color rgb="FF0000FF"/>
      </font>
    </dxf>
    <dxf>
      <font>
        <color rgb="FF0000FF"/>
      </font>
    </dxf>
    <dxf>
      <font>
        <color rgb="FF0000FF"/>
      </font>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numFmt numFmtId="166" formatCode="_(* #,##0_);_(* \(#,##0\);_(* &quot;-&quot;??_);_(@_)"/>
    </dxf>
    <dxf>
      <font>
        <b val="0"/>
        <i val="0"/>
        <strike val="0"/>
        <condense val="0"/>
        <extend val="0"/>
        <outline val="0"/>
        <shadow val="0"/>
        <u val="none"/>
        <vertAlign val="baseline"/>
        <sz val="11"/>
        <color theme="1"/>
        <name val="Aptos Narrow"/>
        <family val="2"/>
        <scheme val="minor"/>
      </font>
      <numFmt numFmtId="166" formatCode="_(* #,##0_);_(* \(#,##0\);_(* &quot;-&quot;??_);_(@_)"/>
    </dxf>
    <dxf>
      <font>
        <b val="0"/>
        <i val="0"/>
        <strike val="0"/>
        <condense val="0"/>
        <extend val="0"/>
        <outline val="0"/>
        <shadow val="0"/>
        <u val="none"/>
        <vertAlign val="baseline"/>
        <sz val="11"/>
        <color theme="1"/>
        <name val="Aptos Narrow"/>
        <family val="2"/>
        <scheme val="minor"/>
      </font>
      <numFmt numFmtId="166" formatCode="_(* #,##0_);_(* \(#,##0\);_(* &quot;-&quot;??_);_(@_)"/>
    </dxf>
    <dxf>
      <font>
        <b val="0"/>
        <i val="0"/>
        <strike val="0"/>
        <condense val="0"/>
        <extend val="0"/>
        <outline val="0"/>
        <shadow val="0"/>
        <u val="none"/>
        <vertAlign val="baseline"/>
        <sz val="11"/>
        <color theme="1"/>
        <name val="Aptos Narrow"/>
        <family val="2"/>
        <scheme val="minor"/>
      </font>
      <numFmt numFmtId="166" formatCode="_(* #,##0_);_(* \(#,##0\);_(* &quot;-&quot;??_);_(@_)"/>
    </dxf>
    <dxf>
      <font>
        <b val="0"/>
        <i val="0"/>
        <strike val="0"/>
        <condense val="0"/>
        <extend val="0"/>
        <outline val="0"/>
        <shadow val="0"/>
        <u val="none"/>
        <vertAlign val="baseline"/>
        <sz val="11"/>
        <color theme="1"/>
        <name val="Aptos Narrow"/>
        <family val="2"/>
        <scheme val="minor"/>
      </font>
      <numFmt numFmtId="166" formatCode="_(* #,##0_);_(* \(#,##0\);_(* &quot;-&quot;??_);_(@_)"/>
    </dxf>
    <dxf>
      <font>
        <b val="0"/>
        <i val="0"/>
        <strike val="0"/>
        <condense val="0"/>
        <extend val="0"/>
        <outline val="0"/>
        <shadow val="0"/>
        <u val="none"/>
        <vertAlign val="baseline"/>
        <sz val="11"/>
        <color theme="1"/>
        <name val="Aptos Narrow"/>
        <family val="2"/>
        <scheme val="minor"/>
      </font>
      <numFmt numFmtId="166" formatCode="_(* #,##0_);_(* \(#,##0\);_(* &quot;-&quot;??_);_(@_)"/>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s>
  <tableStyles count="0" defaultTableStyle="TableStyleMedium2" defaultPivotStyle="PivotStyleLight16"/>
  <colors>
    <mruColors>
      <color rgb="FF008000"/>
      <color rgb="FF2F6364"/>
      <color rgb="FF007434"/>
      <color rgb="FFFF33CC"/>
      <color rgb="FFEF3E0A"/>
      <color rgb="FFFA8F72"/>
      <color rgb="FF963634"/>
      <color rgb="FF0000FF"/>
      <color rgb="FFFFFF99"/>
      <color rgb="FF1193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963634"/>
                </a:solidFill>
                <a:latin typeface="Aptos Display" panose="020B0004020202020204" pitchFamily="34" charset="0"/>
                <a:ea typeface="+mn-ea"/>
                <a:cs typeface="+mn-cs"/>
              </a:defRPr>
            </a:pPr>
            <a:r>
              <a:rPr lang="en-US" b="1">
                <a:solidFill>
                  <a:schemeClr val="accent4">
                    <a:lumMod val="50000"/>
                  </a:schemeClr>
                </a:solidFill>
              </a:rPr>
              <a:t>LŨY KẾ GIÁ TRỊ TIẾT KIỆM / TẤN rPET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963634"/>
              </a:solidFill>
              <a:latin typeface="Aptos Display" panose="020B0004020202020204" pitchFamily="34" charset="0"/>
              <a:ea typeface="+mn-ea"/>
              <a:cs typeface="+mn-cs"/>
            </a:defRPr>
          </a:pPr>
          <a:endParaRPr lang="en-US"/>
        </a:p>
      </c:txPr>
    </c:title>
    <c:autoTitleDeleted val="0"/>
    <c:plotArea>
      <c:layout/>
      <c:barChart>
        <c:barDir val="col"/>
        <c:grouping val="clustered"/>
        <c:varyColors val="0"/>
        <c:ser>
          <c:idx val="1"/>
          <c:order val="0"/>
          <c:tx>
            <c:strRef>
              <c:f>'tiết kiệm CP-tấn'!$U$5:$AF$5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tx>
          <c:spPr>
            <a:solidFill>
              <a:schemeClr val="accent4">
                <a:lumMod val="500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1" i="0" u="none" strike="noStrike" kern="1200" baseline="0">
                    <a:solidFill>
                      <a:schemeClr val="accent4">
                        <a:lumMod val="5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'tiết kiệm CP-tấn'!$U$5:$AF$5</c15:sqref>
                  </c15:fullRef>
                </c:ext>
              </c:extLst>
              <c:f>'tiết kiệm CP-tấn'!$U$5:$AE$5</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extLst>
                <c:ext xmlns:c15="http://schemas.microsoft.com/office/drawing/2012/chart" uri="{02D57815-91ED-43cb-92C2-25804820EDAC}">
                  <c15:fullRef>
                    <c15:sqref>'tiết kiệm CP-tấn'!$U$14:$AF$14</c15:sqref>
                  </c15:fullRef>
                </c:ext>
              </c:extLst>
              <c:f>'tiết kiệm CP-tấn'!$U$14:$AE$14</c:f>
              <c:numCache>
                <c:formatCode>_(* #,##0_);_(* \(#,##0\);_(* "-"??_);_(@_)</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3E68-4417-B9C8-4E812AF6771D}"/>
            </c:ext>
          </c:extLst>
        </c:ser>
        <c:dLbls>
          <c:dLblPos val="outEnd"/>
          <c:showLegendKey val="0"/>
          <c:showVal val="1"/>
          <c:showCatName val="0"/>
          <c:showSerName val="0"/>
          <c:showPercent val="0"/>
          <c:showBubbleSize val="0"/>
        </c:dLbls>
        <c:gapWidth val="80"/>
        <c:overlap val="-27"/>
        <c:axId val="653570655"/>
        <c:axId val="653572575"/>
        <c:extLst/>
      </c:barChart>
      <c:catAx>
        <c:axId val="65357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Aptos Display" panose="020B0004020202020204" pitchFamily="34" charset="0"/>
                <a:ea typeface="+mn-ea"/>
                <a:cs typeface="+mn-cs"/>
              </a:defRPr>
            </a:pPr>
            <a:endParaRPr lang="en-US"/>
          </a:p>
        </c:txPr>
        <c:crossAx val="653572575"/>
        <c:crosses val="autoZero"/>
        <c:auto val="1"/>
        <c:lblAlgn val="ctr"/>
        <c:lblOffset val="100"/>
        <c:noMultiLvlLbl val="0"/>
      </c:catAx>
      <c:valAx>
        <c:axId val="65357257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Aptos Display" panose="020B0004020202020204" pitchFamily="34" charset="0"/>
                <a:ea typeface="+mn-ea"/>
                <a:cs typeface="+mn-cs"/>
              </a:defRPr>
            </a:pPr>
            <a:endParaRPr lang="en-US"/>
          </a:p>
        </c:txPr>
        <c:crossAx val="65357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50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19303"/>
                </a:solidFill>
                <a:latin typeface="Aptos Display" panose="020B0004020202020204" pitchFamily="34" charset="0"/>
                <a:ea typeface="+mn-ea"/>
                <a:cs typeface="+mn-cs"/>
              </a:defRPr>
            </a:pPr>
            <a:r>
              <a:rPr lang="en-US" b="1">
                <a:solidFill>
                  <a:srgbClr val="119303"/>
                </a:solidFill>
              </a:rPr>
              <a:t>LŨY KẾ GIÁ TRỊ TIẾT KIỆM / TẤN rHDPE 2024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19303"/>
              </a:solidFill>
              <a:latin typeface="Aptos Display" panose="020B0004020202020204" pitchFamily="34" charset="0"/>
              <a:ea typeface="+mn-ea"/>
              <a:cs typeface="+mn-cs"/>
            </a:defRPr>
          </a:pPr>
          <a:endParaRPr lang="en-US"/>
        </a:p>
      </c:txPr>
    </c:title>
    <c:autoTitleDeleted val="0"/>
    <c:plotArea>
      <c:layout/>
      <c:barChart>
        <c:barDir val="col"/>
        <c:grouping val="clustered"/>
        <c:varyColors val="0"/>
        <c:ser>
          <c:idx val="1"/>
          <c:order val="0"/>
          <c:tx>
            <c:strRef>
              <c:f>'tiết kiệm CP-tấn'!$U$5:$AF$5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tx>
          <c:spPr>
            <a:solidFill>
              <a:schemeClr val="accent3">
                <a:lumMod val="750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1" i="0" u="none" strike="noStrike" kern="1200" baseline="0">
                    <a:solidFill>
                      <a:schemeClr val="accent3">
                        <a:lumMod val="7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'tiết kiệm CP-tấn'!$U$37:$AF$37</c15:sqref>
                  </c15:fullRef>
                </c:ext>
              </c:extLst>
              <c:f>'tiết kiệm CP-tấn'!$U$37:$AE$37</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extLst>
                <c:ext xmlns:c15="http://schemas.microsoft.com/office/drawing/2012/chart" uri="{02D57815-91ED-43cb-92C2-25804820EDAC}">
                  <c15:fullRef>
                    <c15:sqref>'tiết kiệm CP-tấn'!$U$46:$AF$46</c15:sqref>
                  </c15:fullRef>
                </c:ext>
              </c:extLst>
              <c:f>'tiết kiệm CP-tấn'!$U$46:$AE$46</c:f>
              <c:numCache>
                <c:formatCode>_(* #,##0_);_(* \(#,##0\);_(* "-"??_);_(@_)</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B9AB-44BE-B7E4-DBBDA061A1EB}"/>
            </c:ext>
          </c:extLst>
        </c:ser>
        <c:dLbls>
          <c:dLblPos val="outEnd"/>
          <c:showLegendKey val="0"/>
          <c:showVal val="1"/>
          <c:showCatName val="0"/>
          <c:showSerName val="0"/>
          <c:showPercent val="0"/>
          <c:showBubbleSize val="0"/>
        </c:dLbls>
        <c:gapWidth val="80"/>
        <c:overlap val="-27"/>
        <c:axId val="653570655"/>
        <c:axId val="653572575"/>
        <c:extLst/>
      </c:barChart>
      <c:catAx>
        <c:axId val="65357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53572575"/>
        <c:crosses val="autoZero"/>
        <c:auto val="1"/>
        <c:lblAlgn val="ctr"/>
        <c:lblOffset val="100"/>
        <c:noMultiLvlLbl val="0"/>
      </c:catAx>
      <c:valAx>
        <c:axId val="65357257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5357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19303"/>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'Data-Vẽ-Tháng'!$B$89</c:f>
          <c:strCache>
            <c:ptCount val="1"/>
            <c:pt idx="0">
              <c:v>CÁC NHÂN TỐ TÁC ĐỘNG ẢNH HƯỞNG ĐẾN CHI PHÍ / TẤN
THÁNG 05/2026 sv KẾ HOẠCH</c:v>
            </c:pt>
          </c:strCache>
        </c:strRef>
      </c:tx>
      <c:layout>
        <c:manualLayout>
          <c:xMode val="edge"/>
          <c:yMode val="edge"/>
          <c:x val="0.19678050622620599"/>
          <c:y val="1.3469195446245317E-2"/>
        </c:manualLayout>
      </c:layout>
      <c:overlay val="0"/>
      <c:spPr>
        <a:noFill/>
        <a:ln>
          <a:noFill/>
        </a:ln>
        <a:effectLst/>
      </c:spPr>
      <c:txPr>
        <a:bodyPr rot="0" spcFirstLastPara="1" vertOverflow="ellipsis" vert="horz" wrap="square" anchor="ctr" anchorCtr="1"/>
        <a:lstStyle/>
        <a:p>
          <a:pPr>
            <a:defRPr sz="3000" b="1" i="0" u="none" strike="noStrike" kern="1200" spc="0" baseline="0">
              <a:solidFill>
                <a:schemeClr val="accent6">
                  <a:lumMod val="7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1.6407921493041912E-2"/>
          <c:y val="0.13210712929387763"/>
          <c:w val="0.98228291321411221"/>
          <c:h val="0.66242910337086636"/>
        </c:manualLayout>
      </c:layout>
      <c:barChart>
        <c:barDir val="col"/>
        <c:grouping val="stacked"/>
        <c:varyColors val="0"/>
        <c:ser>
          <c:idx val="0"/>
          <c:order val="0"/>
          <c:tx>
            <c:strRef>
              <c:f>'Data-Vẽ-Tháng'!$E$67</c:f>
              <c:strCache>
                <c:ptCount val="1"/>
                <c:pt idx="0">
                  <c:v>Start</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412C-4827-BE1F-3F35E81E516F}"/>
              </c:ext>
            </c:extLst>
          </c:dPt>
          <c:dLbls>
            <c:dLbl>
              <c:idx val="0"/>
              <c:layout>
                <c:manualLayout>
                  <c:x val="-2.2337032427956127E-3"/>
                  <c:y val="-0.27186904327051514"/>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rgbClr val="EF3E0A"/>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2C-4827-BE1F-3F35E81E51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05/26</c:v>
                  </c:pt>
                  <c:pt idx="1">
                    <c:v>Biến phí</c:v>
                  </c:pt>
                  <c:pt idx="7">
                    <c:v>Sản lượng
Sản xuất</c:v>
                  </c:pt>
                  <c:pt idx="8">
                    <c:v>Định phí</c:v>
                  </c:pt>
                  <c:pt idx="15">
                    <c:v>TT 05/26</c:v>
                  </c:pt>
                </c:lvl>
              </c:multiLvlStrCache>
            </c:multiLvlStrRef>
          </c:cat>
          <c:val>
            <c:numRef>
              <c:extLst>
                <c:ext xmlns:c15="http://schemas.microsoft.com/office/drawing/2012/chart" uri="{02D57815-91ED-43cb-92C2-25804820EDAC}">
                  <c15:fullRef>
                    <c15:sqref>'Data-Vẽ-Tháng'!$E$68:$E$84</c15:sqref>
                  </c15:fullRef>
                </c:ext>
              </c:extLst>
              <c:f>('Data-Vẽ-Tháng'!$E$68:$E$70,'Data-Vẽ-Tháng'!$E$72:$E$84)</c:f>
              <c:numCache>
                <c:formatCode>General</c:formatCode>
                <c:ptCount val="16"/>
                <c:pt idx="0" formatCode="_(* #,##0.00_);_(* \(#,##0.00\);_(* &quot;-&quot;??_);_(@_)">
                  <c:v>29.019213745675827</c:v>
                </c:pt>
              </c:numCache>
            </c:numRef>
          </c:val>
          <c:extLst>
            <c:ext xmlns:c16="http://schemas.microsoft.com/office/drawing/2014/chart" uri="{C3380CC4-5D6E-409C-BE32-E72D297353CC}">
              <c16:uniqueId val="{00000002-412C-4827-BE1F-3F35E81E516F}"/>
            </c:ext>
          </c:extLst>
        </c:ser>
        <c:ser>
          <c:idx val="1"/>
          <c:order val="1"/>
          <c:tx>
            <c:strRef>
              <c:f>'Data-Vẽ-Tháng'!$F$67</c:f>
              <c:strCache>
                <c:ptCount val="1"/>
                <c:pt idx="0">
                  <c:v>Hidden</c:v>
                </c:pt>
              </c:strCache>
            </c:strRef>
          </c:tx>
          <c:spPr>
            <a:noFill/>
            <a:ln>
              <a:noFill/>
            </a:ln>
            <a:effectLst/>
          </c:spPr>
          <c:invertIfNegative val="0"/>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05/26</c:v>
                  </c:pt>
                  <c:pt idx="1">
                    <c:v>Biến phí</c:v>
                  </c:pt>
                  <c:pt idx="7">
                    <c:v>Sản lượng
Sản xuất</c:v>
                  </c:pt>
                  <c:pt idx="8">
                    <c:v>Định phí</c:v>
                  </c:pt>
                  <c:pt idx="15">
                    <c:v>TT 05/26</c:v>
                  </c:pt>
                </c:lvl>
              </c:multiLvlStrCache>
            </c:multiLvlStrRef>
          </c:cat>
          <c:val>
            <c:numRef>
              <c:extLst>
                <c:ext xmlns:c15="http://schemas.microsoft.com/office/drawing/2012/chart" uri="{02D57815-91ED-43cb-92C2-25804820EDAC}">
                  <c15:fullRef>
                    <c15:sqref>'Data-Vẽ-Tháng'!$F$68:$F$84</c15:sqref>
                  </c15:fullRef>
                </c:ext>
              </c:extLst>
              <c:f>('Data-Vẽ-Tháng'!$F$68:$F$70,'Data-Vẽ-Tháng'!$F$72:$F$84)</c:f>
              <c:numCache>
                <c:formatCode>_(* #,##0.00_);_(* \(#,##0.00\);_(* "-"??_);_(@_)</c:formatCode>
                <c:ptCount val="16"/>
                <c:pt idx="1">
                  <c:v>29.019213745675827</c:v>
                </c:pt>
                <c:pt idx="2">
                  <c:v>29.95787916541649</c:v>
                </c:pt>
                <c:pt idx="3">
                  <c:v>29.95787916541649</c:v>
                </c:pt>
                <c:pt idx="4">
                  <c:v>30.426548731172169</c:v>
                </c:pt>
                <c:pt idx="5">
                  <c:v>30.820443420977593</c:v>
                </c:pt>
                <c:pt idx="6">
                  <c:v>30.996913147209408</c:v>
                </c:pt>
                <c:pt idx="7">
                  <c:v>31.026508958592363</c:v>
                </c:pt>
                <c:pt idx="8">
                  <c:v>32.393918551026026</c:v>
                </c:pt>
                <c:pt idx="9">
                  <c:v>33.040567131754209</c:v>
                </c:pt>
                <c:pt idx="10">
                  <c:v>32.06772372119886</c:v>
                </c:pt>
                <c:pt idx="11">
                  <c:v>31.766920928010268</c:v>
                </c:pt>
                <c:pt idx="12">
                  <c:v>31.717659233027199</c:v>
                </c:pt>
                <c:pt idx="13">
                  <c:v>31.717659233027199</c:v>
                </c:pt>
                <c:pt idx="14">
                  <c:v>31.145554982635058</c:v>
                </c:pt>
              </c:numCache>
            </c:numRef>
          </c:val>
          <c:extLst>
            <c:ext xmlns:c16="http://schemas.microsoft.com/office/drawing/2014/chart" uri="{C3380CC4-5D6E-409C-BE32-E72D297353CC}">
              <c16:uniqueId val="{00000003-412C-4827-BE1F-3F35E81E516F}"/>
            </c:ext>
          </c:extLst>
        </c:ser>
        <c:ser>
          <c:idx val="2"/>
          <c:order val="2"/>
          <c:tx>
            <c:strRef>
              <c:f>'Data-Vẽ-Tháng'!$G$67</c:f>
              <c:strCache>
                <c:ptCount val="1"/>
                <c:pt idx="0">
                  <c:v>Các yếu tố tăng giá thành</c:v>
                </c:pt>
              </c:strCache>
            </c:strRef>
          </c:tx>
          <c:spPr>
            <a:solidFill>
              <a:srgbClr val="C00000"/>
            </a:solidFill>
            <a:ln>
              <a:noFill/>
            </a:ln>
            <a:effectLst/>
          </c:spPr>
          <c:invertIfNegative val="0"/>
          <c:dLbls>
            <c:dLbl>
              <c:idx val="1"/>
              <c:layout>
                <c:manualLayout>
                  <c:x val="0"/>
                  <c:y val="-4.415917342438183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C4-4B3E-A8F3-153F6726B59F}"/>
                </c:ext>
              </c:extLst>
            </c:dLbl>
            <c:dLbl>
              <c:idx val="2"/>
              <c:layout>
                <c:manualLayout>
                  <c:x val="-8.4577116415805612E-4"/>
                  <c:y val="-3.09318629577322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4D-422D-9265-7FE2A551BCE9}"/>
                </c:ext>
              </c:extLst>
            </c:dLbl>
            <c:dLbl>
              <c:idx val="7"/>
              <c:layout>
                <c:manualLayout>
                  <c:x val="-8.4574586771086113E-4"/>
                  <c:y val="-4.412014935887190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BC-4FD8-AB36-C0AE7CE85AC2}"/>
                </c:ext>
              </c:extLst>
            </c:dLbl>
            <c:dLbl>
              <c:idx val="8"/>
              <c:layout>
                <c:manualLayout>
                  <c:x val="0"/>
                  <c:y val="-2.868833591396995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F4D-422D-9265-7FE2A551BCE9}"/>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05/26</c:v>
                  </c:pt>
                  <c:pt idx="1">
                    <c:v>Biến phí</c:v>
                  </c:pt>
                  <c:pt idx="7">
                    <c:v>Sản lượng
Sản xuất</c:v>
                  </c:pt>
                  <c:pt idx="8">
                    <c:v>Định phí</c:v>
                  </c:pt>
                  <c:pt idx="15">
                    <c:v>TT 05/26</c:v>
                  </c:pt>
                </c:lvl>
              </c:multiLvlStrCache>
            </c:multiLvlStrRef>
          </c:cat>
          <c:val>
            <c:numRef>
              <c:extLst>
                <c:ext xmlns:c15="http://schemas.microsoft.com/office/drawing/2012/chart" uri="{02D57815-91ED-43cb-92C2-25804820EDAC}">
                  <c15:fullRef>
                    <c15:sqref>'Data-Vẽ-Tháng'!$G$68:$G$84</c15:sqref>
                  </c15:fullRef>
                </c:ext>
              </c:extLst>
              <c:f>('Data-Vẽ-Tháng'!$G$68:$G$70,'Data-Vẽ-Tháng'!$G$72:$G$84)</c:f>
              <c:numCache>
                <c:formatCode>[Color3]\▲_(* #,##0.00_);_(* \(#,##0.00\);;_(@_)</c:formatCode>
                <c:ptCount val="16"/>
                <c:pt idx="1">
                  <c:v>1.864218373963108</c:v>
                </c:pt>
                <c:pt idx="2">
                  <c:v>0</c:v>
                </c:pt>
                <c:pt idx="3">
                  <c:v>0.46866956575567764</c:v>
                </c:pt>
                <c:pt idx="4">
                  <c:v>0.39389468980542519</c:v>
                </c:pt>
                <c:pt idx="5">
                  <c:v>0.17646972623181439</c:v>
                </c:pt>
                <c:pt idx="6">
                  <c:v>2.959581138295516E-2</c:v>
                </c:pt>
                <c:pt idx="7">
                  <c:v>1.3674095924336658</c:v>
                </c:pt>
                <c:pt idx="8">
                  <c:v>0.97884161832302441</c:v>
                </c:pt>
                <c:pt idx="9">
                  <c:v>0</c:v>
                </c:pt>
                <c:pt idx="10">
                  <c:v>0</c:v>
                </c:pt>
                <c:pt idx="11">
                  <c:v>0</c:v>
                </c:pt>
                <c:pt idx="12">
                  <c:v>0</c:v>
                </c:pt>
                <c:pt idx="13">
                  <c:v>2.514512116291192E-2</c:v>
                </c:pt>
                <c:pt idx="14">
                  <c:v>0</c:v>
                </c:pt>
              </c:numCache>
            </c:numRef>
          </c:val>
          <c:extLst>
            <c:ext xmlns:c15="http://schemas.microsoft.com/office/drawing/2012/chart" uri="{02D57815-91ED-43cb-92C2-25804820EDAC}">
              <c15:categoryFilterExceptions>
                <c15:categoryFilterException>
                  <c15:sqref>'Data-Vẽ-Tháng'!$G$71</c15:sqref>
                  <c15:dLbl>
                    <c:idx val="2"/>
                    <c:layout>
                      <c:manualLayout>
                        <c:x val="2.5373134924741372E-3"/>
                        <c:y val="-2.8731672788506468E-2"/>
                      </c:manualLayout>
                    </c:layout>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4-DB14-469A-B36D-317EC881E2A7}"/>
                      </c:ext>
                    </c:extLst>
                  </c15:dLbl>
                </c15:categoryFilterException>
              </c15:categoryFilterExceptions>
            </c:ext>
            <c:ext xmlns:c16="http://schemas.microsoft.com/office/drawing/2014/chart" uri="{C3380CC4-5D6E-409C-BE32-E72D297353CC}">
              <c16:uniqueId val="{0000000A-412C-4827-BE1F-3F35E81E516F}"/>
            </c:ext>
          </c:extLst>
        </c:ser>
        <c:ser>
          <c:idx val="3"/>
          <c:order val="3"/>
          <c:tx>
            <c:strRef>
              <c:f>'Data-Vẽ-Tháng'!$H$67</c:f>
              <c:strCache>
                <c:ptCount val="1"/>
                <c:pt idx="0">
                  <c:v>Các yếu tố giảm giá thành</c:v>
                </c:pt>
              </c:strCache>
            </c:strRef>
          </c:tx>
          <c:spPr>
            <a:solidFill>
              <a:schemeClr val="accent6">
                <a:lumMod val="50000"/>
              </a:schemeClr>
            </a:solidFill>
            <a:ln>
              <a:noFill/>
            </a:ln>
            <a:effectLst/>
          </c:spPr>
          <c:invertIfNegative val="0"/>
          <c:dLbls>
            <c:dLbl>
              <c:idx val="1"/>
              <c:layout>
                <c:manualLayout>
                  <c:x val="8.4577116415805612E-4"/>
                  <c:y val="2.70058931399077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4D-422D-9265-7FE2A551BCE9}"/>
                </c:ext>
              </c:extLst>
            </c:dLbl>
            <c:dLbl>
              <c:idx val="9"/>
              <c:layout>
                <c:manualLayout>
                  <c:x val="0"/>
                  <c:y val="3.22905617282475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76-48D8-A84E-584ECEF53F53}"/>
                </c:ext>
              </c:extLst>
            </c:dLbl>
            <c:dLbl>
              <c:idx val="10"/>
              <c:layout>
                <c:manualLayout>
                  <c:x val="0"/>
                  <c:y val="3.759845132101188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BB-4C49-B535-F905BBDC89AE}"/>
                </c:ext>
              </c:extLst>
            </c:dLbl>
            <c:dLbl>
              <c:idx val="14"/>
              <c:layout>
                <c:manualLayout>
                  <c:x val="-1.2404500443137185E-16"/>
                  <c:y val="2.987571227393440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BC-4FD8-AB36-C0AE7CE85AC2}"/>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05/26</c:v>
                  </c:pt>
                  <c:pt idx="1">
                    <c:v>Biến phí</c:v>
                  </c:pt>
                  <c:pt idx="7">
                    <c:v>Sản lượng
Sản xuất</c:v>
                  </c:pt>
                  <c:pt idx="8">
                    <c:v>Định phí</c:v>
                  </c:pt>
                  <c:pt idx="15">
                    <c:v>TT 05/26</c:v>
                  </c:pt>
                </c:lvl>
              </c:multiLvlStrCache>
            </c:multiLvlStrRef>
          </c:cat>
          <c:val>
            <c:numRef>
              <c:extLst>
                <c:ext xmlns:c15="http://schemas.microsoft.com/office/drawing/2012/chart" uri="{02D57815-91ED-43cb-92C2-25804820EDAC}">
                  <c15:fullRef>
                    <c15:sqref>'Data-Vẽ-Tháng'!$H$68:$H$84</c15:sqref>
                  </c15:fullRef>
                </c:ext>
              </c:extLst>
              <c:f>('Data-Vẽ-Tháng'!$H$68:$H$70,'Data-Vẽ-Tháng'!$H$72:$H$84)</c:f>
              <c:numCache>
                <c:formatCode>[Color10]\▼_(* #,##0.00_);_(* \(#,##0.00\);;_(@_)</c:formatCode>
                <c:ptCount val="16"/>
                <c:pt idx="1">
                  <c:v>0</c:v>
                </c:pt>
                <c:pt idx="2">
                  <c:v>0.92555295422244588</c:v>
                </c:pt>
                <c:pt idx="3">
                  <c:v>0</c:v>
                </c:pt>
                <c:pt idx="4">
                  <c:v>0</c:v>
                </c:pt>
                <c:pt idx="5">
                  <c:v>0</c:v>
                </c:pt>
                <c:pt idx="6">
                  <c:v>0</c:v>
                </c:pt>
                <c:pt idx="7">
                  <c:v>0</c:v>
                </c:pt>
                <c:pt idx="8">
                  <c:v>0</c:v>
                </c:pt>
                <c:pt idx="9">
                  <c:v>0.33219303759484115</c:v>
                </c:pt>
                <c:pt idx="10">
                  <c:v>0.97284341055534973</c:v>
                </c:pt>
                <c:pt idx="11">
                  <c:v>0.30080279318859121</c:v>
                </c:pt>
                <c:pt idx="12">
                  <c:v>4.9261694983069204E-2</c:v>
                </c:pt>
                <c:pt idx="13">
                  <c:v>0</c:v>
                </c:pt>
                <c:pt idx="14">
                  <c:v>0.59724937155504998</c:v>
                </c:pt>
              </c:numCache>
            </c:numRef>
          </c:val>
          <c:extLst>
            <c:ext xmlns:c16="http://schemas.microsoft.com/office/drawing/2014/chart" uri="{C3380CC4-5D6E-409C-BE32-E72D297353CC}">
              <c16:uniqueId val="{00000012-412C-4827-BE1F-3F35E81E516F}"/>
            </c:ext>
          </c:extLst>
        </c:ser>
        <c:ser>
          <c:idx val="4"/>
          <c:order val="4"/>
          <c:tx>
            <c:strRef>
              <c:f>'Data-Vẽ-Tháng'!$I$67</c:f>
              <c:strCache>
                <c:ptCount val="1"/>
                <c:pt idx="0">
                  <c:v>End</c:v>
                </c:pt>
              </c:strCache>
            </c:strRef>
          </c:tx>
          <c:spPr>
            <a:solidFill>
              <a:srgbClr val="119303"/>
            </a:solidFill>
            <a:ln>
              <a:noFill/>
            </a:ln>
            <a:effectLst/>
          </c:spPr>
          <c:invertIfNegative val="0"/>
          <c:dPt>
            <c:idx val="15"/>
            <c:invertIfNegative val="0"/>
            <c:bubble3D val="0"/>
            <c:spPr>
              <a:solidFill>
                <a:srgbClr val="119303"/>
              </a:solidFill>
              <a:ln>
                <a:noFill/>
              </a:ln>
              <a:effectLst/>
            </c:spPr>
            <c:extLst>
              <c:ext xmlns:c16="http://schemas.microsoft.com/office/drawing/2014/chart" uri="{C3380CC4-5D6E-409C-BE32-E72D297353CC}">
                <c16:uniqueId val="{00000006-DF5A-4852-AFE2-07973960A648}"/>
              </c:ext>
            </c:extLst>
          </c:dPt>
          <c:dLbls>
            <c:dLbl>
              <c:idx val="15"/>
              <c:layout>
                <c:manualLayout>
                  <c:x val="1.1372479905074014E-3"/>
                  <c:y val="-0.3124524971260022"/>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rgbClr val="008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F5A-4852-AFE2-07973960A6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8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'Data-Vẽ-Tháng'!$B$68:$D$84</c15:sqref>
                  </c15:fullRef>
                </c:ext>
              </c:extLst>
              <c:f>('Data-Vẽ-Tháng'!$B$68:$D$70,'Data-Vẽ-Tháng'!$B$72:$D$84)</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KH 05/26</c:v>
                  </c:pt>
                  <c:pt idx="1">
                    <c:v>Biến phí</c:v>
                  </c:pt>
                  <c:pt idx="7">
                    <c:v>Sản lượng
Sản xuất</c:v>
                  </c:pt>
                  <c:pt idx="8">
                    <c:v>Định phí</c:v>
                  </c:pt>
                  <c:pt idx="15">
                    <c:v>TT 05/26</c:v>
                  </c:pt>
                </c:lvl>
              </c:multiLvlStrCache>
            </c:multiLvlStrRef>
          </c:cat>
          <c:val>
            <c:numRef>
              <c:extLst>
                <c:ext xmlns:c15="http://schemas.microsoft.com/office/drawing/2012/chart" uri="{02D57815-91ED-43cb-92C2-25804820EDAC}">
                  <c15:fullRef>
                    <c15:sqref>'Data-Vẽ-Tháng'!$I$68:$I$84</c15:sqref>
                  </c15:fullRef>
                </c:ext>
              </c:extLst>
              <c:f>('Data-Vẽ-Tháng'!$I$68:$I$70,'Data-Vẽ-Tháng'!$I$72:$I$84)</c:f>
              <c:numCache>
                <c:formatCode>General</c:formatCode>
                <c:ptCount val="16"/>
                <c:pt idx="15" formatCode="_(* #,##0.00_);_(* \(#,##0.00\);_(* &quot;-&quot;??_);_(@_)">
                  <c:v>31.145554982635058</c:v>
                </c:pt>
              </c:numCache>
            </c:numRef>
          </c:val>
          <c:extLst>
            <c:ext xmlns:c16="http://schemas.microsoft.com/office/drawing/2014/chart" uri="{C3380CC4-5D6E-409C-BE32-E72D297353CC}">
              <c16:uniqueId val="{00000015-412C-4827-BE1F-3F35E81E516F}"/>
            </c:ext>
          </c:extLst>
        </c:ser>
        <c:dLbls>
          <c:showLegendKey val="0"/>
          <c:showVal val="0"/>
          <c:showCatName val="0"/>
          <c:showSerName val="0"/>
          <c:showPercent val="0"/>
          <c:showBubbleSize val="0"/>
        </c:dLbls>
        <c:gapWidth val="30"/>
        <c:overlap val="100"/>
        <c:axId val="83119888"/>
        <c:axId val="83118928"/>
      </c:barChart>
      <c:catAx>
        <c:axId val="83119888"/>
        <c:scaling>
          <c:orientation val="minMax"/>
        </c:scaling>
        <c:delete val="0"/>
        <c:axPos val="b"/>
        <c:majorGridlines>
          <c:spPr>
            <a:ln w="6350" cap="flat" cmpd="sng" algn="ctr">
              <a:solidFill>
                <a:schemeClr val="bg1">
                  <a:lumMod val="75000"/>
                </a:schemeClr>
              </a:solidFill>
              <a:prstDash val="sysDot"/>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83118928"/>
        <c:crosses val="autoZero"/>
        <c:auto val="1"/>
        <c:lblAlgn val="ctr"/>
        <c:lblOffset val="100"/>
        <c:noMultiLvlLbl val="0"/>
      </c:catAx>
      <c:valAx>
        <c:axId val="83118928"/>
        <c:scaling>
          <c:orientation val="minMax"/>
        </c:scaling>
        <c:delete val="0"/>
        <c:axPos val="l"/>
        <c:numFmt formatCode="_(* #,##0.00_);_(* \(#,##0.00\);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9888"/>
        <c:crosses val="autoZero"/>
        <c:crossBetween val="between"/>
      </c:valAx>
      <c:spPr>
        <a:noFill/>
        <a:ln>
          <a:noFill/>
        </a:ln>
        <a:effectLst/>
      </c:spPr>
    </c:plotArea>
    <c:legend>
      <c:legendPos val="b"/>
      <c:legendEntry>
        <c:idx val="0"/>
        <c:delete val="1"/>
      </c:legendEntry>
      <c:legendEntry>
        <c:idx val="1"/>
        <c:delete val="1"/>
      </c:legendEntry>
      <c:legendEntry>
        <c:idx val="4"/>
        <c:delete val="1"/>
      </c:legendEntry>
      <c:layout>
        <c:manualLayout>
          <c:xMode val="edge"/>
          <c:yMode val="edge"/>
          <c:x val="0.36358992679006286"/>
          <c:y val="0.96362256756827114"/>
          <c:w val="0.27121096983730308"/>
          <c:h val="3.492547747156148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119303"/>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000" b="0" i="0" u="none" strike="noStrike" kern="1200" spc="0" baseline="0">
                <a:solidFill>
                  <a:schemeClr val="accent6">
                    <a:lumMod val="75000"/>
                  </a:schemeClr>
                </a:solidFill>
                <a:latin typeface="+mn-lt"/>
                <a:ea typeface="+mn-ea"/>
                <a:cs typeface="+mn-cs"/>
              </a:defRPr>
            </a:pPr>
            <a:r>
              <a:rPr lang="en-US" sz="3000" b="1" i="0" u="none" strike="noStrike" kern="1200" spc="0" baseline="0">
                <a:solidFill>
                  <a:schemeClr val="accent6">
                    <a:lumMod val="75000"/>
                  </a:schemeClr>
                </a:solidFill>
              </a:rPr>
              <a:t>CÁC NHÂN TỐ TÁC ĐỘNG ẢNH HƯỞNG ĐẾN CHI PHÍ / TẤN</a:t>
            </a:r>
          </a:p>
          <a:p>
            <a:pPr>
              <a:defRPr sz="3000">
                <a:solidFill>
                  <a:schemeClr val="accent6">
                    <a:lumMod val="75000"/>
                  </a:schemeClr>
                </a:solidFill>
              </a:defRPr>
            </a:pPr>
            <a:r>
              <a:rPr lang="en-US" sz="3000" b="1" i="0" u="none" strike="noStrike" kern="1200" spc="0" baseline="0">
                <a:solidFill>
                  <a:schemeClr val="accent6">
                    <a:lumMod val="75000"/>
                  </a:schemeClr>
                </a:solidFill>
              </a:rPr>
              <a:t>BÌNH QUÂN LŨY KẾ THỰC TẾ sv KẾ HOẠCH</a:t>
            </a:r>
          </a:p>
        </c:rich>
      </c:tx>
      <c:layout>
        <c:manualLayout>
          <c:xMode val="edge"/>
          <c:yMode val="edge"/>
          <c:x val="0.23387088694125846"/>
          <c:y val="1.6555197873854146E-2"/>
        </c:manualLayout>
      </c:layout>
      <c:overlay val="0"/>
      <c:spPr>
        <a:noFill/>
        <a:ln>
          <a:noFill/>
        </a:ln>
        <a:effectLst/>
      </c:spPr>
      <c:txPr>
        <a:bodyPr rot="0" spcFirstLastPara="1" vertOverflow="ellipsis" vert="horz" wrap="square" anchor="ctr" anchorCtr="1"/>
        <a:lstStyle/>
        <a:p>
          <a:pPr>
            <a:defRPr sz="3000" b="0" i="0" u="none" strike="noStrike" kern="1200" spc="0" baseline="0">
              <a:solidFill>
                <a:schemeClr val="accent6">
                  <a:lumMod val="75000"/>
                </a:schemeClr>
              </a:solidFill>
              <a:latin typeface="+mn-lt"/>
              <a:ea typeface="+mn-ea"/>
              <a:cs typeface="+mn-cs"/>
            </a:defRPr>
          </a:pPr>
          <a:endParaRPr lang="en-US"/>
        </a:p>
      </c:txPr>
    </c:title>
    <c:autoTitleDeleted val="0"/>
    <c:plotArea>
      <c:layout>
        <c:manualLayout>
          <c:layoutTarget val="inner"/>
          <c:xMode val="edge"/>
          <c:yMode val="edge"/>
          <c:x val="8.8566827697262474E-3"/>
          <c:y val="0.18630751964085299"/>
          <c:w val="0.98228663446054754"/>
          <c:h val="0.6032491085394629"/>
        </c:manualLayout>
      </c:layout>
      <c:barChart>
        <c:barDir val="col"/>
        <c:grouping val="stacked"/>
        <c:varyColors val="0"/>
        <c:ser>
          <c:idx val="0"/>
          <c:order val="0"/>
          <c:tx>
            <c:strRef>
              <c:f>'Data-Vẽ-LK'!$E$67</c:f>
              <c:strCache>
                <c:ptCount val="1"/>
                <c:pt idx="0">
                  <c:v>Start</c:v>
                </c:pt>
              </c:strCache>
            </c:strRef>
          </c:tx>
          <c:spPr>
            <a:solidFill>
              <a:srgbClr val="FA8F72"/>
            </a:solidFill>
            <a:ln>
              <a:noFill/>
            </a:ln>
            <a:effectLst/>
          </c:spPr>
          <c:invertIfNegative val="0"/>
          <c:dPt>
            <c:idx val="0"/>
            <c:invertIfNegative val="0"/>
            <c:bubble3D val="0"/>
            <c:spPr>
              <a:solidFill>
                <a:srgbClr val="FA8F72"/>
              </a:solidFill>
              <a:ln>
                <a:noFill/>
              </a:ln>
              <a:effectLst/>
            </c:spPr>
            <c:extLst>
              <c:ext xmlns:c16="http://schemas.microsoft.com/office/drawing/2014/chart" uri="{C3380CC4-5D6E-409C-BE32-E72D297353CC}">
                <c16:uniqueId val="{00000001-6402-436E-A2BB-4F5587794A4F}"/>
              </c:ext>
            </c:extLst>
          </c:dPt>
          <c:dLbls>
            <c:dLbl>
              <c:idx val="0"/>
              <c:layout>
                <c:manualLayout>
                  <c:x val="-1.3892484909405667E-3"/>
                  <c:y val="-0.28850757545127492"/>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rgbClr val="EF3E0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02-436E-A2BB-4F5587794A4F}"/>
                </c:ext>
              </c:extLst>
            </c:dLbl>
            <c:spPr>
              <a:noFill/>
              <a:ln>
                <a:noFill/>
              </a:ln>
              <a:effectLst/>
            </c:spPr>
            <c:txPr>
              <a:bodyPr rot="0" spcFirstLastPara="1" vertOverflow="ellipsis" vert="horz" wrap="square" lIns="38100" tIns="19050" rIns="38100" bIns="19050" anchor="ctr" anchorCtr="1">
                <a:spAutoFit/>
              </a:bodyPr>
              <a:lstStyle/>
              <a:p>
                <a:pPr>
                  <a:defRPr sz="2500" b="0" i="0" u="none" strike="noStrike" kern="1200" baseline="0">
                    <a:solidFill>
                      <a:srgbClr val="EF3E0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'Data-Vẽ-LK'!$E$68:$E$84</c:f>
              <c:numCache>
                <c:formatCode>General</c:formatCode>
                <c:ptCount val="17"/>
                <c:pt idx="0" formatCode="_(* #,##0.00_);_(* \(#,##0.00\);_(* &quot;-&quot;??_);_(@_)">
                  <c:v>0</c:v>
                </c:pt>
              </c:numCache>
            </c:numRef>
          </c:val>
          <c:extLst>
            <c:ext xmlns:c16="http://schemas.microsoft.com/office/drawing/2014/chart" uri="{C3380CC4-5D6E-409C-BE32-E72D297353CC}">
              <c16:uniqueId val="{00000002-6402-436E-A2BB-4F5587794A4F}"/>
            </c:ext>
          </c:extLst>
        </c:ser>
        <c:ser>
          <c:idx val="1"/>
          <c:order val="1"/>
          <c:tx>
            <c:strRef>
              <c:f>'Data-Vẽ-LK'!$F$67</c:f>
              <c:strCache>
                <c:ptCount val="1"/>
                <c:pt idx="0">
                  <c:v>Hidden</c:v>
                </c:pt>
              </c:strCache>
            </c:strRef>
          </c:tx>
          <c:spPr>
            <a:noFill/>
            <a:ln>
              <a:noFill/>
            </a:ln>
            <a:effectLst/>
          </c:spPr>
          <c:invertIfNegative val="0"/>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'Data-Vẽ-LK'!$F$68:$F$84</c:f>
              <c:numCache>
                <c:formatCode>_(* #,##0.00_);_(* \(#,##0.00\);_(* "-"??_);_(@_)</c:formatCode>
                <c:ptCount val="17"/>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6402-436E-A2BB-4F5587794A4F}"/>
            </c:ext>
          </c:extLst>
        </c:ser>
        <c:ser>
          <c:idx val="2"/>
          <c:order val="2"/>
          <c:tx>
            <c:strRef>
              <c:f>'Data-Vẽ-LK'!$G$67</c:f>
              <c:strCache>
                <c:ptCount val="1"/>
                <c:pt idx="0">
                  <c:v>Các yếu tố tăng giá thành</c:v>
                </c:pt>
              </c:strCache>
            </c:strRef>
          </c:tx>
          <c:spPr>
            <a:solidFill>
              <a:srgbClr val="C00000"/>
            </a:solidFill>
            <a:ln>
              <a:noFill/>
            </a:ln>
            <a:effectLst/>
          </c:spPr>
          <c:invertIfNegative val="0"/>
          <c:dLbls>
            <c:dLbl>
              <c:idx val="1"/>
              <c:layout>
                <c:manualLayout>
                  <c:x val="0"/>
                  <c:y val="4.22180300379119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02-436E-A2BB-4F5587794A4F}"/>
                </c:ext>
              </c:extLst>
            </c:dLbl>
            <c:dLbl>
              <c:idx val="2"/>
              <c:layout>
                <c:manualLayout>
                  <c:x val="-2.955763248294847E-17"/>
                  <c:y val="4.89533250313296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98-43BF-8EA7-1387F291FA76}"/>
                </c:ext>
              </c:extLst>
            </c:dLbl>
            <c:dLbl>
              <c:idx val="8"/>
              <c:layout>
                <c:manualLayout>
                  <c:x val="-5.00940395640068E-3"/>
                  <c:y val="3.646260897537469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02-436E-A2BB-4F5587794A4F}"/>
                </c:ext>
              </c:extLst>
            </c:dLbl>
            <c:dLbl>
              <c:idx val="9"/>
              <c:layout>
                <c:manualLayout>
                  <c:x val="8.0515297906596345E-4"/>
                  <c:y val="3.35007445407707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45-46AE-9665-ABC6A51FA6F0}"/>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'Data-Vẽ-LK'!$G$68:$G$84</c:f>
              <c:numCache>
                <c:formatCode>[Color3]\▲_(* #,##0.00_);_(* \(#,##0.00\);;_(@_)</c:formatCode>
                <c:ptCount val="17"/>
                <c:pt idx="1">
                  <c:v>0.42927421200974769</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6-6402-436E-A2BB-4F5587794A4F}"/>
            </c:ext>
          </c:extLst>
        </c:ser>
        <c:ser>
          <c:idx val="3"/>
          <c:order val="3"/>
          <c:tx>
            <c:strRef>
              <c:f>'Data-Vẽ-LK'!$H$67</c:f>
              <c:strCache>
                <c:ptCount val="1"/>
                <c:pt idx="0">
                  <c:v>Các yếu tố giảm giá thành</c:v>
                </c:pt>
              </c:strCache>
            </c:strRef>
          </c:tx>
          <c:spPr>
            <a:solidFill>
              <a:schemeClr val="accent6">
                <a:lumMod val="50000"/>
              </a:schemeClr>
            </a:solidFill>
            <a:ln>
              <a:noFill/>
            </a:ln>
            <a:effectLst/>
          </c:spPr>
          <c:invertIfNegative val="0"/>
          <c:dLbls>
            <c:dLbl>
              <c:idx val="1"/>
              <c:layout>
                <c:manualLayout>
                  <c:x val="0"/>
                  <c:y val="-3.71525063846728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02-436E-A2BB-4F5587794A4F}"/>
                </c:ext>
              </c:extLst>
            </c:dLbl>
            <c:dLbl>
              <c:idx val="2"/>
              <c:layout>
                <c:manualLayout>
                  <c:x val="-2.9052876234747418E-3"/>
                  <c:y val="-4.96657123868589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402-436E-A2BB-4F5587794A4F}"/>
                </c:ext>
              </c:extLst>
            </c:dLbl>
            <c:dLbl>
              <c:idx val="3"/>
              <c:layout>
                <c:manualLayout>
                  <c:x val="-3.8040073949903758E-6"/>
                  <c:y val="-2.767533633357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402-436E-A2BB-4F5587794A4F}"/>
                </c:ext>
              </c:extLst>
            </c:dLbl>
            <c:dLbl>
              <c:idx val="4"/>
              <c:layout>
                <c:manualLayout>
                  <c:x val="-2.4120317461362836E-3"/>
                  <c:y val="-4.50242248942307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402-436E-A2BB-4F5587794A4F}"/>
                </c:ext>
              </c:extLst>
            </c:dLbl>
            <c:dLbl>
              <c:idx val="5"/>
              <c:layout>
                <c:manualLayout>
                  <c:x val="-2.9521934859176797E-17"/>
                  <c:y val="-1.9495250248121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402-436E-A2BB-4F5587794A4F}"/>
                </c:ext>
              </c:extLst>
            </c:dLbl>
            <c:dLbl>
              <c:idx val="6"/>
              <c:layout>
                <c:manualLayout>
                  <c:x val="2.193398509507994E-3"/>
                  <c:y val="-3.3775005804248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402-436E-A2BB-4F5587794A4F}"/>
                </c:ext>
              </c:extLst>
            </c:dLbl>
            <c:dLbl>
              <c:idx val="7"/>
              <c:layout>
                <c:manualLayout>
                  <c:x val="-4.0211841477022403E-17"/>
                  <c:y val="-4.0530006965097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402-436E-A2BB-4F5587794A4F}"/>
                </c:ext>
              </c:extLst>
            </c:dLbl>
            <c:dLbl>
              <c:idx val="8"/>
              <c:layout>
                <c:manualLayout>
                  <c:x val="-8.0532212663126084E-4"/>
                  <c:y val="-5.767187720381483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45-46AE-9665-ABC6A51FA6F0}"/>
                </c:ext>
              </c:extLst>
            </c:dLbl>
            <c:dLbl>
              <c:idx val="10"/>
              <c:layout>
                <c:manualLayout>
                  <c:x val="0"/>
                  <c:y val="-3.21958499183273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98-43BF-8EA7-1387F291FA76}"/>
                </c:ext>
              </c:extLst>
            </c:dLbl>
            <c:dLbl>
              <c:idx val="12"/>
              <c:layout>
                <c:manualLayout>
                  <c:x val="8.0612656187009537E-4"/>
                  <c:y val="-3.04071915895313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98-43BF-8EA7-1387F291FA76}"/>
                </c:ext>
              </c:extLst>
            </c:dLbl>
            <c:dLbl>
              <c:idx val="13"/>
              <c:layout>
                <c:manualLayout>
                  <c:x val="8.0612656187021366E-4"/>
                  <c:y val="-2.86185332607354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98-43BF-8EA7-1387F291FA76}"/>
                </c:ext>
              </c:extLst>
            </c:dLbl>
            <c:dLbl>
              <c:idx val="14"/>
              <c:layout>
                <c:manualLayout>
                  <c:x val="0"/>
                  <c:y val="-3.21958499183273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98-43BF-8EA7-1387F291FA76}"/>
                </c:ext>
              </c:extLst>
            </c:dLbl>
            <c:dLbl>
              <c:idx val="15"/>
              <c:layout>
                <c:manualLayout>
                  <c:x val="-1.213960341902122E-16"/>
                  <c:y val="-3.20221121110999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E9-4E3C-B6CD-9DBD6FE29526}"/>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'Data-Vẽ-LK'!$H$68:$H$84</c:f>
              <c:numCache>
                <c:formatCode>[Color10]\▼_(* #,##0.00_);_(* \(#,##0.00\);;_(@_)</c:formatCode>
                <c:ptCount val="17"/>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E-6402-436E-A2BB-4F5587794A4F}"/>
            </c:ext>
          </c:extLst>
        </c:ser>
        <c:ser>
          <c:idx val="4"/>
          <c:order val="4"/>
          <c:tx>
            <c:strRef>
              <c:f>'Data-Vẽ-LK'!$I$67</c:f>
              <c:strCache>
                <c:ptCount val="1"/>
                <c:pt idx="0">
                  <c:v>End</c:v>
                </c:pt>
              </c:strCache>
            </c:strRef>
          </c:tx>
          <c:spPr>
            <a:solidFill>
              <a:srgbClr val="119303"/>
            </a:solidFill>
            <a:ln>
              <a:noFill/>
            </a:ln>
            <a:effectLst/>
          </c:spPr>
          <c:invertIfNegative val="0"/>
          <c:dPt>
            <c:idx val="16"/>
            <c:invertIfNegative val="0"/>
            <c:bubble3D val="0"/>
            <c:spPr>
              <a:solidFill>
                <a:srgbClr val="119303"/>
              </a:solidFill>
              <a:ln>
                <a:noFill/>
              </a:ln>
              <a:effectLst/>
            </c:spPr>
            <c:extLst>
              <c:ext xmlns:c16="http://schemas.microsoft.com/office/drawing/2014/chart" uri="{C3380CC4-5D6E-409C-BE32-E72D297353CC}">
                <c16:uniqueId val="{00000005-EB45-46AE-9665-ABC6A51FA6F0}"/>
              </c:ext>
            </c:extLst>
          </c:dPt>
          <c:dLbls>
            <c:dLbl>
              <c:idx val="16"/>
              <c:layout>
                <c:manualLayout>
                  <c:x val="-1.3182953580079034E-3"/>
                  <c:y val="-0.29186260571595218"/>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45-46AE-9665-ABC6A51FA6F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'Data-Vẽ-LK'!$B$68:$D$84</c:f>
              <c:multiLvlStrCache>
                <c:ptCount val="17"/>
                <c:lvl>
                  <c:pt idx="1">
                    <c:v>Giá mua</c:v>
                  </c:pt>
                  <c:pt idx="2">
                    <c:v>Hao hụt</c:v>
                  </c:pt>
                  <c:pt idx="3">
                    <c:v>Hàng tồn kho</c:v>
                  </c:pt>
                  <c:pt idx="8">
                    <c:v> </c:v>
                  </c:pt>
                </c:lvl>
                <c:lvl>
                  <c:pt idx="1">
                    <c:v>Nguyên liệu nhựa</c:v>
                  </c:pt>
                  <c:pt idx="4">
                    <c:v>Điện</c:v>
                  </c:pt>
                  <c:pt idx="5">
                    <c:v>Chi phí bán hàng</c:v>
                  </c:pt>
                  <c:pt idx="6">
                    <c:v>Phụ gia+Hóa chất theo BOM</c:v>
                  </c:pt>
                  <c:pt idx="7">
                    <c:v>Biến phí khác</c:v>
                  </c:pt>
                  <c:pt idx="8">
                    <c:v> </c:v>
                  </c:pt>
                  <c:pt idx="9">
                    <c:v>Thuê Xưởng, Kho, thuê máy</c:v>
                  </c:pt>
                  <c:pt idx="10">
                    <c:v>Tổng Lương và Phụ Cấp</c:v>
                  </c:pt>
                  <c:pt idx="11">
                    <c:v>Khấu hao</c:v>
                  </c:pt>
                  <c:pt idx="12">
                    <c:v>Chi phí hoạt động quản lý</c:v>
                  </c:pt>
                  <c:pt idx="13">
                    <c:v>Công cụ dụng cụ</c:v>
                  </c:pt>
                  <c:pt idx="14">
                    <c:v>Bảo Trì + Sữa Chữa</c:v>
                  </c:pt>
                  <c:pt idx="15">
                    <c:v>Lãi Vay</c:v>
                  </c:pt>
                </c:lvl>
                <c:lvl>
                  <c:pt idx="0">
                    <c:v>BQ KH25</c:v>
                  </c:pt>
                  <c:pt idx="1">
                    <c:v>Biến phí</c:v>
                  </c:pt>
                  <c:pt idx="8">
                    <c:v>Sản lượng
Sản xuất</c:v>
                  </c:pt>
                  <c:pt idx="9">
                    <c:v>Định phí</c:v>
                  </c:pt>
                  <c:pt idx="16">
                    <c:v>BQ TT25</c:v>
                  </c:pt>
                </c:lvl>
              </c:multiLvlStrCache>
            </c:multiLvlStrRef>
          </c:cat>
          <c:val>
            <c:numRef>
              <c:f>'Data-Vẽ-LK'!$I$68:$I$84</c:f>
              <c:numCache>
                <c:formatCode>General</c:formatCode>
                <c:ptCount val="17"/>
                <c:pt idx="16" formatCode="_(* #,##0.00_);_(* \(#,##0.00\);_(* &quot;-&quot;??_);_(@_)">
                  <c:v>0</c:v>
                </c:pt>
              </c:numCache>
            </c:numRef>
          </c:val>
          <c:extLst>
            <c:ext xmlns:c16="http://schemas.microsoft.com/office/drawing/2014/chart" uri="{C3380CC4-5D6E-409C-BE32-E72D297353CC}">
              <c16:uniqueId val="{00000011-6402-436E-A2BB-4F5587794A4F}"/>
            </c:ext>
          </c:extLst>
        </c:ser>
        <c:dLbls>
          <c:showLegendKey val="0"/>
          <c:showVal val="0"/>
          <c:showCatName val="0"/>
          <c:showSerName val="0"/>
          <c:showPercent val="0"/>
          <c:showBubbleSize val="0"/>
        </c:dLbls>
        <c:gapWidth val="30"/>
        <c:overlap val="100"/>
        <c:axId val="83119888"/>
        <c:axId val="83118928"/>
      </c:barChart>
      <c:catAx>
        <c:axId val="83119888"/>
        <c:scaling>
          <c:orientation val="minMax"/>
        </c:scaling>
        <c:delete val="0"/>
        <c:axPos val="b"/>
        <c:majorGridlines>
          <c:spPr>
            <a:ln w="6350" cap="flat" cmpd="sng" algn="ctr">
              <a:solidFill>
                <a:schemeClr val="bg1">
                  <a:lumMod val="75000"/>
                </a:schemeClr>
              </a:solidFill>
              <a:prstDash val="sysDot"/>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3118928"/>
        <c:crosses val="autoZero"/>
        <c:auto val="1"/>
        <c:lblAlgn val="ctr"/>
        <c:lblOffset val="100"/>
        <c:noMultiLvlLbl val="0"/>
      </c:catAx>
      <c:valAx>
        <c:axId val="83118928"/>
        <c:scaling>
          <c:orientation val="minMax"/>
        </c:scaling>
        <c:delete val="0"/>
        <c:axPos val="l"/>
        <c:numFmt formatCode="_(* #,##0.00_);_(* \(#,##0.00\);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9888"/>
        <c:crosses val="autoZero"/>
        <c:crossBetween val="between"/>
      </c:valAx>
      <c:spPr>
        <a:noFill/>
        <a:ln>
          <a:noFill/>
        </a:ln>
        <a:effectLst/>
      </c:spPr>
    </c:plotArea>
    <c:legend>
      <c:legendPos val="b"/>
      <c:legendEntry>
        <c:idx val="0"/>
        <c:delete val="1"/>
      </c:legendEntry>
      <c:legendEntry>
        <c:idx val="1"/>
        <c:delete val="1"/>
      </c:legendEntry>
      <c:legendEntry>
        <c:idx val="4"/>
        <c:delete val="1"/>
      </c:legendEntry>
      <c:layout>
        <c:manualLayout>
          <c:xMode val="edge"/>
          <c:yMode val="edge"/>
          <c:x val="0.36754858381973499"/>
          <c:y val="0.96330647684120752"/>
          <c:w val="0.26490283236053003"/>
          <c:h val="3.669352315879243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119303"/>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'Data-Vẽ -MoM'!$B$87</c:f>
          <c:strCache>
            <c:ptCount val="1"/>
            <c:pt idx="0">
              <c:v>CÁC NHÂN TỐ TÁC ĐỘNG ẢNH HƯỞNG ĐẾN CHI PHÍ / TẤN
THÁNG 05/25 sv THÁNG 04/25</c:v>
            </c:pt>
          </c:strCache>
        </c:strRef>
      </c:tx>
      <c:overlay val="0"/>
      <c:spPr>
        <a:noFill/>
        <a:ln>
          <a:noFill/>
        </a:ln>
        <a:effectLst/>
      </c:spPr>
      <c:txPr>
        <a:bodyPr rot="0" spcFirstLastPara="1" vertOverflow="ellipsis" vert="horz" wrap="square" anchor="ctr" anchorCtr="1"/>
        <a:lstStyle/>
        <a:p>
          <a:pPr>
            <a:defRPr sz="3000" b="1" i="0" u="none" strike="noStrike" kern="1200" spc="0" baseline="0">
              <a:solidFill>
                <a:schemeClr val="accent6">
                  <a:lumMod val="7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1.6911764659256479E-2"/>
          <c:y val="0.20866735931013727"/>
          <c:w val="0.98228291321411221"/>
          <c:h val="0.57239974787890247"/>
        </c:manualLayout>
      </c:layout>
      <c:barChart>
        <c:barDir val="col"/>
        <c:grouping val="stacked"/>
        <c:varyColors val="0"/>
        <c:ser>
          <c:idx val="0"/>
          <c:order val="0"/>
          <c:tx>
            <c:strRef>
              <c:f>'Data-Vẽ -MoM'!$E$66</c:f>
              <c:strCache>
                <c:ptCount val="1"/>
                <c:pt idx="0">
                  <c:v>Start</c:v>
                </c:pt>
              </c:strCache>
            </c:strRef>
          </c:tx>
          <c:spPr>
            <a:solidFill>
              <a:schemeClr val="accent1"/>
            </a:solidFill>
            <a:ln>
              <a:noFill/>
            </a:ln>
            <a:effectLst/>
          </c:spPr>
          <c:invertIfNegative val="0"/>
          <c:dPt>
            <c:idx val="0"/>
            <c:invertIfNegative val="0"/>
            <c:bubble3D val="0"/>
            <c:spPr>
              <a:solidFill>
                <a:srgbClr val="727376"/>
              </a:solidFill>
              <a:ln>
                <a:noFill/>
              </a:ln>
              <a:effectLst/>
            </c:spPr>
            <c:extLst>
              <c:ext xmlns:c16="http://schemas.microsoft.com/office/drawing/2014/chart" uri="{C3380CC4-5D6E-409C-BE32-E72D297353CC}">
                <c16:uniqueId val="{00000001-EEFB-427F-B361-19FB3DBC12F8}"/>
              </c:ext>
            </c:extLst>
          </c:dPt>
          <c:dLbls>
            <c:dLbl>
              <c:idx val="0"/>
              <c:layout>
                <c:manualLayout>
                  <c:x val="2.2242853085955368E-4"/>
                  <c:y val="-0.26377069814758408"/>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FB-427F-B361-19FB3DBC12F8}"/>
                </c:ext>
              </c:extLst>
            </c:dLbl>
            <c:spPr>
              <a:noFill/>
              <a:ln>
                <a:noFill/>
              </a:ln>
              <a:effectLst/>
            </c:spPr>
            <c:txPr>
              <a:bodyPr rot="0" spcFirstLastPara="1" vertOverflow="ellipsis" vert="horz" wrap="square" lIns="38100" tIns="19050" rIns="38100" bIns="19050" anchor="ctr" anchorCtr="1">
                <a:spAutoFit/>
              </a:bodyPr>
              <a:lstStyle/>
              <a:p>
                <a:pPr>
                  <a:defRPr sz="2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-MoM'!$E$67:$E$82</c:f>
              <c:numCache>
                <c:formatCode>General</c:formatCode>
                <c:ptCount val="16"/>
                <c:pt idx="0" formatCode="_(* #,##0.00_);_(* \(#,##0.00\);_(* &quot;-&quot;??_);_(@_)">
                  <c:v>0</c:v>
                </c:pt>
              </c:numCache>
            </c:numRef>
          </c:val>
          <c:extLst>
            <c:ext xmlns:c16="http://schemas.microsoft.com/office/drawing/2014/chart" uri="{C3380CC4-5D6E-409C-BE32-E72D297353CC}">
              <c16:uniqueId val="{00000002-EEFB-427F-B361-19FB3DBC12F8}"/>
            </c:ext>
          </c:extLst>
        </c:ser>
        <c:ser>
          <c:idx val="1"/>
          <c:order val="1"/>
          <c:tx>
            <c:strRef>
              <c:f>'Data-Vẽ -MoM'!$F$66</c:f>
              <c:strCache>
                <c:ptCount val="1"/>
                <c:pt idx="0">
                  <c:v>Hidden</c:v>
                </c:pt>
              </c:strCache>
            </c:strRef>
          </c:tx>
          <c:spPr>
            <a:noFill/>
            <a:ln>
              <a:noFill/>
            </a:ln>
            <a:effectLst/>
          </c:spPr>
          <c:invertIfNegative val="0"/>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-MoM'!$F$67:$F$82</c:f>
              <c:numCache>
                <c:formatCode>_(* #,##0.00_);_(* \(#,##0.00\);_(* "-"??_);_(@_)</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EEFB-427F-B361-19FB3DBC12F8}"/>
            </c:ext>
          </c:extLst>
        </c:ser>
        <c:ser>
          <c:idx val="2"/>
          <c:order val="2"/>
          <c:tx>
            <c:strRef>
              <c:f>'Data-Vẽ -MoM'!$G$66</c:f>
              <c:strCache>
                <c:ptCount val="1"/>
                <c:pt idx="0">
                  <c:v>Các yếu tố tăng giá thành</c:v>
                </c:pt>
              </c:strCache>
            </c:strRef>
          </c:tx>
          <c:spPr>
            <a:solidFill>
              <a:srgbClr val="C00000"/>
            </a:solidFill>
            <a:ln>
              <a:noFill/>
            </a:ln>
            <a:effectLst/>
          </c:spPr>
          <c:invertIfNegative val="0"/>
          <c:dLbls>
            <c:dLbl>
              <c:idx val="3"/>
              <c:layout>
                <c:manualLayout>
                  <c:x val="-3.290097764262011E-3"/>
                  <c:y val="3.61504258975042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FB-427F-B361-19FB3DBC12F8}"/>
                </c:ext>
              </c:extLst>
            </c:dLbl>
            <c:dLbl>
              <c:idx val="4"/>
              <c:layout>
                <c:manualLayout>
                  <c:x val="0"/>
                  <c:y val="2.86935960727380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FB-427F-B361-19FB3DBC12F8}"/>
                </c:ext>
              </c:extLst>
            </c:dLbl>
            <c:dLbl>
              <c:idx val="7"/>
              <c:layout>
                <c:manualLayout>
                  <c:x val="8.0535072485047069E-4"/>
                  <c:y val="3.884685697897400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FB-427F-B361-19FB3DBC12F8}"/>
                </c:ext>
              </c:extLst>
            </c:dLbl>
            <c:dLbl>
              <c:idx val="8"/>
              <c:layout>
                <c:manualLayout>
                  <c:x val="-1.0966992547540774E-3"/>
                  <c:y val="4.584145905897515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FB-427F-B361-19FB3DBC12F8}"/>
                </c:ext>
              </c:extLst>
            </c:dLbl>
            <c:dLbl>
              <c:idx val="9"/>
              <c:layout>
                <c:manualLayout>
                  <c:x val="0"/>
                  <c:y val="4.364762866625789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FB-427F-B361-19FB3DBC12F8}"/>
                </c:ext>
              </c:extLst>
            </c:dLbl>
            <c:dLbl>
              <c:idx val="11"/>
              <c:layout>
                <c:manualLayout>
                  <c:x val="-1.1824109739190032E-16"/>
                  <c:y val="3.52169364344085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EFB-427F-B361-19FB3DBC12F8}"/>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-MoM'!$G$67:$G$82</c:f>
              <c:numCache>
                <c:formatCode>[Color3]\▲_(* #,##0.00_);_(* \(#,##0.00\);;_(@_)</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A-EEFB-427F-B361-19FB3DBC12F8}"/>
            </c:ext>
          </c:extLst>
        </c:ser>
        <c:ser>
          <c:idx val="3"/>
          <c:order val="3"/>
          <c:tx>
            <c:strRef>
              <c:f>'Data-Vẽ -MoM'!$H$66</c:f>
              <c:strCache>
                <c:ptCount val="1"/>
                <c:pt idx="0">
                  <c:v>Các yếu tố giảm giá thành</c:v>
                </c:pt>
              </c:strCache>
            </c:strRef>
          </c:tx>
          <c:spPr>
            <a:solidFill>
              <a:schemeClr val="accent6">
                <a:lumMod val="50000"/>
              </a:schemeClr>
            </a:solidFill>
            <a:ln>
              <a:noFill/>
            </a:ln>
            <a:effectLst/>
          </c:spPr>
          <c:invertIfNegative val="0"/>
          <c:dLbls>
            <c:dLbl>
              <c:idx val="1"/>
              <c:layout>
                <c:manualLayout>
                  <c:x val="0"/>
                  <c:y val="-2.8216566900395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FB-427F-B361-19FB3DBC12F8}"/>
                </c:ext>
              </c:extLst>
            </c:dLbl>
            <c:dLbl>
              <c:idx val="2"/>
              <c:layout>
                <c:manualLayout>
                  <c:x val="-3.7112665115821256E-3"/>
                  <c:y val="-3.00065760319747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EFB-427F-B361-19FB3DBC12F8}"/>
                </c:ext>
              </c:extLst>
            </c:dLbl>
            <c:dLbl>
              <c:idx val="3"/>
              <c:layout>
                <c:manualLayout>
                  <c:x val="-3.2166226931482972E-3"/>
                  <c:y val="-2.8939466028455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EFB-427F-B361-19FB3DBC12F8}"/>
                </c:ext>
              </c:extLst>
            </c:dLbl>
            <c:dLbl>
              <c:idx val="4"/>
              <c:layout>
                <c:manualLayout>
                  <c:x val="-5.9000932133561403E-17"/>
                  <c:y val="-2.8595114429007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EFB-427F-B361-19FB3DBC12F8}"/>
                </c:ext>
              </c:extLst>
            </c:dLbl>
            <c:dLbl>
              <c:idx val="5"/>
              <c:layout>
                <c:manualLayout>
                  <c:x val="2.193398509507994E-3"/>
                  <c:y val="-3.3775005804248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EFB-427F-B361-19FB3DBC12F8}"/>
                </c:ext>
              </c:extLst>
            </c:dLbl>
            <c:dLbl>
              <c:idx val="6"/>
              <c:layout>
                <c:manualLayout>
                  <c:x val="-4.0211841477022403E-17"/>
                  <c:y val="-4.0530006965097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EFB-427F-B361-19FB3DBC12F8}"/>
                </c:ext>
              </c:extLst>
            </c:dLbl>
            <c:dLbl>
              <c:idx val="7"/>
              <c:layout>
                <c:manualLayout>
                  <c:x val="-8.0532212663126084E-4"/>
                  <c:y val="-5.767187720381483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EFB-427F-B361-19FB3DBC12F8}"/>
                </c:ext>
              </c:extLst>
            </c:dLbl>
            <c:dLbl>
              <c:idx val="8"/>
              <c:layout>
                <c:manualLayout>
                  <c:x val="0"/>
                  <c:y val="-2.6807919777194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EFB-427F-B361-19FB3DBC12F8}"/>
                </c:ext>
              </c:extLst>
            </c:dLbl>
            <c:dLbl>
              <c:idx val="9"/>
              <c:layout>
                <c:manualLayout>
                  <c:x val="1.6115489434393271E-3"/>
                  <c:y val="-2.5020725125381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21-4097-9C46-6FE387140760}"/>
                </c:ext>
              </c:extLst>
            </c:dLbl>
            <c:dLbl>
              <c:idx val="10"/>
              <c:layout>
                <c:manualLayout>
                  <c:x val="0"/>
                  <c:y val="-2.69383908924906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5E-425D-A817-FED75C8B6117}"/>
                </c:ext>
              </c:extLst>
            </c:dLbl>
            <c:dLbl>
              <c:idx val="11"/>
              <c:layout>
                <c:manualLayout>
                  <c:x val="8.0532212663126084E-4"/>
                  <c:y val="-2.629051948686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EFB-427F-B361-19FB3DBC12F8}"/>
                </c:ext>
              </c:extLst>
            </c:dLbl>
            <c:dLbl>
              <c:idx val="12"/>
              <c:layout>
                <c:manualLayout>
                  <c:x val="0"/>
                  <c:y val="-2.3233530473568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EFB-427F-B361-19FB3DBC12F8}"/>
                </c:ext>
              </c:extLst>
            </c:dLbl>
            <c:dLbl>
              <c:idx val="13"/>
              <c:layout>
                <c:manualLayout>
                  <c:x val="-8.0577447171966353E-4"/>
                  <c:y val="-1.608475186631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21-4097-9C46-6FE387140760}"/>
                </c:ext>
              </c:extLst>
            </c:dLbl>
            <c:dLbl>
              <c:idx val="14"/>
              <c:layout>
                <c:manualLayout>
                  <c:x val="0"/>
                  <c:y val="-3.3956698384446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EFB-427F-B361-19FB3DBC12F8}"/>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-MoM'!$H$67:$H$82</c:f>
              <c:numCache>
                <c:formatCode>[Color10]\▼_(* #,##0.00_);_(* \(#,##0.00\);;_(@_)</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6-EEFB-427F-B361-19FB3DBC12F8}"/>
            </c:ext>
          </c:extLst>
        </c:ser>
        <c:ser>
          <c:idx val="4"/>
          <c:order val="4"/>
          <c:tx>
            <c:strRef>
              <c:f>'Data-Vẽ -MoM'!$I$66</c:f>
              <c:strCache>
                <c:ptCount val="1"/>
                <c:pt idx="0">
                  <c:v>End</c:v>
                </c:pt>
              </c:strCache>
            </c:strRef>
          </c:tx>
          <c:spPr>
            <a:solidFill>
              <a:srgbClr val="119303"/>
            </a:solidFill>
            <a:ln>
              <a:noFill/>
            </a:ln>
            <a:effectLst/>
          </c:spPr>
          <c:invertIfNegative val="0"/>
          <c:dPt>
            <c:idx val="15"/>
            <c:invertIfNegative val="0"/>
            <c:bubble3D val="0"/>
            <c:spPr>
              <a:solidFill>
                <a:srgbClr val="119303"/>
              </a:solidFill>
              <a:ln>
                <a:noFill/>
              </a:ln>
              <a:effectLst/>
            </c:spPr>
            <c:extLst>
              <c:ext xmlns:c16="http://schemas.microsoft.com/office/drawing/2014/chart" uri="{C3380CC4-5D6E-409C-BE32-E72D297353CC}">
                <c16:uniqueId val="{00000018-EEFB-427F-B361-19FB3DBC12F8}"/>
              </c:ext>
            </c:extLst>
          </c:dPt>
          <c:dLbls>
            <c:dLbl>
              <c:idx val="15"/>
              <c:layout>
                <c:manualLayout>
                  <c:x val="-1.3388027116995205E-3"/>
                  <c:y val="-0.27329647157456222"/>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EFB-427F-B361-19FB3DBC12F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-MoM'!$B$67:$D$82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Tháng 04/24</c:v>
                  </c:pt>
                  <c:pt idx="1">
                    <c:v>Biến phí</c:v>
                  </c:pt>
                  <c:pt idx="7">
                    <c:v>Sản lượng
Sản xuất</c:v>
                  </c:pt>
                  <c:pt idx="8">
                    <c:v>Định phí</c:v>
                  </c:pt>
                  <c:pt idx="15">
                    <c:v>Tháng 05/24</c:v>
                  </c:pt>
                </c:lvl>
              </c:multiLvlStrCache>
            </c:multiLvlStrRef>
          </c:cat>
          <c:val>
            <c:numRef>
              <c:f>'Data-Vẽ -MoM'!$I$67:$I$82</c:f>
              <c:numCache>
                <c:formatCode>General</c:formatCode>
                <c:ptCount val="16"/>
                <c:pt idx="15" formatCode="_(* #,##0.00_);_(* \(#,##0.00\);_(* &quot;-&quot;??_);_(@_)">
                  <c:v>0</c:v>
                </c:pt>
              </c:numCache>
            </c:numRef>
          </c:val>
          <c:extLst>
            <c:ext xmlns:c16="http://schemas.microsoft.com/office/drawing/2014/chart" uri="{C3380CC4-5D6E-409C-BE32-E72D297353CC}">
              <c16:uniqueId val="{00000019-EEFB-427F-B361-19FB3DBC12F8}"/>
            </c:ext>
          </c:extLst>
        </c:ser>
        <c:dLbls>
          <c:showLegendKey val="0"/>
          <c:showVal val="0"/>
          <c:showCatName val="0"/>
          <c:showSerName val="0"/>
          <c:showPercent val="0"/>
          <c:showBubbleSize val="0"/>
        </c:dLbls>
        <c:gapWidth val="30"/>
        <c:overlap val="100"/>
        <c:axId val="83119888"/>
        <c:axId val="83118928"/>
      </c:barChart>
      <c:catAx>
        <c:axId val="83119888"/>
        <c:scaling>
          <c:orientation val="minMax"/>
        </c:scaling>
        <c:delete val="0"/>
        <c:axPos val="b"/>
        <c:majorGridlines>
          <c:spPr>
            <a:ln w="6350" cap="flat" cmpd="sng" algn="ctr">
              <a:solidFill>
                <a:schemeClr val="bg1">
                  <a:lumMod val="75000"/>
                </a:schemeClr>
              </a:solidFill>
              <a:prstDash val="sysDot"/>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3118928"/>
        <c:crosses val="autoZero"/>
        <c:auto val="1"/>
        <c:lblAlgn val="ctr"/>
        <c:lblOffset val="100"/>
        <c:noMultiLvlLbl val="0"/>
      </c:catAx>
      <c:valAx>
        <c:axId val="83118928"/>
        <c:scaling>
          <c:orientation val="minMax"/>
        </c:scaling>
        <c:delete val="0"/>
        <c:axPos val="l"/>
        <c:numFmt formatCode="_(* #,##0.00_);_(* \(#,##0.00\);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9888"/>
        <c:crosses val="autoZero"/>
        <c:crossBetween val="between"/>
      </c:valAx>
      <c:spPr>
        <a:noFill/>
        <a:ln>
          <a:noFill/>
        </a:ln>
        <a:effectLst/>
      </c:spPr>
    </c:plotArea>
    <c:legend>
      <c:legendPos val="b"/>
      <c:legendEntry>
        <c:idx val="0"/>
        <c:delete val="1"/>
      </c:legendEntry>
      <c:legendEntry>
        <c:idx val="1"/>
        <c:delete val="1"/>
      </c:legendEntry>
      <c:legendEntry>
        <c:idx val="4"/>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119303"/>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'Data-Vẽ -CYvsPY'!$B$87</c:f>
          <c:strCache>
            <c:ptCount val="1"/>
            <c:pt idx="0">
              <c:v>CÁC NHÂN TỐ TÁC ĐỘNG ẢNH HƯỞNG ĐẾN CHI PHÍ / TẤN
BQ TT26 sv BQ25</c:v>
            </c:pt>
          </c:strCache>
        </c:strRef>
      </c:tx>
      <c:overlay val="0"/>
      <c:spPr>
        <a:noFill/>
        <a:ln>
          <a:noFill/>
        </a:ln>
        <a:effectLst/>
      </c:spPr>
      <c:txPr>
        <a:bodyPr rot="0" spcFirstLastPara="1" vertOverflow="ellipsis" vert="horz" wrap="square" anchor="ctr" anchorCtr="1"/>
        <a:lstStyle/>
        <a:p>
          <a:pPr>
            <a:defRPr sz="3000" b="1" i="0" u="none" strike="noStrike" kern="1200" spc="0" baseline="0">
              <a:solidFill>
                <a:schemeClr val="accent6">
                  <a:lumMod val="7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7.9858550407897386E-4"/>
          <c:y val="0.14289943057136989"/>
          <c:w val="0.98228291321411221"/>
          <c:h val="0.60444345762322926"/>
        </c:manualLayout>
      </c:layout>
      <c:barChart>
        <c:barDir val="col"/>
        <c:grouping val="stacked"/>
        <c:varyColors val="0"/>
        <c:ser>
          <c:idx val="0"/>
          <c:order val="0"/>
          <c:tx>
            <c:strRef>
              <c:f>'Data-Vẽ -CYvsPY'!$E$66</c:f>
              <c:strCache>
                <c:ptCount val="1"/>
                <c:pt idx="0">
                  <c:v>Start</c:v>
                </c:pt>
              </c:strCache>
            </c:strRef>
          </c:tx>
          <c:spPr>
            <a:solidFill>
              <a:schemeClr val="bg1">
                <a:lumMod val="50000"/>
              </a:schemeClr>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7FB9-4EE6-9D92-FAC3E024A397}"/>
              </c:ext>
            </c:extLst>
          </c:dPt>
          <c:dLbls>
            <c:dLbl>
              <c:idx val="0"/>
              <c:layout>
                <c:manualLayout>
                  <c:x val="-8.8376983088800445E-3"/>
                  <c:y val="-0.3081998026121488"/>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B9-4EE6-9D92-FAC3E024A397}"/>
                </c:ext>
              </c:extLst>
            </c:dLbl>
            <c:spPr>
              <a:noFill/>
              <a:ln>
                <a:noFill/>
              </a:ln>
              <a:effectLst/>
            </c:spPr>
            <c:txPr>
              <a:bodyPr rot="0" spcFirstLastPara="1" vertOverflow="ellipsis" vert="horz" wrap="square" lIns="38100" tIns="19050" rIns="38100" bIns="19050" anchor="ctr" anchorCtr="1">
                <a:spAutoFit/>
              </a:bodyPr>
              <a:lstStyle/>
              <a:p>
                <a:pPr>
                  <a:defRPr sz="25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05/26</c:v>
                  </c:pt>
                </c:lvl>
              </c:multiLvlStrCache>
            </c:multiLvlStrRef>
          </c:cat>
          <c:val>
            <c:numRef>
              <c:f>'Data-Vẽ -CYvsPY'!$E$67:$E$82</c:f>
              <c:numCache>
                <c:formatCode>General</c:formatCode>
                <c:ptCount val="16"/>
                <c:pt idx="0" formatCode="_(* #,##0.00_);_(* \(#,##0.00\);_(* &quot;-&quot;??_);_(@_)">
                  <c:v>31.490636391395718</c:v>
                </c:pt>
              </c:numCache>
            </c:numRef>
          </c:val>
          <c:extLst>
            <c:ext xmlns:c16="http://schemas.microsoft.com/office/drawing/2014/chart" uri="{C3380CC4-5D6E-409C-BE32-E72D297353CC}">
              <c16:uniqueId val="{00000002-7FB9-4EE6-9D92-FAC3E024A397}"/>
            </c:ext>
          </c:extLst>
        </c:ser>
        <c:ser>
          <c:idx val="1"/>
          <c:order val="1"/>
          <c:tx>
            <c:strRef>
              <c:f>'Data-Vẽ -CYvsPY'!$F$66</c:f>
              <c:strCache>
                <c:ptCount val="1"/>
                <c:pt idx="0">
                  <c:v>Hidden</c:v>
                </c:pt>
              </c:strCache>
            </c:strRef>
          </c:tx>
          <c:spPr>
            <a:noFill/>
            <a:ln>
              <a:noFill/>
            </a:ln>
            <a:effectLst/>
          </c:spPr>
          <c:invertIfNegative val="0"/>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05/26</c:v>
                  </c:pt>
                </c:lvl>
              </c:multiLvlStrCache>
            </c:multiLvlStrRef>
          </c:cat>
          <c:val>
            <c:numRef>
              <c:f>'Data-Vẽ -CYvsPY'!$F$67:$F$82</c:f>
              <c:numCache>
                <c:formatCode>_(* #,##0.00_);_(* \(#,##0.00\);_(* "-"??_);_(@_)</c:formatCode>
                <c:ptCount val="16"/>
                <c:pt idx="1">
                  <c:v>30.256905513172601</c:v>
                </c:pt>
                <c:pt idx="2">
                  <c:v>30.229896284922191</c:v>
                </c:pt>
                <c:pt idx="3">
                  <c:v>30.102188152901572</c:v>
                </c:pt>
                <c:pt idx="4">
                  <c:v>30.102188152901572</c:v>
                </c:pt>
                <c:pt idx="5">
                  <c:v>30.243451978973869</c:v>
                </c:pt>
                <c:pt idx="6">
                  <c:v>30.243451978973869</c:v>
                </c:pt>
                <c:pt idx="7">
                  <c:v>30.298835700133871</c:v>
                </c:pt>
                <c:pt idx="8">
                  <c:v>31.377587526359104</c:v>
                </c:pt>
                <c:pt idx="9">
                  <c:v>31.64302630923742</c:v>
                </c:pt>
                <c:pt idx="10">
                  <c:v>31.074431047447717</c:v>
                </c:pt>
                <c:pt idx="11">
                  <c:v>30.860189444300381</c:v>
                </c:pt>
                <c:pt idx="12">
                  <c:v>30.748298403792518</c:v>
                </c:pt>
                <c:pt idx="13">
                  <c:v>30.688773121069936</c:v>
                </c:pt>
                <c:pt idx="14">
                  <c:v>30.648168036270793</c:v>
                </c:pt>
              </c:numCache>
            </c:numRef>
          </c:val>
          <c:extLst>
            <c:ext xmlns:c16="http://schemas.microsoft.com/office/drawing/2014/chart" uri="{C3380CC4-5D6E-409C-BE32-E72D297353CC}">
              <c16:uniqueId val="{00000003-7FB9-4EE6-9D92-FAC3E024A397}"/>
            </c:ext>
          </c:extLst>
        </c:ser>
        <c:ser>
          <c:idx val="2"/>
          <c:order val="2"/>
          <c:tx>
            <c:strRef>
              <c:f>'Data-Vẽ -CYvsPY'!$G$66</c:f>
              <c:strCache>
                <c:ptCount val="1"/>
                <c:pt idx="0">
                  <c:v>Các yếu tố tăng giá thành</c:v>
                </c:pt>
              </c:strCache>
            </c:strRef>
          </c:tx>
          <c:spPr>
            <a:solidFill>
              <a:srgbClr val="C00000"/>
            </a:solidFill>
            <a:ln>
              <a:noFill/>
            </a:ln>
            <a:effectLst/>
          </c:spPr>
          <c:invertIfNegative val="0"/>
          <c:dLbls>
            <c:dLbl>
              <c:idx val="2"/>
              <c:layout>
                <c:manualLayout>
                  <c:x val="0"/>
                  <c:y val="3.54717328428258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7FB9-4EE6-9D92-FAC3E024A397}"/>
                </c:ext>
              </c:extLst>
            </c:dLbl>
            <c:dLbl>
              <c:idx val="3"/>
              <c:layout>
                <c:manualLayout>
                  <c:x val="-3.290097764262011E-3"/>
                  <c:y val="3.61504258975042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B9-4EE6-9D92-FAC3E024A397}"/>
                </c:ext>
              </c:extLst>
            </c:dLbl>
            <c:dLbl>
              <c:idx val="4"/>
              <c:layout>
                <c:manualLayout>
                  <c:x val="0"/>
                  <c:y val="2.86935960727380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B9-4EE6-9D92-FAC3E024A397}"/>
                </c:ext>
              </c:extLst>
            </c:dLbl>
            <c:dLbl>
              <c:idx val="7"/>
              <c:layout>
                <c:manualLayout>
                  <c:x val="-2.0149790945979471E-5"/>
                  <c:y val="6.583105278478350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B9-4EE6-9D92-FAC3E024A397}"/>
                </c:ext>
              </c:extLst>
            </c:dLbl>
            <c:dLbl>
              <c:idx val="8"/>
              <c:layout>
                <c:manualLayout>
                  <c:x val="-1.0966992547540774E-3"/>
                  <c:y val="4.584145905897515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B9-4EE6-9D92-FAC3E024A397}"/>
                </c:ext>
              </c:extLst>
            </c:dLbl>
            <c:dLbl>
              <c:idx val="9"/>
              <c:layout>
                <c:manualLayout>
                  <c:x val="0"/>
                  <c:y val="4.364762866625789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FB9-4EE6-9D92-FAC3E024A397}"/>
                </c:ext>
              </c:extLst>
            </c:dLbl>
            <c:dLbl>
              <c:idx val="11"/>
              <c:layout>
                <c:manualLayout>
                  <c:x val="-1.1824109739190032E-16"/>
                  <c:y val="3.52169364344085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FB9-4EE6-9D92-FAC3E024A397}"/>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05/26</c:v>
                  </c:pt>
                </c:lvl>
              </c:multiLvlStrCache>
            </c:multiLvlStrRef>
          </c:cat>
          <c:val>
            <c:numRef>
              <c:f>'Data-Vẽ -CYvsPY'!$G$67:$G$82</c:f>
              <c:numCache>
                <c:formatCode>[Color3]\▲_(* #,##0.00_);_(* \(#,##0.00\);;_(@_)</c:formatCode>
                <c:ptCount val="16"/>
                <c:pt idx="1">
                  <c:v>0</c:v>
                </c:pt>
                <c:pt idx="2">
                  <c:v>0</c:v>
                </c:pt>
                <c:pt idx="3">
                  <c:v>0</c:v>
                </c:pt>
                <c:pt idx="4">
                  <c:v>0.15518502865089273</c:v>
                </c:pt>
                <c:pt idx="5">
                  <c:v>0</c:v>
                </c:pt>
                <c:pt idx="6">
                  <c:v>5.5383721160002106E-2</c:v>
                </c:pt>
                <c:pt idx="7">
                  <c:v>1.0787518262252311</c:v>
                </c:pt>
                <c:pt idx="8">
                  <c:v>0.32425989440241126</c:v>
                </c:pt>
                <c:pt idx="9">
                  <c:v>0</c:v>
                </c:pt>
                <c:pt idx="10">
                  <c:v>0</c:v>
                </c:pt>
                <c:pt idx="11">
                  <c:v>0</c:v>
                </c:pt>
                <c:pt idx="12">
                  <c:v>0</c:v>
                </c:pt>
                <c:pt idx="13">
                  <c:v>0</c:v>
                </c:pt>
                <c:pt idx="14">
                  <c:v>0</c:v>
                </c:pt>
              </c:numCache>
            </c:numRef>
          </c:val>
          <c:extLst>
            <c:ext xmlns:c16="http://schemas.microsoft.com/office/drawing/2014/chart" uri="{C3380CC4-5D6E-409C-BE32-E72D297353CC}">
              <c16:uniqueId val="{0000000A-7FB9-4EE6-9D92-FAC3E024A397}"/>
            </c:ext>
          </c:extLst>
        </c:ser>
        <c:ser>
          <c:idx val="3"/>
          <c:order val="3"/>
          <c:tx>
            <c:strRef>
              <c:f>'Data-Vẽ -CYvsPY'!$H$66</c:f>
              <c:strCache>
                <c:ptCount val="1"/>
                <c:pt idx="0">
                  <c:v>Các yếu tố giảm giá thành</c:v>
                </c:pt>
              </c:strCache>
            </c:strRef>
          </c:tx>
          <c:spPr>
            <a:solidFill>
              <a:schemeClr val="accent6">
                <a:lumMod val="50000"/>
              </a:schemeClr>
            </a:solidFill>
            <a:ln>
              <a:noFill/>
            </a:ln>
            <a:effectLst/>
          </c:spPr>
          <c:invertIfNegative val="0"/>
          <c:dLbls>
            <c:dLbl>
              <c:idx val="1"/>
              <c:layout>
                <c:manualLayout>
                  <c:x val="0"/>
                  <c:y val="-2.8216566900395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FB9-4EE6-9D92-FAC3E024A397}"/>
                </c:ext>
              </c:extLst>
            </c:dLbl>
            <c:dLbl>
              <c:idx val="2"/>
              <c:layout>
                <c:manualLayout>
                  <c:x val="-3.7112665115821256E-3"/>
                  <c:y val="-3.00065760319747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FB9-4EE6-9D92-FAC3E024A397}"/>
                </c:ext>
              </c:extLst>
            </c:dLbl>
            <c:dLbl>
              <c:idx val="3"/>
              <c:layout>
                <c:manualLayout>
                  <c:x val="-3.2166226931482972E-3"/>
                  <c:y val="-2.8939466028455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FB9-4EE6-9D92-FAC3E024A397}"/>
                </c:ext>
              </c:extLst>
            </c:dLbl>
            <c:dLbl>
              <c:idx val="4"/>
              <c:layout>
                <c:manualLayout>
                  <c:x val="-5.9000932133561403E-17"/>
                  <c:y val="-2.8595114429007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FB9-4EE6-9D92-FAC3E024A397}"/>
                </c:ext>
              </c:extLst>
            </c:dLbl>
            <c:dLbl>
              <c:idx val="5"/>
              <c:layout>
                <c:manualLayout>
                  <c:x val="2.193398509507994E-3"/>
                  <c:y val="-3.3775005804248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FB9-4EE6-9D92-FAC3E024A397}"/>
                </c:ext>
              </c:extLst>
            </c:dLbl>
            <c:dLbl>
              <c:idx val="6"/>
              <c:layout>
                <c:manualLayout>
                  <c:x val="-4.0211841477022403E-17"/>
                  <c:y val="-4.0530006965097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FB9-4EE6-9D92-FAC3E024A397}"/>
                </c:ext>
              </c:extLst>
            </c:dLbl>
            <c:dLbl>
              <c:idx val="7"/>
              <c:layout>
                <c:manualLayout>
                  <c:x val="2.0149866910129057E-5"/>
                  <c:y val="-3.32676703112483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FB9-4EE6-9D92-FAC3E024A397}"/>
                </c:ext>
              </c:extLst>
            </c:dLbl>
            <c:dLbl>
              <c:idx val="8"/>
              <c:layout>
                <c:manualLayout>
                  <c:x val="0"/>
                  <c:y val="-2.6807919777194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FB9-4EE6-9D92-FAC3E024A397}"/>
                </c:ext>
              </c:extLst>
            </c:dLbl>
            <c:dLbl>
              <c:idx val="9"/>
              <c:layout>
                <c:manualLayout>
                  <c:x val="1.6115489434393271E-3"/>
                  <c:y val="-2.5020725125381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FB9-4EE6-9D92-FAC3E024A397}"/>
                </c:ext>
              </c:extLst>
            </c:dLbl>
            <c:dLbl>
              <c:idx val="10"/>
              <c:layout>
                <c:manualLayout>
                  <c:x val="0"/>
                  <c:y val="-2.69383908924906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FB9-4EE6-9D92-FAC3E024A397}"/>
                </c:ext>
              </c:extLst>
            </c:dLbl>
            <c:dLbl>
              <c:idx val="11"/>
              <c:layout>
                <c:manualLayout>
                  <c:x val="8.0532212663126084E-4"/>
                  <c:y val="-2.629051948686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FB9-4EE6-9D92-FAC3E024A397}"/>
                </c:ext>
              </c:extLst>
            </c:dLbl>
            <c:dLbl>
              <c:idx val="12"/>
              <c:layout>
                <c:manualLayout>
                  <c:x val="0"/>
                  <c:y val="-2.3233530473568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FB9-4EE6-9D92-FAC3E024A397}"/>
                </c:ext>
              </c:extLst>
            </c:dLbl>
            <c:dLbl>
              <c:idx val="13"/>
              <c:layout>
                <c:manualLayout>
                  <c:x val="-8.0577447171966353E-4"/>
                  <c:y val="-1.608475186631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FB9-4EE6-9D92-FAC3E024A397}"/>
                </c:ext>
              </c:extLst>
            </c:dLbl>
            <c:dLbl>
              <c:idx val="14"/>
              <c:layout>
                <c:manualLayout>
                  <c:x val="0"/>
                  <c:y val="-3.3956698384446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7FB9-4EE6-9D92-FAC3E024A397}"/>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05/26</c:v>
                  </c:pt>
                </c:lvl>
              </c:multiLvlStrCache>
            </c:multiLvlStrRef>
          </c:cat>
          <c:val>
            <c:numRef>
              <c:f>'Data-Vẽ -CYvsPY'!$H$67:$H$82</c:f>
              <c:numCache>
                <c:formatCode>[Color10]\▼_(* #,##0.00_);_(* \(#,##0.00\);;_(@_)</c:formatCode>
                <c:ptCount val="16"/>
                <c:pt idx="1">
                  <c:v>1.2337308782231169</c:v>
                </c:pt>
                <c:pt idx="2">
                  <c:v>2.7009228250410189E-2</c:v>
                </c:pt>
                <c:pt idx="3">
                  <c:v>0.12770813202061992</c:v>
                </c:pt>
                <c:pt idx="4">
                  <c:v>0</c:v>
                </c:pt>
                <c:pt idx="5">
                  <c:v>1.3921202578596165E-2</c:v>
                </c:pt>
                <c:pt idx="6">
                  <c:v>0</c:v>
                </c:pt>
                <c:pt idx="7">
                  <c:v>0</c:v>
                </c:pt>
                <c:pt idx="8">
                  <c:v>0</c:v>
                </c:pt>
                <c:pt idx="9">
                  <c:v>5.8821111524091349E-2</c:v>
                </c:pt>
                <c:pt idx="10">
                  <c:v>0.56859526178970288</c:v>
                </c:pt>
                <c:pt idx="11">
                  <c:v>0.21424160314733678</c:v>
                </c:pt>
                <c:pt idx="12">
                  <c:v>0.11189104050786507</c:v>
                </c:pt>
                <c:pt idx="13">
                  <c:v>5.9525282722583527E-2</c:v>
                </c:pt>
                <c:pt idx="14">
                  <c:v>4.0605084799142835E-2</c:v>
                </c:pt>
              </c:numCache>
            </c:numRef>
          </c:val>
          <c:extLst>
            <c:ext xmlns:c16="http://schemas.microsoft.com/office/drawing/2014/chart" uri="{C3380CC4-5D6E-409C-BE32-E72D297353CC}">
              <c16:uniqueId val="{00000019-7FB9-4EE6-9D92-FAC3E024A397}"/>
            </c:ext>
          </c:extLst>
        </c:ser>
        <c:ser>
          <c:idx val="4"/>
          <c:order val="4"/>
          <c:tx>
            <c:strRef>
              <c:f>'Data-Vẽ -CYvsPY'!$I$66</c:f>
              <c:strCache>
                <c:ptCount val="1"/>
                <c:pt idx="0">
                  <c:v>End</c:v>
                </c:pt>
              </c:strCache>
            </c:strRef>
          </c:tx>
          <c:spPr>
            <a:solidFill>
              <a:srgbClr val="119303"/>
            </a:solidFill>
            <a:ln>
              <a:noFill/>
            </a:ln>
            <a:effectLst/>
          </c:spPr>
          <c:invertIfNegative val="0"/>
          <c:dPt>
            <c:idx val="15"/>
            <c:invertIfNegative val="0"/>
            <c:bubble3D val="0"/>
            <c:spPr>
              <a:solidFill>
                <a:srgbClr val="119303"/>
              </a:solidFill>
              <a:ln>
                <a:noFill/>
              </a:ln>
              <a:effectLst/>
            </c:spPr>
            <c:extLst>
              <c:ext xmlns:c16="http://schemas.microsoft.com/office/drawing/2014/chart" uri="{C3380CC4-5D6E-409C-BE32-E72D297353CC}">
                <c16:uniqueId val="{0000001B-7FB9-4EE6-9D92-FAC3E024A397}"/>
              </c:ext>
            </c:extLst>
          </c:dPt>
          <c:dLbls>
            <c:dLbl>
              <c:idx val="15"/>
              <c:layout>
                <c:manualLayout>
                  <c:x val="1.9557443765053075E-3"/>
                  <c:y val="-0.31929994773152703"/>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accent3"/>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7FB9-4EE6-9D92-FAC3E024A3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'Data-Vẽ -CYvsPY'!$B$67:$D$82</c:f>
              <c:multiLvlStrCache>
                <c:ptCount val="16"/>
                <c:lvl>
                  <c:pt idx="1">
                    <c:v>Giá mua</c:v>
                  </c:pt>
                  <c:pt idx="2">
                    <c:v>Hao hụt</c:v>
                  </c:pt>
                </c:lvl>
                <c:lvl>
                  <c:pt idx="1">
                    <c:v>Nguyên liệu nhựa</c:v>
                  </c:pt>
                  <c:pt idx="3">
                    <c:v>Điện</c:v>
                  </c:pt>
                  <c:pt idx="4">
                    <c:v>Chi phí bán hàng</c:v>
                  </c:pt>
                  <c:pt idx="5">
                    <c:v>Phụ gia+Hóa chất theo BOM</c:v>
                  </c:pt>
                  <c:pt idx="6">
                    <c:v>Biến phí khác</c:v>
                  </c:pt>
                  <c:pt idx="7">
                    <c:v> </c:v>
                  </c:pt>
                  <c:pt idx="8">
                    <c:v>Thuê Xưởng, Kho, thuê máy</c:v>
                  </c:pt>
                  <c:pt idx="9">
                    <c:v>Tổng Lương và Phụ Cấp</c:v>
                  </c:pt>
                  <c:pt idx="10">
                    <c:v>Khấu hao</c:v>
                  </c:pt>
                  <c:pt idx="11">
                    <c:v>Chi phí hoạt động quản lý</c:v>
                  </c:pt>
                  <c:pt idx="12">
                    <c:v>Công cụ dụng cụ</c:v>
                  </c:pt>
                  <c:pt idx="13">
                    <c:v>Bảo Trì + Sữa Chữa</c:v>
                  </c:pt>
                  <c:pt idx="14">
                    <c:v>Lãi Vay</c:v>
                  </c:pt>
                </c:lvl>
                <c:lvl>
                  <c:pt idx="0">
                    <c:v>BQ25</c:v>
                  </c:pt>
                  <c:pt idx="1">
                    <c:v>Biến phí</c:v>
                  </c:pt>
                  <c:pt idx="7">
                    <c:v>Sản lượng
Sản xuất</c:v>
                  </c:pt>
                  <c:pt idx="8">
                    <c:v>Định phí</c:v>
                  </c:pt>
                  <c:pt idx="15">
                    <c:v>LK đến Tháng 05/26</c:v>
                  </c:pt>
                </c:lvl>
              </c:multiLvlStrCache>
            </c:multiLvlStrRef>
          </c:cat>
          <c:val>
            <c:numRef>
              <c:f>'Data-Vẽ -CYvsPY'!$I$67:$I$82</c:f>
              <c:numCache>
                <c:formatCode>General</c:formatCode>
                <c:ptCount val="16"/>
                <c:pt idx="15" formatCode="_(* #,##0.00_);_(* \(#,##0.00\);_(* &quot;-&quot;??_);_(@_)">
                  <c:v>30.648168036270793</c:v>
                </c:pt>
              </c:numCache>
            </c:numRef>
          </c:val>
          <c:extLst>
            <c:ext xmlns:c16="http://schemas.microsoft.com/office/drawing/2014/chart" uri="{C3380CC4-5D6E-409C-BE32-E72D297353CC}">
              <c16:uniqueId val="{0000001C-7FB9-4EE6-9D92-FAC3E024A397}"/>
            </c:ext>
          </c:extLst>
        </c:ser>
        <c:dLbls>
          <c:showLegendKey val="0"/>
          <c:showVal val="0"/>
          <c:showCatName val="0"/>
          <c:showSerName val="0"/>
          <c:showPercent val="0"/>
          <c:showBubbleSize val="0"/>
        </c:dLbls>
        <c:gapWidth val="30"/>
        <c:overlap val="100"/>
        <c:axId val="83119888"/>
        <c:axId val="83118928"/>
      </c:barChart>
      <c:catAx>
        <c:axId val="83119888"/>
        <c:scaling>
          <c:orientation val="minMax"/>
        </c:scaling>
        <c:delete val="0"/>
        <c:axPos val="b"/>
        <c:majorGridlines>
          <c:spPr>
            <a:ln w="6350" cap="flat" cmpd="sng" algn="ctr">
              <a:solidFill>
                <a:schemeClr val="bg1">
                  <a:lumMod val="75000"/>
                </a:schemeClr>
              </a:solidFill>
              <a:prstDash val="sysDot"/>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3118928"/>
        <c:crosses val="autoZero"/>
        <c:auto val="1"/>
        <c:lblAlgn val="ctr"/>
        <c:lblOffset val="100"/>
        <c:noMultiLvlLbl val="0"/>
      </c:catAx>
      <c:valAx>
        <c:axId val="83118928"/>
        <c:scaling>
          <c:orientation val="minMax"/>
        </c:scaling>
        <c:delete val="0"/>
        <c:axPos val="l"/>
        <c:numFmt formatCode="_(* #,##0.00_);_(* \(#,##0.00\);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9888"/>
        <c:crosses val="autoZero"/>
        <c:crossBetween val="between"/>
      </c:valAx>
      <c:spPr>
        <a:noFill/>
        <a:ln>
          <a:noFill/>
        </a:ln>
        <a:effectLst/>
      </c:spPr>
    </c:plotArea>
    <c:legend>
      <c:legendPos val="b"/>
      <c:legendEntry>
        <c:idx val="0"/>
        <c:delete val="1"/>
      </c:legendEntry>
      <c:legendEntry>
        <c:idx val="1"/>
        <c:delete val="1"/>
      </c:legendEntry>
      <c:legendEntry>
        <c:idx val="4"/>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119303"/>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14.jpeg"/><Relationship Id="rId18" Type="http://schemas.openxmlformats.org/officeDocument/2006/relationships/image" Target="../media/image19.png"/><Relationship Id="rId26" Type="http://schemas.openxmlformats.org/officeDocument/2006/relationships/image" Target="cid:10fefdf4-f0b7-4ea3-b189-88eaf865d6fe@apcprd06.prod.outlook.com" TargetMode="External"/><Relationship Id="rId3" Type="http://schemas.openxmlformats.org/officeDocument/2006/relationships/image" Target="../media/image4.png"/><Relationship Id="rId21" Type="http://schemas.openxmlformats.org/officeDocument/2006/relationships/image" Target="../media/image22.png"/><Relationship Id="rId34" Type="http://schemas.openxmlformats.org/officeDocument/2006/relationships/image" Target="../media/image33.jpg"/><Relationship Id="rId7" Type="http://schemas.openxmlformats.org/officeDocument/2006/relationships/image" Target="../media/image8.jpg"/><Relationship Id="rId12" Type="http://schemas.openxmlformats.org/officeDocument/2006/relationships/image" Target="../media/image13.jpeg"/><Relationship Id="rId17" Type="http://schemas.openxmlformats.org/officeDocument/2006/relationships/image" Target="../media/image18.png"/><Relationship Id="rId25" Type="http://schemas.openxmlformats.org/officeDocument/2006/relationships/image" Target="../media/image26.jpeg"/><Relationship Id="rId33" Type="http://schemas.openxmlformats.org/officeDocument/2006/relationships/image" Target="../media/image32.jpg"/><Relationship Id="rId2" Type="http://schemas.openxmlformats.org/officeDocument/2006/relationships/image" Target="../media/image3.png"/><Relationship Id="rId16" Type="http://schemas.openxmlformats.org/officeDocument/2006/relationships/image" Target="../media/image17.jpeg"/><Relationship Id="rId20" Type="http://schemas.openxmlformats.org/officeDocument/2006/relationships/image" Target="../media/image21.png"/><Relationship Id="rId29" Type="http://schemas.openxmlformats.org/officeDocument/2006/relationships/image" Target="../media/image28.jpe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1.png"/><Relationship Id="rId5" Type="http://schemas.openxmlformats.org/officeDocument/2006/relationships/image" Target="../media/image6.jpeg"/><Relationship Id="rId15" Type="http://schemas.openxmlformats.org/officeDocument/2006/relationships/image" Target="../media/image16.jpeg"/><Relationship Id="rId23" Type="http://schemas.openxmlformats.org/officeDocument/2006/relationships/image" Target="../media/image24.png"/><Relationship Id="rId28" Type="http://schemas.openxmlformats.org/officeDocument/2006/relationships/image" Target="cid:7a35aadd-518e-4b24-99be-b56ada6a3529@apcprd06.prod.outlook.com" TargetMode="External"/><Relationship Id="rId36" Type="http://schemas.openxmlformats.org/officeDocument/2006/relationships/image" Target="../media/image35.jp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0.jpeg"/><Relationship Id="rId4" Type="http://schemas.openxmlformats.org/officeDocument/2006/relationships/image" Target="../media/image5.jpg"/><Relationship Id="rId9" Type="http://schemas.openxmlformats.org/officeDocument/2006/relationships/image" Target="../media/image10.png"/><Relationship Id="rId14" Type="http://schemas.openxmlformats.org/officeDocument/2006/relationships/image" Target="../media/image15.jpeg"/><Relationship Id="rId22" Type="http://schemas.openxmlformats.org/officeDocument/2006/relationships/image" Target="../media/image23.png"/><Relationship Id="rId27" Type="http://schemas.openxmlformats.org/officeDocument/2006/relationships/image" Target="../media/image27.jpeg"/><Relationship Id="rId30" Type="http://schemas.openxmlformats.org/officeDocument/2006/relationships/image" Target="../media/image29.jpeg"/><Relationship Id="rId35" Type="http://schemas.openxmlformats.org/officeDocument/2006/relationships/image" Target="../media/image34.jpg"/><Relationship Id="rId8" Type="http://schemas.openxmlformats.org/officeDocument/2006/relationships/image" Target="../media/image9.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image" Target="../media/image37.emf"/><Relationship Id="rId1" Type="http://schemas.openxmlformats.org/officeDocument/2006/relationships/image" Target="../media/image36.emf"/></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7.xml.rels><?xml version="1.0" encoding="UTF-8" standalone="yes"?>
<Relationships xmlns="http://schemas.openxmlformats.org/package/2006/relationships"><Relationship Id="rId1" Type="http://schemas.openxmlformats.org/officeDocument/2006/relationships/image" Target="../media/image3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3</xdr:col>
      <xdr:colOff>342460</xdr:colOff>
      <xdr:row>14</xdr:row>
      <xdr:rowOff>133789</xdr:rowOff>
    </xdr:from>
    <xdr:to>
      <xdr:col>12</xdr:col>
      <xdr:colOff>126903</xdr:colOff>
      <xdr:row>33</xdr:row>
      <xdr:rowOff>8645</xdr:rowOff>
    </xdr:to>
    <xdr:pic>
      <xdr:nvPicPr>
        <xdr:cNvPr id="2" name="Picture 1">
          <a:extLst>
            <a:ext uri="{FF2B5EF4-FFF2-40B4-BE49-F238E27FC236}">
              <a16:creationId xmlns:a16="http://schemas.microsoft.com/office/drawing/2014/main" id="{F8A1442C-A751-370B-2F2B-B3CEA8599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60287" y="2852077"/>
          <a:ext cx="8129808" cy="3589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133350</xdr:colOff>
      <xdr:row>3</xdr:row>
      <xdr:rowOff>44450</xdr:rowOff>
    </xdr:from>
    <xdr:to>
      <xdr:col>1</xdr:col>
      <xdr:colOff>514350</xdr:colOff>
      <xdr:row>3</xdr:row>
      <xdr:rowOff>412750</xdr:rowOff>
    </xdr:to>
    <xdr:sp macro="" textlink="">
      <xdr:nvSpPr>
        <xdr:cNvPr id="2" name="Octagon 1">
          <a:extLst>
            <a:ext uri="{FF2B5EF4-FFF2-40B4-BE49-F238E27FC236}">
              <a16:creationId xmlns:a16="http://schemas.microsoft.com/office/drawing/2014/main" id="{53CF282E-81F1-4D44-A0A8-3356D9199807}"/>
            </a:ext>
          </a:extLst>
        </xdr:cNvPr>
        <xdr:cNvSpPr/>
      </xdr:nvSpPr>
      <xdr:spPr>
        <a:xfrm>
          <a:off x="742950" y="59309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1</a:t>
          </a:r>
          <a:endParaRPr lang="en-US" sz="1100" b="1"/>
        </a:p>
      </xdr:txBody>
    </xdr:sp>
    <xdr:clientData/>
  </xdr:twoCellAnchor>
  <xdr:twoCellAnchor>
    <xdr:from>
      <xdr:col>1</xdr:col>
      <xdr:colOff>120650</xdr:colOff>
      <xdr:row>5</xdr:row>
      <xdr:rowOff>38100</xdr:rowOff>
    </xdr:from>
    <xdr:to>
      <xdr:col>1</xdr:col>
      <xdr:colOff>501650</xdr:colOff>
      <xdr:row>5</xdr:row>
      <xdr:rowOff>406400</xdr:rowOff>
    </xdr:to>
    <xdr:sp macro="" textlink="">
      <xdr:nvSpPr>
        <xdr:cNvPr id="3" name="Octagon 2">
          <a:extLst>
            <a:ext uri="{FF2B5EF4-FFF2-40B4-BE49-F238E27FC236}">
              <a16:creationId xmlns:a16="http://schemas.microsoft.com/office/drawing/2014/main" id="{8A17F1B2-96B5-415C-A7C3-2E4689AC4831}"/>
            </a:ext>
          </a:extLst>
        </xdr:cNvPr>
        <xdr:cNvSpPr/>
      </xdr:nvSpPr>
      <xdr:spPr>
        <a:xfrm>
          <a:off x="730250" y="123444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2</a:t>
          </a:r>
          <a:endParaRPr lang="en-US" sz="1100" b="1"/>
        </a:p>
      </xdr:txBody>
    </xdr:sp>
    <xdr:clientData/>
  </xdr:twoCellAnchor>
  <xdr:twoCellAnchor>
    <xdr:from>
      <xdr:col>1</xdr:col>
      <xdr:colOff>127000</xdr:colOff>
      <xdr:row>9</xdr:row>
      <xdr:rowOff>44450</xdr:rowOff>
    </xdr:from>
    <xdr:to>
      <xdr:col>1</xdr:col>
      <xdr:colOff>508000</xdr:colOff>
      <xdr:row>9</xdr:row>
      <xdr:rowOff>412750</xdr:rowOff>
    </xdr:to>
    <xdr:sp macro="" textlink="">
      <xdr:nvSpPr>
        <xdr:cNvPr id="4" name="Octagon 3">
          <a:extLst>
            <a:ext uri="{FF2B5EF4-FFF2-40B4-BE49-F238E27FC236}">
              <a16:creationId xmlns:a16="http://schemas.microsoft.com/office/drawing/2014/main" id="{1D037EBF-9AD1-49C4-82A7-AF6C5F43D8B1}"/>
            </a:ext>
          </a:extLst>
        </xdr:cNvPr>
        <xdr:cNvSpPr/>
      </xdr:nvSpPr>
      <xdr:spPr>
        <a:xfrm>
          <a:off x="736600" y="253619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4</a:t>
          </a:r>
          <a:endParaRPr lang="en-US" sz="1100" b="1"/>
        </a:p>
      </xdr:txBody>
    </xdr:sp>
    <xdr:clientData/>
  </xdr:twoCellAnchor>
  <xdr:twoCellAnchor>
    <xdr:from>
      <xdr:col>1</xdr:col>
      <xdr:colOff>127000</xdr:colOff>
      <xdr:row>7</xdr:row>
      <xdr:rowOff>44450</xdr:rowOff>
    </xdr:from>
    <xdr:to>
      <xdr:col>1</xdr:col>
      <xdr:colOff>508000</xdr:colOff>
      <xdr:row>7</xdr:row>
      <xdr:rowOff>412750</xdr:rowOff>
    </xdr:to>
    <xdr:sp macro="" textlink="">
      <xdr:nvSpPr>
        <xdr:cNvPr id="5" name="Octagon 4">
          <a:extLst>
            <a:ext uri="{FF2B5EF4-FFF2-40B4-BE49-F238E27FC236}">
              <a16:creationId xmlns:a16="http://schemas.microsoft.com/office/drawing/2014/main" id="{B209036D-826A-460C-8995-44A8BA45297C}"/>
            </a:ext>
          </a:extLst>
        </xdr:cNvPr>
        <xdr:cNvSpPr/>
      </xdr:nvSpPr>
      <xdr:spPr>
        <a:xfrm>
          <a:off x="736600" y="188849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3</a:t>
          </a:r>
          <a:endParaRPr lang="en-US" sz="1100" b="1"/>
        </a:p>
      </xdr:txBody>
    </xdr:sp>
    <xdr:clientData/>
  </xdr:twoCellAnchor>
  <xdr:twoCellAnchor>
    <xdr:from>
      <xdr:col>1</xdr:col>
      <xdr:colOff>120650</xdr:colOff>
      <xdr:row>11</xdr:row>
      <xdr:rowOff>38100</xdr:rowOff>
    </xdr:from>
    <xdr:to>
      <xdr:col>1</xdr:col>
      <xdr:colOff>501650</xdr:colOff>
      <xdr:row>11</xdr:row>
      <xdr:rowOff>406400</xdr:rowOff>
    </xdr:to>
    <xdr:sp macro="" textlink="">
      <xdr:nvSpPr>
        <xdr:cNvPr id="6" name="Octagon 5">
          <a:extLst>
            <a:ext uri="{FF2B5EF4-FFF2-40B4-BE49-F238E27FC236}">
              <a16:creationId xmlns:a16="http://schemas.microsoft.com/office/drawing/2014/main" id="{877B096F-A4B0-4DDA-ACEF-00EFF4DEEDCD}"/>
            </a:ext>
          </a:extLst>
        </xdr:cNvPr>
        <xdr:cNvSpPr/>
      </xdr:nvSpPr>
      <xdr:spPr>
        <a:xfrm>
          <a:off x="730250" y="3177540"/>
          <a:ext cx="381000" cy="368300"/>
        </a:xfrm>
        <a:prstGeom prst="octagon">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5</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152027</xdr:colOff>
      <xdr:row>8</xdr:row>
      <xdr:rowOff>16434</xdr:rowOff>
    </xdr:from>
    <xdr:to>
      <xdr:col>4</xdr:col>
      <xdr:colOff>384736</xdr:colOff>
      <xdr:row>19</xdr:row>
      <xdr:rowOff>10205</xdr:rowOff>
    </xdr:to>
    <xdr:pic>
      <xdr:nvPicPr>
        <xdr:cNvPr id="2" name="Picture 1">
          <a:extLst>
            <a:ext uri="{FF2B5EF4-FFF2-40B4-BE49-F238E27FC236}">
              <a16:creationId xmlns:a16="http://schemas.microsoft.com/office/drawing/2014/main" id="{78BD73CB-0A9D-4890-942F-F8B9143B7014}"/>
            </a:ext>
          </a:extLst>
        </xdr:cNvPr>
        <xdr:cNvPicPr>
          <a:picLocks noChangeAspect="1"/>
        </xdr:cNvPicPr>
      </xdr:nvPicPr>
      <xdr:blipFill>
        <a:blip xmlns:r="http://schemas.openxmlformats.org/officeDocument/2006/relationships" r:embed="rId1"/>
        <a:stretch>
          <a:fillRect/>
        </a:stretch>
      </xdr:blipFill>
      <xdr:spPr>
        <a:xfrm>
          <a:off x="1051187" y="2348154"/>
          <a:ext cx="6107729" cy="2340731"/>
        </a:xfrm>
        <a:prstGeom prst="rect">
          <a:avLst/>
        </a:prstGeom>
      </xdr:spPr>
    </xdr:pic>
    <xdr:clientData/>
  </xdr:twoCellAnchor>
  <xdr:twoCellAnchor editAs="oneCell">
    <xdr:from>
      <xdr:col>2</xdr:col>
      <xdr:colOff>2024529</xdr:colOff>
      <xdr:row>33</xdr:row>
      <xdr:rowOff>0</xdr:rowOff>
    </xdr:from>
    <xdr:to>
      <xdr:col>4</xdr:col>
      <xdr:colOff>641327</xdr:colOff>
      <xdr:row>43</xdr:row>
      <xdr:rowOff>20985</xdr:rowOff>
    </xdr:to>
    <xdr:pic>
      <xdr:nvPicPr>
        <xdr:cNvPr id="3" name="Picture 2">
          <a:extLst>
            <a:ext uri="{FF2B5EF4-FFF2-40B4-BE49-F238E27FC236}">
              <a16:creationId xmlns:a16="http://schemas.microsoft.com/office/drawing/2014/main" id="{539AB16F-F98E-447C-A5C2-6CE546B1C077}"/>
            </a:ext>
          </a:extLst>
        </xdr:cNvPr>
        <xdr:cNvPicPr>
          <a:picLocks noChangeAspect="1"/>
        </xdr:cNvPicPr>
      </xdr:nvPicPr>
      <xdr:blipFill>
        <a:blip xmlns:r="http://schemas.openxmlformats.org/officeDocument/2006/relationships" r:embed="rId2"/>
        <a:stretch>
          <a:fillRect/>
        </a:stretch>
      </xdr:blipFill>
      <xdr:spPr>
        <a:xfrm>
          <a:off x="2923689" y="9631680"/>
          <a:ext cx="4491818" cy="2154586"/>
        </a:xfrm>
        <a:prstGeom prst="rect">
          <a:avLst/>
        </a:prstGeom>
      </xdr:spPr>
    </xdr:pic>
    <xdr:clientData/>
  </xdr:twoCellAnchor>
  <xdr:twoCellAnchor editAs="oneCell">
    <xdr:from>
      <xdr:col>4</xdr:col>
      <xdr:colOff>906303</xdr:colOff>
      <xdr:row>50</xdr:row>
      <xdr:rowOff>119995</xdr:rowOff>
    </xdr:from>
    <xdr:to>
      <xdr:col>4</xdr:col>
      <xdr:colOff>3683000</xdr:colOff>
      <xdr:row>62</xdr:row>
      <xdr:rowOff>186764</xdr:rowOff>
    </xdr:to>
    <xdr:pic>
      <xdr:nvPicPr>
        <xdr:cNvPr id="4" name="Picture 3">
          <a:extLst>
            <a:ext uri="{FF2B5EF4-FFF2-40B4-BE49-F238E27FC236}">
              <a16:creationId xmlns:a16="http://schemas.microsoft.com/office/drawing/2014/main" id="{F0E1E145-C393-4964-A341-346A9EF1F59D}"/>
            </a:ext>
          </a:extLst>
        </xdr:cNvPr>
        <xdr:cNvPicPr>
          <a:picLocks noChangeAspect="1"/>
        </xdr:cNvPicPr>
      </xdr:nvPicPr>
      <xdr:blipFill>
        <a:blip xmlns:r="http://schemas.openxmlformats.org/officeDocument/2006/relationships" r:embed="rId3"/>
        <a:stretch>
          <a:fillRect/>
        </a:stretch>
      </xdr:blipFill>
      <xdr:spPr>
        <a:xfrm>
          <a:off x="7680483" y="14247475"/>
          <a:ext cx="2776697" cy="2627090"/>
        </a:xfrm>
        <a:prstGeom prst="rect">
          <a:avLst/>
        </a:prstGeom>
      </xdr:spPr>
    </xdr:pic>
    <xdr:clientData/>
  </xdr:twoCellAnchor>
  <xdr:twoCellAnchor editAs="oneCell">
    <xdr:from>
      <xdr:col>2</xdr:col>
      <xdr:colOff>22412</xdr:colOff>
      <xdr:row>50</xdr:row>
      <xdr:rowOff>149413</xdr:rowOff>
    </xdr:from>
    <xdr:to>
      <xdr:col>2</xdr:col>
      <xdr:colOff>4322919</xdr:colOff>
      <xdr:row>63</xdr:row>
      <xdr:rowOff>37353</xdr:rowOff>
    </xdr:to>
    <xdr:pic>
      <xdr:nvPicPr>
        <xdr:cNvPr id="5" name="Picture 4" descr="A forklift in a factory&#10;&#10;Description automatically generated">
          <a:extLst>
            <a:ext uri="{FF2B5EF4-FFF2-40B4-BE49-F238E27FC236}">
              <a16:creationId xmlns:a16="http://schemas.microsoft.com/office/drawing/2014/main" id="{EADB8427-BADB-46C5-8BE4-61D3D62A3012}"/>
            </a:ext>
          </a:extLst>
        </xdr:cNvPr>
        <xdr:cNvPicPr>
          <a:picLocks noChangeAspect="1"/>
        </xdr:cNvPicPr>
      </xdr:nvPicPr>
      <xdr:blipFill>
        <a:blip xmlns:r="http://schemas.openxmlformats.org/officeDocument/2006/relationships" r:embed="rId4"/>
        <a:stretch>
          <a:fillRect/>
        </a:stretch>
      </xdr:blipFill>
      <xdr:spPr>
        <a:xfrm>
          <a:off x="921572" y="14276893"/>
          <a:ext cx="4300507" cy="2661620"/>
        </a:xfrm>
        <a:prstGeom prst="rect">
          <a:avLst/>
        </a:prstGeom>
      </xdr:spPr>
    </xdr:pic>
    <xdr:clientData/>
  </xdr:twoCellAnchor>
  <xdr:twoCellAnchor editAs="oneCell">
    <xdr:from>
      <xdr:col>2</xdr:col>
      <xdr:colOff>89647</xdr:colOff>
      <xdr:row>93</xdr:row>
      <xdr:rowOff>164353</xdr:rowOff>
    </xdr:from>
    <xdr:to>
      <xdr:col>2</xdr:col>
      <xdr:colOff>5169647</xdr:colOff>
      <xdr:row>105</xdr:row>
      <xdr:rowOff>150387</xdr:rowOff>
    </xdr:to>
    <xdr:pic>
      <xdr:nvPicPr>
        <xdr:cNvPr id="6" name="Picture 5">
          <a:extLst>
            <a:ext uri="{FF2B5EF4-FFF2-40B4-BE49-F238E27FC236}">
              <a16:creationId xmlns:a16="http://schemas.microsoft.com/office/drawing/2014/main" id="{8B4E47DA-8E33-4E22-A9EE-250769DB0C5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88807" y="25638013"/>
          <a:ext cx="5080000" cy="2546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5701334</xdr:colOff>
      <xdr:row>93</xdr:row>
      <xdr:rowOff>127080</xdr:rowOff>
    </xdr:from>
    <xdr:to>
      <xdr:col>4</xdr:col>
      <xdr:colOff>4923115</xdr:colOff>
      <xdr:row>104</xdr:row>
      <xdr:rowOff>117742</xdr:rowOff>
    </xdr:to>
    <xdr:pic>
      <xdr:nvPicPr>
        <xdr:cNvPr id="7" name="F6800748">
          <a:extLst>
            <a:ext uri="{FF2B5EF4-FFF2-40B4-BE49-F238E27FC236}">
              <a16:creationId xmlns:a16="http://schemas.microsoft.com/office/drawing/2014/main" id="{68BAE0E7-975C-46A9-B464-7C54A9D36DD2}"/>
            </a:ext>
          </a:extLst>
        </xdr:cNvPr>
        <xdr:cNvPicPr>
          <a:picLocks noChangeAspect="1"/>
        </xdr:cNvPicPr>
      </xdr:nvPicPr>
      <xdr:blipFill>
        <a:blip xmlns:r="http://schemas.openxmlformats.org/officeDocument/2006/relationships" r:embed="rId6"/>
        <a:stretch>
          <a:fillRect/>
        </a:stretch>
      </xdr:blipFill>
      <xdr:spPr>
        <a:xfrm>
          <a:off x="6600494" y="25600740"/>
          <a:ext cx="5096801" cy="2337622"/>
        </a:xfrm>
        <a:prstGeom prst="rect">
          <a:avLst/>
        </a:prstGeom>
      </xdr:spPr>
    </xdr:pic>
    <xdr:clientData/>
  </xdr:twoCellAnchor>
  <xdr:twoCellAnchor editAs="oneCell">
    <xdr:from>
      <xdr:col>4</xdr:col>
      <xdr:colOff>154352</xdr:colOff>
      <xdr:row>115</xdr:row>
      <xdr:rowOff>16060</xdr:rowOff>
    </xdr:from>
    <xdr:to>
      <xdr:col>4</xdr:col>
      <xdr:colOff>5692588</xdr:colOff>
      <xdr:row>131</xdr:row>
      <xdr:rowOff>134471</xdr:rowOff>
    </xdr:to>
    <xdr:pic>
      <xdr:nvPicPr>
        <xdr:cNvPr id="8" name="Picture 7" descr="A person working in a factory&#10;&#10;Description automatically generated">
          <a:extLst>
            <a:ext uri="{FF2B5EF4-FFF2-40B4-BE49-F238E27FC236}">
              <a16:creationId xmlns:a16="http://schemas.microsoft.com/office/drawing/2014/main" id="{7E707581-CB92-4925-BEE2-2F636215AE7C}"/>
            </a:ext>
          </a:extLst>
        </xdr:cNvPr>
        <xdr:cNvPicPr>
          <a:picLocks noChangeAspect="1"/>
        </xdr:cNvPicPr>
      </xdr:nvPicPr>
      <xdr:blipFill>
        <a:blip xmlns:r="http://schemas.openxmlformats.org/officeDocument/2006/relationships" r:embed="rId7"/>
        <a:stretch>
          <a:fillRect/>
        </a:stretch>
      </xdr:blipFill>
      <xdr:spPr>
        <a:xfrm rot="5400000">
          <a:off x="7931564" y="29668288"/>
          <a:ext cx="3532171" cy="5538236"/>
        </a:xfrm>
        <a:prstGeom prst="rect">
          <a:avLst/>
        </a:prstGeom>
      </xdr:spPr>
    </xdr:pic>
    <xdr:clientData/>
  </xdr:twoCellAnchor>
  <xdr:twoCellAnchor editAs="oneCell">
    <xdr:from>
      <xdr:col>2</xdr:col>
      <xdr:colOff>530411</xdr:colOff>
      <xdr:row>114</xdr:row>
      <xdr:rowOff>104593</xdr:rowOff>
    </xdr:from>
    <xdr:to>
      <xdr:col>2</xdr:col>
      <xdr:colOff>4295588</xdr:colOff>
      <xdr:row>132</xdr:row>
      <xdr:rowOff>34867</xdr:rowOff>
    </xdr:to>
    <xdr:pic>
      <xdr:nvPicPr>
        <xdr:cNvPr id="9" name="Picture 8">
          <a:extLst>
            <a:ext uri="{FF2B5EF4-FFF2-40B4-BE49-F238E27FC236}">
              <a16:creationId xmlns:a16="http://schemas.microsoft.com/office/drawing/2014/main" id="{02274576-0E67-45B7-A879-3D819B3203E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5400000">
          <a:off x="3416051" y="30755918"/>
          <a:ext cx="3803027" cy="3765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112059</xdr:colOff>
      <xdr:row>70</xdr:row>
      <xdr:rowOff>186765</xdr:rowOff>
    </xdr:from>
    <xdr:to>
      <xdr:col>2</xdr:col>
      <xdr:colOff>4400176</xdr:colOff>
      <xdr:row>85</xdr:row>
      <xdr:rowOff>179443</xdr:rowOff>
    </xdr:to>
    <xdr:pic>
      <xdr:nvPicPr>
        <xdr:cNvPr id="10" name="Cân bao bằng xe nâng có cân điện tử">
          <a:extLst>
            <a:ext uri="{FF2B5EF4-FFF2-40B4-BE49-F238E27FC236}">
              <a16:creationId xmlns:a16="http://schemas.microsoft.com/office/drawing/2014/main" id="{96198FAD-01D3-4376-B5C6-5423E42A2FD8}"/>
            </a:ext>
          </a:extLst>
        </xdr:cNvPr>
        <xdr:cNvPicPr>
          <a:picLocks noChangeAspect="1"/>
        </xdr:cNvPicPr>
      </xdr:nvPicPr>
      <xdr:blipFill>
        <a:blip xmlns:r="http://schemas.openxmlformats.org/officeDocument/2006/relationships" r:embed="rId9"/>
        <a:stretch>
          <a:fillRect/>
        </a:stretch>
      </xdr:blipFill>
      <xdr:spPr>
        <a:xfrm>
          <a:off x="1011219" y="19716825"/>
          <a:ext cx="4288117" cy="3193079"/>
        </a:xfrm>
        <a:prstGeom prst="rect">
          <a:avLst/>
        </a:prstGeom>
      </xdr:spPr>
    </xdr:pic>
    <xdr:clientData/>
  </xdr:twoCellAnchor>
  <xdr:twoCellAnchor editAs="oneCell">
    <xdr:from>
      <xdr:col>4</xdr:col>
      <xdr:colOff>1532963</xdr:colOff>
      <xdr:row>194</xdr:row>
      <xdr:rowOff>80685</xdr:rowOff>
    </xdr:from>
    <xdr:to>
      <xdr:col>4</xdr:col>
      <xdr:colOff>4856652</xdr:colOff>
      <xdr:row>215</xdr:row>
      <xdr:rowOff>55069</xdr:rowOff>
    </xdr:to>
    <xdr:pic>
      <xdr:nvPicPr>
        <xdr:cNvPr id="13" name="Picture 12">
          <a:extLst>
            <a:ext uri="{FF2B5EF4-FFF2-40B4-BE49-F238E27FC236}">
              <a16:creationId xmlns:a16="http://schemas.microsoft.com/office/drawing/2014/main" id="{7A8DD81F-7F29-5ECA-9DEF-548EAAFA206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318375" y="48221156"/>
          <a:ext cx="3323689" cy="4492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421343</xdr:colOff>
      <xdr:row>194</xdr:row>
      <xdr:rowOff>35857</xdr:rowOff>
    </xdr:from>
    <xdr:to>
      <xdr:col>2</xdr:col>
      <xdr:colOff>4231342</xdr:colOff>
      <xdr:row>215</xdr:row>
      <xdr:rowOff>20728</xdr:rowOff>
    </xdr:to>
    <xdr:pic>
      <xdr:nvPicPr>
        <xdr:cNvPr id="14" name="Picture 13">
          <a:extLst>
            <a:ext uri="{FF2B5EF4-FFF2-40B4-BE49-F238E27FC236}">
              <a16:creationId xmlns:a16="http://schemas.microsoft.com/office/drawing/2014/main" id="{9B02D1B7-4D90-9E9D-A06B-C300FB18923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325908" y="48176328"/>
          <a:ext cx="3809999" cy="45030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3209364</xdr:colOff>
      <xdr:row>138</xdr:row>
      <xdr:rowOff>197225</xdr:rowOff>
    </xdr:from>
    <xdr:to>
      <xdr:col>4</xdr:col>
      <xdr:colOff>6162757</xdr:colOff>
      <xdr:row>157</xdr:row>
      <xdr:rowOff>80683</xdr:rowOff>
    </xdr:to>
    <xdr:pic>
      <xdr:nvPicPr>
        <xdr:cNvPr id="11" name="Picture 10">
          <a:extLst>
            <a:ext uri="{FF2B5EF4-FFF2-40B4-BE49-F238E27FC236}">
              <a16:creationId xmlns:a16="http://schemas.microsoft.com/office/drawing/2014/main" id="{F5C8A9BF-5CE6-DF3D-9FDD-11BC0251854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1994776" y="35939507"/>
          <a:ext cx="2953393" cy="3971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170329</xdr:colOff>
      <xdr:row>138</xdr:row>
      <xdr:rowOff>206190</xdr:rowOff>
    </xdr:from>
    <xdr:to>
      <xdr:col>4</xdr:col>
      <xdr:colOff>3117054</xdr:colOff>
      <xdr:row>157</xdr:row>
      <xdr:rowOff>80682</xdr:rowOff>
    </xdr:to>
    <xdr:pic>
      <xdr:nvPicPr>
        <xdr:cNvPr id="12" name="Picture 11">
          <a:extLst>
            <a:ext uri="{FF2B5EF4-FFF2-40B4-BE49-F238E27FC236}">
              <a16:creationId xmlns:a16="http://schemas.microsoft.com/office/drawing/2014/main" id="{0BB3B91F-1202-4CD5-ABF7-4AB73F922EE4}"/>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955741" y="35948472"/>
          <a:ext cx="2946725" cy="3962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431046</xdr:colOff>
      <xdr:row>136</xdr:row>
      <xdr:rowOff>179295</xdr:rowOff>
    </xdr:from>
    <xdr:to>
      <xdr:col>16</xdr:col>
      <xdr:colOff>403411</xdr:colOff>
      <xdr:row>155</xdr:row>
      <xdr:rowOff>63558</xdr:rowOff>
    </xdr:to>
    <xdr:pic>
      <xdr:nvPicPr>
        <xdr:cNvPr id="15" name="Picture 14">
          <a:extLst>
            <a:ext uri="{FF2B5EF4-FFF2-40B4-BE49-F238E27FC236}">
              <a16:creationId xmlns:a16="http://schemas.microsoft.com/office/drawing/2014/main" id="{601D78ED-12F8-849F-05AB-7319E15124E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8728011" y="35455413"/>
          <a:ext cx="2975541" cy="40080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26896</xdr:colOff>
      <xdr:row>139</xdr:row>
      <xdr:rowOff>8965</xdr:rowOff>
    </xdr:from>
    <xdr:to>
      <xdr:col>2</xdr:col>
      <xdr:colOff>2626659</xdr:colOff>
      <xdr:row>155</xdr:row>
      <xdr:rowOff>59572</xdr:rowOff>
    </xdr:to>
    <xdr:pic>
      <xdr:nvPicPr>
        <xdr:cNvPr id="16" name="Picture 15">
          <a:extLst>
            <a:ext uri="{FF2B5EF4-FFF2-40B4-BE49-F238E27FC236}">
              <a16:creationId xmlns:a16="http://schemas.microsoft.com/office/drawing/2014/main" id="{44A4EB54-6DE0-6024-7F55-AA755AF5C3C5}"/>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931461" y="35966400"/>
          <a:ext cx="2599763" cy="3493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2662519</xdr:colOff>
      <xdr:row>139</xdr:row>
      <xdr:rowOff>8965</xdr:rowOff>
    </xdr:from>
    <xdr:to>
      <xdr:col>2</xdr:col>
      <xdr:colOff>5271247</xdr:colOff>
      <xdr:row>155</xdr:row>
      <xdr:rowOff>71617</xdr:rowOff>
    </xdr:to>
    <xdr:pic>
      <xdr:nvPicPr>
        <xdr:cNvPr id="17" name="Picture 16">
          <a:extLst>
            <a:ext uri="{FF2B5EF4-FFF2-40B4-BE49-F238E27FC236}">
              <a16:creationId xmlns:a16="http://schemas.microsoft.com/office/drawing/2014/main" id="{90C27090-44C3-1B9E-E145-D6E2536ECB1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567084" y="35966400"/>
          <a:ext cx="2608728" cy="3505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555809</xdr:colOff>
      <xdr:row>252</xdr:row>
      <xdr:rowOff>109771</xdr:rowOff>
    </xdr:from>
    <xdr:to>
      <xdr:col>2</xdr:col>
      <xdr:colOff>4834976</xdr:colOff>
      <xdr:row>265</xdr:row>
      <xdr:rowOff>8966</xdr:rowOff>
    </xdr:to>
    <xdr:pic>
      <xdr:nvPicPr>
        <xdr:cNvPr id="22" name="Picture 21">
          <a:extLst>
            <a:ext uri="{FF2B5EF4-FFF2-40B4-BE49-F238E27FC236}">
              <a16:creationId xmlns:a16="http://schemas.microsoft.com/office/drawing/2014/main" id="{5F00BCE6-C8CC-4430-B763-72E2CB456B76}"/>
            </a:ext>
          </a:extLst>
        </xdr:cNvPr>
        <xdr:cNvPicPr>
          <a:picLocks noChangeAspect="1"/>
        </xdr:cNvPicPr>
      </xdr:nvPicPr>
      <xdr:blipFill>
        <a:blip xmlns:r="http://schemas.openxmlformats.org/officeDocument/2006/relationships" r:embed="rId17"/>
        <a:stretch>
          <a:fillRect/>
        </a:stretch>
      </xdr:blipFill>
      <xdr:spPr>
        <a:xfrm>
          <a:off x="3460374" y="61598689"/>
          <a:ext cx="4279167" cy="2696181"/>
        </a:xfrm>
        <a:prstGeom prst="rect">
          <a:avLst/>
        </a:prstGeom>
      </xdr:spPr>
    </xdr:pic>
    <xdr:clientData/>
  </xdr:twoCellAnchor>
  <xdr:twoCellAnchor editAs="oneCell">
    <xdr:from>
      <xdr:col>4</xdr:col>
      <xdr:colOff>1159547</xdr:colOff>
      <xdr:row>252</xdr:row>
      <xdr:rowOff>62753</xdr:rowOff>
    </xdr:from>
    <xdr:to>
      <xdr:col>4</xdr:col>
      <xdr:colOff>5307104</xdr:colOff>
      <xdr:row>266</xdr:row>
      <xdr:rowOff>118669</xdr:rowOff>
    </xdr:to>
    <xdr:pic>
      <xdr:nvPicPr>
        <xdr:cNvPr id="23" name="Picture 22">
          <a:extLst>
            <a:ext uri="{FF2B5EF4-FFF2-40B4-BE49-F238E27FC236}">
              <a16:creationId xmlns:a16="http://schemas.microsoft.com/office/drawing/2014/main" id="{FF997235-1C1F-4881-9A0F-9FE135571F05}"/>
            </a:ext>
          </a:extLst>
        </xdr:cNvPr>
        <xdr:cNvPicPr>
          <a:picLocks noChangeAspect="1"/>
        </xdr:cNvPicPr>
      </xdr:nvPicPr>
      <xdr:blipFill>
        <a:blip xmlns:r="http://schemas.openxmlformats.org/officeDocument/2006/relationships" r:embed="rId18"/>
        <a:stretch>
          <a:fillRect/>
        </a:stretch>
      </xdr:blipFill>
      <xdr:spPr>
        <a:xfrm>
          <a:off x="9944959" y="61551671"/>
          <a:ext cx="4147557" cy="3068057"/>
        </a:xfrm>
        <a:prstGeom prst="rect">
          <a:avLst/>
        </a:prstGeom>
      </xdr:spPr>
    </xdr:pic>
    <xdr:clientData/>
  </xdr:twoCellAnchor>
  <xdr:twoCellAnchor editAs="oneCell">
    <xdr:from>
      <xdr:col>2</xdr:col>
      <xdr:colOff>609600</xdr:colOff>
      <xdr:row>224</xdr:row>
      <xdr:rowOff>18107</xdr:rowOff>
    </xdr:from>
    <xdr:to>
      <xdr:col>2</xdr:col>
      <xdr:colOff>5334000</xdr:colOff>
      <xdr:row>236</xdr:row>
      <xdr:rowOff>136814</xdr:rowOff>
    </xdr:to>
    <xdr:pic>
      <xdr:nvPicPr>
        <xdr:cNvPr id="24" name="Picture 23">
          <a:extLst>
            <a:ext uri="{FF2B5EF4-FFF2-40B4-BE49-F238E27FC236}">
              <a16:creationId xmlns:a16="http://schemas.microsoft.com/office/drawing/2014/main" id="{56D066DF-71AE-4343-9FF0-4F6AB4C4FC5A}"/>
            </a:ext>
          </a:extLst>
        </xdr:cNvPr>
        <xdr:cNvPicPr>
          <a:picLocks noChangeAspect="1"/>
        </xdr:cNvPicPr>
      </xdr:nvPicPr>
      <xdr:blipFill>
        <a:blip xmlns:r="http://schemas.openxmlformats.org/officeDocument/2006/relationships" r:embed="rId19"/>
        <a:stretch>
          <a:fillRect/>
        </a:stretch>
      </xdr:blipFill>
      <xdr:spPr>
        <a:xfrm>
          <a:off x="3514165" y="55079331"/>
          <a:ext cx="4724400" cy="2700543"/>
        </a:xfrm>
        <a:prstGeom prst="rect">
          <a:avLst/>
        </a:prstGeom>
      </xdr:spPr>
    </xdr:pic>
    <xdr:clientData/>
  </xdr:twoCellAnchor>
  <xdr:twoCellAnchor editAs="oneCell">
    <xdr:from>
      <xdr:col>4</xdr:col>
      <xdr:colOff>728541</xdr:colOff>
      <xdr:row>224</xdr:row>
      <xdr:rowOff>121024</xdr:rowOff>
    </xdr:from>
    <xdr:to>
      <xdr:col>4</xdr:col>
      <xdr:colOff>5398246</xdr:colOff>
      <xdr:row>237</xdr:row>
      <xdr:rowOff>72235</xdr:rowOff>
    </xdr:to>
    <xdr:pic>
      <xdr:nvPicPr>
        <xdr:cNvPr id="25" name="Picture 24">
          <a:extLst>
            <a:ext uri="{FF2B5EF4-FFF2-40B4-BE49-F238E27FC236}">
              <a16:creationId xmlns:a16="http://schemas.microsoft.com/office/drawing/2014/main" id="{901EC1A2-31B8-4163-A0EA-365EC0FEBB7F}"/>
            </a:ext>
          </a:extLst>
        </xdr:cNvPr>
        <xdr:cNvPicPr>
          <a:picLocks noChangeAspect="1"/>
        </xdr:cNvPicPr>
      </xdr:nvPicPr>
      <xdr:blipFill>
        <a:blip xmlns:r="http://schemas.openxmlformats.org/officeDocument/2006/relationships" r:embed="rId20"/>
        <a:stretch>
          <a:fillRect/>
        </a:stretch>
      </xdr:blipFill>
      <xdr:spPr>
        <a:xfrm>
          <a:off x="9663365" y="54985024"/>
          <a:ext cx="4669705" cy="2670506"/>
        </a:xfrm>
        <a:prstGeom prst="rect">
          <a:avLst/>
        </a:prstGeom>
      </xdr:spPr>
    </xdr:pic>
    <xdr:clientData/>
  </xdr:twoCellAnchor>
  <xdr:twoCellAnchor editAs="oneCell">
    <xdr:from>
      <xdr:col>2</xdr:col>
      <xdr:colOff>625624</xdr:colOff>
      <xdr:row>164</xdr:row>
      <xdr:rowOff>107953</xdr:rowOff>
    </xdr:from>
    <xdr:to>
      <xdr:col>2</xdr:col>
      <xdr:colOff>4706470</xdr:colOff>
      <xdr:row>187</xdr:row>
      <xdr:rowOff>85421</xdr:rowOff>
    </xdr:to>
    <xdr:pic>
      <xdr:nvPicPr>
        <xdr:cNvPr id="26" name="Picture 25">
          <a:extLst>
            <a:ext uri="{FF2B5EF4-FFF2-40B4-BE49-F238E27FC236}">
              <a16:creationId xmlns:a16="http://schemas.microsoft.com/office/drawing/2014/main" id="{43D37C57-BB74-481F-A0D3-441622F77AF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516742" y="41267159"/>
          <a:ext cx="4080846" cy="48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973536</xdr:colOff>
      <xdr:row>164</xdr:row>
      <xdr:rowOff>95362</xdr:rowOff>
    </xdr:from>
    <xdr:to>
      <xdr:col>4</xdr:col>
      <xdr:colOff>4930749</xdr:colOff>
      <xdr:row>187</xdr:row>
      <xdr:rowOff>67235</xdr:rowOff>
    </xdr:to>
    <xdr:pic>
      <xdr:nvPicPr>
        <xdr:cNvPr id="27" name="Picture 26">
          <a:extLst>
            <a:ext uri="{FF2B5EF4-FFF2-40B4-BE49-F238E27FC236}">
              <a16:creationId xmlns:a16="http://schemas.microsoft.com/office/drawing/2014/main" id="{C039866A-5288-4F06-BE82-C8BCD98D69F1}"/>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736536" y="41254568"/>
          <a:ext cx="3957213" cy="48688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128065</xdr:colOff>
      <xdr:row>305</xdr:row>
      <xdr:rowOff>77148</xdr:rowOff>
    </xdr:from>
    <xdr:to>
      <xdr:col>2</xdr:col>
      <xdr:colOff>5315896</xdr:colOff>
      <xdr:row>315</xdr:row>
      <xdr:rowOff>117929</xdr:rowOff>
    </xdr:to>
    <xdr:pic>
      <xdr:nvPicPr>
        <xdr:cNvPr id="30" name="Picture 29">
          <a:extLst>
            <a:ext uri="{FF2B5EF4-FFF2-40B4-BE49-F238E27FC236}">
              <a16:creationId xmlns:a16="http://schemas.microsoft.com/office/drawing/2014/main" id="{8B006D09-D685-9C81-5656-47DDFBCFA969}"/>
            </a:ext>
          </a:extLst>
        </xdr:cNvPr>
        <xdr:cNvPicPr>
          <a:picLocks noChangeAspect="1"/>
        </xdr:cNvPicPr>
      </xdr:nvPicPr>
      <xdr:blipFill>
        <a:blip xmlns:r="http://schemas.openxmlformats.org/officeDocument/2006/relationships" r:embed="rId23"/>
        <a:stretch>
          <a:fillRect/>
        </a:stretch>
      </xdr:blipFill>
      <xdr:spPr>
        <a:xfrm>
          <a:off x="3076279" y="74063719"/>
          <a:ext cx="5187831" cy="2127210"/>
        </a:xfrm>
        <a:prstGeom prst="rect">
          <a:avLst/>
        </a:prstGeom>
      </xdr:spPr>
    </xdr:pic>
    <xdr:clientData/>
  </xdr:twoCellAnchor>
  <xdr:twoCellAnchor editAs="oneCell">
    <xdr:from>
      <xdr:col>4</xdr:col>
      <xdr:colOff>295956</xdr:colOff>
      <xdr:row>304</xdr:row>
      <xdr:rowOff>90434</xdr:rowOff>
    </xdr:from>
    <xdr:to>
      <xdr:col>4</xdr:col>
      <xdr:colOff>5527238</xdr:colOff>
      <xdr:row>315</xdr:row>
      <xdr:rowOff>81644</xdr:rowOff>
    </xdr:to>
    <xdr:pic>
      <xdr:nvPicPr>
        <xdr:cNvPr id="31" name="Picture 30">
          <a:extLst>
            <a:ext uri="{FF2B5EF4-FFF2-40B4-BE49-F238E27FC236}">
              <a16:creationId xmlns:a16="http://schemas.microsoft.com/office/drawing/2014/main" id="{66587110-9680-6E5E-2266-816F69A4B12B}"/>
            </a:ext>
          </a:extLst>
        </xdr:cNvPr>
        <xdr:cNvPicPr>
          <a:picLocks noChangeAspect="1"/>
        </xdr:cNvPicPr>
      </xdr:nvPicPr>
      <xdr:blipFill>
        <a:blip xmlns:r="http://schemas.openxmlformats.org/officeDocument/2006/relationships" r:embed="rId24"/>
        <a:stretch>
          <a:fillRect/>
        </a:stretch>
      </xdr:blipFill>
      <xdr:spPr>
        <a:xfrm>
          <a:off x="9231313" y="73868363"/>
          <a:ext cx="5231282" cy="2286280"/>
        </a:xfrm>
        <a:prstGeom prst="rect">
          <a:avLst/>
        </a:prstGeom>
      </xdr:spPr>
    </xdr:pic>
    <xdr:clientData/>
  </xdr:twoCellAnchor>
  <xdr:twoCellAnchor editAs="oneCell">
    <xdr:from>
      <xdr:col>4</xdr:col>
      <xdr:colOff>1628151</xdr:colOff>
      <xdr:row>322</xdr:row>
      <xdr:rowOff>179296</xdr:rowOff>
    </xdr:from>
    <xdr:to>
      <xdr:col>4</xdr:col>
      <xdr:colOff>3997060</xdr:colOff>
      <xdr:row>331</xdr:row>
      <xdr:rowOff>25730</xdr:rowOff>
    </xdr:to>
    <xdr:pic>
      <xdr:nvPicPr>
        <xdr:cNvPr id="18" name="Picture 17">
          <a:extLst>
            <a:ext uri="{FF2B5EF4-FFF2-40B4-BE49-F238E27FC236}">
              <a16:creationId xmlns:a16="http://schemas.microsoft.com/office/drawing/2014/main" id="{894FA939-CB62-4C42-B69C-72C73F7DB2EC}"/>
            </a:ext>
          </a:extLst>
        </xdr:cNvPr>
        <xdr:cNvPicPr>
          <a:picLocks noChangeAspect="1"/>
        </xdr:cNvPicPr>
      </xdr:nvPicPr>
      <xdr:blipFill>
        <a:blip xmlns:r="http://schemas.openxmlformats.org/officeDocument/2006/relationships" r:embed="rId25" r:link="rId26" cstate="print">
          <a:extLst>
            <a:ext uri="{28A0092B-C50C-407E-A947-70E740481C1C}">
              <a14:useLocalDpi xmlns:a14="http://schemas.microsoft.com/office/drawing/2010/main" val="0"/>
            </a:ext>
          </a:extLst>
        </a:blip>
        <a:srcRect/>
        <a:stretch>
          <a:fillRect/>
        </a:stretch>
      </xdr:blipFill>
      <xdr:spPr bwMode="auto">
        <a:xfrm rot="5400000">
          <a:off x="10706612" y="77646106"/>
          <a:ext cx="1782812" cy="2368909"/>
        </a:xfrm>
        <a:prstGeom prst="rect">
          <a:avLst/>
        </a:prstGeom>
        <a:noFill/>
        <a:ln>
          <a:noFill/>
        </a:ln>
      </xdr:spPr>
    </xdr:pic>
    <xdr:clientData/>
  </xdr:twoCellAnchor>
  <xdr:twoCellAnchor editAs="oneCell">
    <xdr:from>
      <xdr:col>2</xdr:col>
      <xdr:colOff>1120588</xdr:colOff>
      <xdr:row>322</xdr:row>
      <xdr:rowOff>204683</xdr:rowOff>
    </xdr:from>
    <xdr:to>
      <xdr:col>2</xdr:col>
      <xdr:colOff>3391872</xdr:colOff>
      <xdr:row>330</xdr:row>
      <xdr:rowOff>192965</xdr:rowOff>
    </xdr:to>
    <xdr:pic>
      <xdr:nvPicPr>
        <xdr:cNvPr id="19" name="Picture 18" descr="A close up of a metal container&#10;&#10;Description automatically generated">
          <a:extLst>
            <a:ext uri="{FF2B5EF4-FFF2-40B4-BE49-F238E27FC236}">
              <a16:creationId xmlns:a16="http://schemas.microsoft.com/office/drawing/2014/main" id="{DFF3824B-1ADA-471F-ACCA-D4D0E58B2BC5}"/>
            </a:ext>
          </a:extLst>
        </xdr:cNvPr>
        <xdr:cNvPicPr>
          <a:picLocks noChangeAspect="1"/>
        </xdr:cNvPicPr>
      </xdr:nvPicPr>
      <xdr:blipFill>
        <a:blip xmlns:r="http://schemas.openxmlformats.org/officeDocument/2006/relationships" r:embed="rId27" r:link="rId28" cstate="print">
          <a:extLst>
            <a:ext uri="{28A0092B-C50C-407E-A947-70E740481C1C}">
              <a14:useLocalDpi xmlns:a14="http://schemas.microsoft.com/office/drawing/2010/main" val="0"/>
            </a:ext>
          </a:extLst>
        </a:blip>
        <a:srcRect/>
        <a:stretch>
          <a:fillRect/>
        </a:stretch>
      </xdr:blipFill>
      <xdr:spPr bwMode="auto">
        <a:xfrm rot="5400000">
          <a:off x="4306041" y="77683654"/>
          <a:ext cx="1709507" cy="2271284"/>
        </a:xfrm>
        <a:prstGeom prst="rect">
          <a:avLst/>
        </a:prstGeom>
        <a:noFill/>
        <a:ln>
          <a:noFill/>
        </a:ln>
      </xdr:spPr>
    </xdr:pic>
    <xdr:clientData/>
  </xdr:twoCellAnchor>
  <xdr:twoCellAnchor editAs="oneCell">
    <xdr:from>
      <xdr:col>4</xdr:col>
      <xdr:colOff>1416425</xdr:colOff>
      <xdr:row>277</xdr:row>
      <xdr:rowOff>161364</xdr:rowOff>
    </xdr:from>
    <xdr:to>
      <xdr:col>4</xdr:col>
      <xdr:colOff>3527727</xdr:colOff>
      <xdr:row>298</xdr:row>
      <xdr:rowOff>8965</xdr:rowOff>
    </xdr:to>
    <xdr:pic>
      <xdr:nvPicPr>
        <xdr:cNvPr id="20" name="Picture 19">
          <a:extLst>
            <a:ext uri="{FF2B5EF4-FFF2-40B4-BE49-F238E27FC236}">
              <a16:creationId xmlns:a16="http://schemas.microsoft.com/office/drawing/2014/main" id="{387DC0C0-CD78-B06D-917A-2EB0437F5212}"/>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0201837" y="68248305"/>
          <a:ext cx="2111302" cy="4365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1326778</xdr:colOff>
      <xdr:row>278</xdr:row>
      <xdr:rowOff>26896</xdr:rowOff>
    </xdr:from>
    <xdr:to>
      <xdr:col>2</xdr:col>
      <xdr:colOff>4312024</xdr:colOff>
      <xdr:row>296</xdr:row>
      <xdr:rowOff>157675</xdr:rowOff>
    </xdr:to>
    <xdr:pic>
      <xdr:nvPicPr>
        <xdr:cNvPr id="21" name="Picture 20">
          <a:extLst>
            <a:ext uri="{FF2B5EF4-FFF2-40B4-BE49-F238E27FC236}">
              <a16:creationId xmlns:a16="http://schemas.microsoft.com/office/drawing/2014/main" id="{157FBA5A-1A6B-B69A-ECAC-F4F234B4F819}"/>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231343" y="68328990"/>
          <a:ext cx="2985246" cy="4003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36286</xdr:colOff>
      <xdr:row>339</xdr:row>
      <xdr:rowOff>199570</xdr:rowOff>
    </xdr:from>
    <xdr:to>
      <xdr:col>2</xdr:col>
      <xdr:colOff>5796643</xdr:colOff>
      <xdr:row>355</xdr:row>
      <xdr:rowOff>137937</xdr:rowOff>
    </xdr:to>
    <xdr:pic>
      <xdr:nvPicPr>
        <xdr:cNvPr id="28" name="Picture 27">
          <a:extLst>
            <a:ext uri="{FF2B5EF4-FFF2-40B4-BE49-F238E27FC236}">
              <a16:creationId xmlns:a16="http://schemas.microsoft.com/office/drawing/2014/main" id="{ED9025BD-082F-408F-A8BB-DE87DAFA32D9}"/>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2984500" y="82549999"/>
          <a:ext cx="5760357" cy="32766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36285</xdr:colOff>
      <xdr:row>340</xdr:row>
      <xdr:rowOff>145145</xdr:rowOff>
    </xdr:from>
    <xdr:to>
      <xdr:col>4</xdr:col>
      <xdr:colOff>6123214</xdr:colOff>
      <xdr:row>356</xdr:row>
      <xdr:rowOff>81646</xdr:rowOff>
    </xdr:to>
    <xdr:pic>
      <xdr:nvPicPr>
        <xdr:cNvPr id="29" name="Picture 28">
          <a:extLst>
            <a:ext uri="{FF2B5EF4-FFF2-40B4-BE49-F238E27FC236}">
              <a16:creationId xmlns:a16="http://schemas.microsoft.com/office/drawing/2014/main" id="{1422ABA9-85AB-4085-89BB-9065EA01C49E}"/>
            </a:ext>
          </a:extLst>
        </xdr:cNvPr>
        <xdr:cNvPicPr>
          <a:picLocks noChangeAspect="1"/>
        </xdr:cNvPicPr>
      </xdr:nvPicPr>
      <xdr:blipFill>
        <a:blip xmlns:r="http://schemas.openxmlformats.org/officeDocument/2006/relationships" r:embed="rId32"/>
        <a:stretch>
          <a:fillRect/>
        </a:stretch>
      </xdr:blipFill>
      <xdr:spPr>
        <a:xfrm>
          <a:off x="8971642" y="82704216"/>
          <a:ext cx="6086929" cy="3274785"/>
        </a:xfrm>
        <a:prstGeom prst="rect">
          <a:avLst/>
        </a:prstGeom>
      </xdr:spPr>
    </xdr:pic>
    <xdr:clientData/>
  </xdr:twoCellAnchor>
  <xdr:twoCellAnchor editAs="oneCell">
    <xdr:from>
      <xdr:col>2</xdr:col>
      <xdr:colOff>1142764</xdr:colOff>
      <xdr:row>388</xdr:row>
      <xdr:rowOff>96473</xdr:rowOff>
    </xdr:from>
    <xdr:to>
      <xdr:col>2</xdr:col>
      <xdr:colOff>4190999</xdr:colOff>
      <xdr:row>407</xdr:row>
      <xdr:rowOff>206829</xdr:rowOff>
    </xdr:to>
    <xdr:pic>
      <xdr:nvPicPr>
        <xdr:cNvPr id="33" name="Picture 32">
          <a:extLst>
            <a:ext uri="{FF2B5EF4-FFF2-40B4-BE49-F238E27FC236}">
              <a16:creationId xmlns:a16="http://schemas.microsoft.com/office/drawing/2014/main" id="{AA7D143E-218B-6721-4D2B-FB56E9889A75}"/>
            </a:ext>
          </a:extLst>
        </xdr:cNvPr>
        <xdr:cNvPicPr>
          <a:picLocks noChangeAspect="1"/>
        </xdr:cNvPicPr>
      </xdr:nvPicPr>
      <xdr:blipFill rotWithShape="1">
        <a:blip xmlns:r="http://schemas.openxmlformats.org/officeDocument/2006/relationships" r:embed="rId33">
          <a:extLst>
            <a:ext uri="{28A0092B-C50C-407E-A947-70E740481C1C}">
              <a14:useLocalDpi xmlns:a14="http://schemas.microsoft.com/office/drawing/2010/main" val="0"/>
            </a:ext>
          </a:extLst>
        </a:blip>
        <a:srcRect t="47261" r="166"/>
        <a:stretch/>
      </xdr:blipFill>
      <xdr:spPr>
        <a:xfrm rot="5400000">
          <a:off x="3400918" y="98629148"/>
          <a:ext cx="4323127" cy="3048235"/>
        </a:xfrm>
        <a:prstGeom prst="rect">
          <a:avLst/>
        </a:prstGeom>
      </xdr:spPr>
    </xdr:pic>
    <xdr:clientData/>
  </xdr:twoCellAnchor>
  <xdr:twoCellAnchor editAs="oneCell">
    <xdr:from>
      <xdr:col>4</xdr:col>
      <xdr:colOff>1835147</xdr:colOff>
      <xdr:row>388</xdr:row>
      <xdr:rowOff>32662</xdr:rowOff>
    </xdr:from>
    <xdr:to>
      <xdr:col>4</xdr:col>
      <xdr:colOff>4644824</xdr:colOff>
      <xdr:row>407</xdr:row>
      <xdr:rowOff>149221</xdr:rowOff>
    </xdr:to>
    <xdr:pic>
      <xdr:nvPicPr>
        <xdr:cNvPr id="34" name="Picture 33">
          <a:extLst>
            <a:ext uri="{FF2B5EF4-FFF2-40B4-BE49-F238E27FC236}">
              <a16:creationId xmlns:a16="http://schemas.microsoft.com/office/drawing/2014/main" id="{BDAE96ED-663D-4023-AC6D-E4B2893F455B}"/>
            </a:ext>
          </a:extLst>
        </xdr:cNvPr>
        <xdr:cNvPicPr>
          <a:picLocks noChangeAspect="1"/>
        </xdr:cNvPicPr>
      </xdr:nvPicPr>
      <xdr:blipFill rotWithShape="1">
        <a:blip xmlns:r="http://schemas.openxmlformats.org/officeDocument/2006/relationships" r:embed="rId33">
          <a:extLst>
            <a:ext uri="{28A0092B-C50C-407E-A947-70E740481C1C}">
              <a14:useLocalDpi xmlns:a14="http://schemas.microsoft.com/office/drawing/2010/main" val="0"/>
            </a:ext>
          </a:extLst>
        </a:blip>
        <a:srcRect r="22" b="51388"/>
        <a:stretch/>
      </xdr:blipFill>
      <xdr:spPr>
        <a:xfrm rot="5400000">
          <a:off x="9838321" y="99134031"/>
          <a:ext cx="4329330" cy="2809677"/>
        </a:xfrm>
        <a:prstGeom prst="rect">
          <a:avLst/>
        </a:prstGeom>
      </xdr:spPr>
    </xdr:pic>
    <xdr:clientData/>
  </xdr:twoCellAnchor>
  <xdr:twoCellAnchor editAs="oneCell">
    <xdr:from>
      <xdr:col>4</xdr:col>
      <xdr:colOff>1709057</xdr:colOff>
      <xdr:row>414</xdr:row>
      <xdr:rowOff>87085</xdr:rowOff>
    </xdr:from>
    <xdr:to>
      <xdr:col>4</xdr:col>
      <xdr:colOff>5289433</xdr:colOff>
      <xdr:row>436</xdr:row>
      <xdr:rowOff>0</xdr:rowOff>
    </xdr:to>
    <xdr:pic>
      <xdr:nvPicPr>
        <xdr:cNvPr id="37" name="Picture 36">
          <a:extLst>
            <a:ext uri="{FF2B5EF4-FFF2-40B4-BE49-F238E27FC236}">
              <a16:creationId xmlns:a16="http://schemas.microsoft.com/office/drawing/2014/main" id="{56C0446C-A762-52B0-8938-11C47376DA8B}"/>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472057" y="104720571"/>
          <a:ext cx="3580376" cy="4778829"/>
        </a:xfrm>
        <a:prstGeom prst="rect">
          <a:avLst/>
        </a:prstGeom>
      </xdr:spPr>
    </xdr:pic>
    <xdr:clientData/>
  </xdr:twoCellAnchor>
  <xdr:twoCellAnchor editAs="oneCell">
    <xdr:from>
      <xdr:col>2</xdr:col>
      <xdr:colOff>977315</xdr:colOff>
      <xdr:row>414</xdr:row>
      <xdr:rowOff>8484</xdr:rowOff>
    </xdr:from>
    <xdr:to>
      <xdr:col>2</xdr:col>
      <xdr:colOff>4626428</xdr:colOff>
      <xdr:row>436</xdr:row>
      <xdr:rowOff>8054</xdr:rowOff>
    </xdr:to>
    <xdr:pic>
      <xdr:nvPicPr>
        <xdr:cNvPr id="39" name="Picture 38">
          <a:extLst>
            <a:ext uri="{FF2B5EF4-FFF2-40B4-BE49-F238E27FC236}">
              <a16:creationId xmlns:a16="http://schemas.microsoft.com/office/drawing/2014/main" id="{830FF3D1-89D9-E28A-865D-A39E0E10B45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3872915" y="104641970"/>
          <a:ext cx="3649113" cy="4865484"/>
        </a:xfrm>
        <a:prstGeom prst="rect">
          <a:avLst/>
        </a:prstGeom>
      </xdr:spPr>
    </xdr:pic>
    <xdr:clientData/>
  </xdr:twoCellAnchor>
  <xdr:twoCellAnchor editAs="oneCell">
    <xdr:from>
      <xdr:col>2</xdr:col>
      <xdr:colOff>576944</xdr:colOff>
      <xdr:row>442</xdr:row>
      <xdr:rowOff>130628</xdr:rowOff>
    </xdr:from>
    <xdr:to>
      <xdr:col>4</xdr:col>
      <xdr:colOff>5159832</xdr:colOff>
      <xdr:row>469</xdr:row>
      <xdr:rowOff>5443</xdr:rowOff>
    </xdr:to>
    <xdr:pic>
      <xdr:nvPicPr>
        <xdr:cNvPr id="35" name="Picture 34">
          <a:extLst>
            <a:ext uri="{FF2B5EF4-FFF2-40B4-BE49-F238E27FC236}">
              <a16:creationId xmlns:a16="http://schemas.microsoft.com/office/drawing/2014/main" id="{14AB2F60-FB4D-DFFF-B025-90F69E81E396}"/>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rot="16200000">
          <a:off x="5783037" y="108876192"/>
          <a:ext cx="5829301" cy="104502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929640</xdr:colOff>
      <xdr:row>15</xdr:row>
      <xdr:rowOff>30480</xdr:rowOff>
    </xdr:from>
    <xdr:to>
      <xdr:col>7</xdr:col>
      <xdr:colOff>556260</xdr:colOff>
      <xdr:row>30</xdr:row>
      <xdr:rowOff>85725</xdr:rowOff>
    </xdr:to>
    <xdr:graphicFrame macro="">
      <xdr:nvGraphicFramePr>
        <xdr:cNvPr id="2" name="Chart 1">
          <a:extLst>
            <a:ext uri="{FF2B5EF4-FFF2-40B4-BE49-F238E27FC236}">
              <a16:creationId xmlns:a16="http://schemas.microsoft.com/office/drawing/2014/main" id="{2A8A453D-55E4-44D6-9F19-489FC063B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541020</xdr:colOff>
      <xdr:row>47</xdr:row>
      <xdr:rowOff>9525</xdr:rowOff>
    </xdr:from>
    <xdr:to>
      <xdr:col>7</xdr:col>
      <xdr:colOff>158115</xdr:colOff>
      <xdr:row>62</xdr:row>
      <xdr:rowOff>68580</xdr:rowOff>
    </xdr:to>
    <xdr:graphicFrame macro="">
      <xdr:nvGraphicFramePr>
        <xdr:cNvPr id="3" name="Chart 2">
          <a:extLst>
            <a:ext uri="{FF2B5EF4-FFF2-40B4-BE49-F238E27FC236}">
              <a16:creationId xmlns:a16="http://schemas.microsoft.com/office/drawing/2014/main" id="{3A777204-A1FE-46F1-B063-D8413768A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168088</xdr:rowOff>
    </xdr:from>
    <xdr:to>
      <xdr:col>26</xdr:col>
      <xdr:colOff>246530</xdr:colOff>
      <xdr:row>48</xdr:row>
      <xdr:rowOff>44824</xdr:rowOff>
    </xdr:to>
    <xdr:sp macro="" textlink="">
      <xdr:nvSpPr>
        <xdr:cNvPr id="4" name="Rectangle: Rounded Corners 3">
          <a:extLst>
            <a:ext uri="{FF2B5EF4-FFF2-40B4-BE49-F238E27FC236}">
              <a16:creationId xmlns:a16="http://schemas.microsoft.com/office/drawing/2014/main" id="{7CCD9D4C-C5DA-241A-EB5F-DC398EDE500B}"/>
            </a:ext>
          </a:extLst>
        </xdr:cNvPr>
        <xdr:cNvSpPr/>
      </xdr:nvSpPr>
      <xdr:spPr>
        <a:xfrm>
          <a:off x="0" y="560294"/>
          <a:ext cx="17559618" cy="84268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000"/>
            <a:t>CHƯA</a:t>
          </a:r>
          <a:r>
            <a:rPr lang="en-US" sz="5000" baseline="0"/>
            <a:t> CẬP NHẬT</a:t>
          </a:r>
          <a:endParaRPr lang="en-US" sz="50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0.07986</cdr:x>
      <cdr:y>0.12153</cdr:y>
    </cdr:from>
    <cdr:to>
      <cdr:x>0.31875</cdr:x>
      <cdr:y>0.22222</cdr:y>
    </cdr:to>
    <cdr:sp macro="" textlink="">
      <cdr:nvSpPr>
        <cdr:cNvPr id="2" name="TextBox 1">
          <a:extLst xmlns:a="http://schemas.openxmlformats.org/drawingml/2006/main">
            <a:ext uri="{FF2B5EF4-FFF2-40B4-BE49-F238E27FC236}">
              <a16:creationId xmlns:a16="http://schemas.microsoft.com/office/drawing/2014/main" id="{ACA9104E-06A2-28CA-CDE7-70413988F141}"/>
            </a:ext>
          </a:extLst>
        </cdr:cNvPr>
        <cdr:cNvSpPr txBox="1"/>
      </cdr:nvSpPr>
      <cdr:spPr>
        <a:xfrm xmlns:a="http://schemas.openxmlformats.org/drawingml/2006/main">
          <a:off x="365125" y="333375"/>
          <a:ext cx="1092200"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i="1" u="sng">
              <a:solidFill>
                <a:schemeClr val="accent4">
                  <a:lumMod val="50000"/>
                </a:schemeClr>
              </a:solidFill>
              <a:latin typeface="Aptos Display" panose="020B0004020202020204" pitchFamily="34" charset="0"/>
            </a:rPr>
            <a:t>ĐVT:</a:t>
          </a:r>
          <a:r>
            <a:rPr lang="en-US" sz="900" i="1" u="sng" baseline="0">
              <a:solidFill>
                <a:schemeClr val="accent4">
                  <a:lumMod val="50000"/>
                </a:schemeClr>
              </a:solidFill>
              <a:latin typeface="Aptos Display" panose="020B0004020202020204" pitchFamily="34" charset="0"/>
            </a:rPr>
            <a:t> </a:t>
          </a:r>
          <a:r>
            <a:rPr lang="en-US" sz="900" i="1" u="sng">
              <a:solidFill>
                <a:schemeClr val="accent4">
                  <a:lumMod val="50000"/>
                </a:schemeClr>
              </a:solidFill>
              <a:latin typeface="Aptos Display" panose="020B0004020202020204" pitchFamily="34" charset="0"/>
            </a:rPr>
            <a:t>USD/</a:t>
          </a:r>
          <a:r>
            <a:rPr lang="en-US" sz="900" i="1" u="sng" baseline="0">
              <a:solidFill>
                <a:schemeClr val="accent4">
                  <a:lumMod val="50000"/>
                </a:schemeClr>
              </a:solidFill>
              <a:latin typeface="Aptos Display" panose="020B0004020202020204" pitchFamily="34" charset="0"/>
            </a:rPr>
            <a:t> tấn</a:t>
          </a:r>
          <a:endParaRPr lang="en-US" sz="900" i="1" u="sng">
            <a:solidFill>
              <a:schemeClr val="accent4">
                <a:lumMod val="50000"/>
              </a:schemeClr>
            </a:solidFill>
            <a:latin typeface="Aptos Display" panose="020B00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0.07986</cdr:x>
      <cdr:y>0.12153</cdr:y>
    </cdr:from>
    <cdr:to>
      <cdr:x>0.31875</cdr:x>
      <cdr:y>0.22222</cdr:y>
    </cdr:to>
    <cdr:sp macro="" textlink="">
      <cdr:nvSpPr>
        <cdr:cNvPr id="2" name="TextBox 1">
          <a:extLst xmlns:a="http://schemas.openxmlformats.org/drawingml/2006/main">
            <a:ext uri="{FF2B5EF4-FFF2-40B4-BE49-F238E27FC236}">
              <a16:creationId xmlns:a16="http://schemas.microsoft.com/office/drawing/2014/main" id="{ACA9104E-06A2-28CA-CDE7-70413988F141}"/>
            </a:ext>
          </a:extLst>
        </cdr:cNvPr>
        <cdr:cNvSpPr txBox="1"/>
      </cdr:nvSpPr>
      <cdr:spPr>
        <a:xfrm xmlns:a="http://schemas.openxmlformats.org/drawingml/2006/main">
          <a:off x="365125" y="333375"/>
          <a:ext cx="1092200"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i="1" u="sng">
              <a:solidFill>
                <a:srgbClr val="119303"/>
              </a:solidFill>
              <a:latin typeface="Aptos Display" panose="020B0004020202020204" pitchFamily="34" charset="0"/>
            </a:rPr>
            <a:t>ĐVT:</a:t>
          </a:r>
          <a:r>
            <a:rPr lang="en-US" sz="900" i="1" u="sng" baseline="0">
              <a:solidFill>
                <a:srgbClr val="119303"/>
              </a:solidFill>
              <a:latin typeface="Aptos Display" panose="020B0004020202020204" pitchFamily="34" charset="0"/>
            </a:rPr>
            <a:t> </a:t>
          </a:r>
          <a:r>
            <a:rPr lang="en-US" sz="900" i="1" u="sng">
              <a:solidFill>
                <a:srgbClr val="119303"/>
              </a:solidFill>
              <a:latin typeface="Aptos Display" panose="020B0004020202020204" pitchFamily="34" charset="0"/>
            </a:rPr>
            <a:t>USD/</a:t>
          </a:r>
          <a:r>
            <a:rPr lang="en-US" sz="900" i="1" u="sng" baseline="0">
              <a:solidFill>
                <a:srgbClr val="119303"/>
              </a:solidFill>
              <a:latin typeface="Aptos Display" panose="020B0004020202020204" pitchFamily="34" charset="0"/>
            </a:rPr>
            <a:t> tấn</a:t>
          </a:r>
          <a:endParaRPr lang="en-US" sz="900" i="1" u="sng">
            <a:solidFill>
              <a:srgbClr val="119303"/>
            </a:solidFill>
            <a:latin typeface="Aptos Display" panose="020B0004020202020204" pitchFamily="34" charset="0"/>
          </a:endParaRPr>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4</xdr:col>
      <xdr:colOff>417907</xdr:colOff>
      <xdr:row>2</xdr:row>
      <xdr:rowOff>77080</xdr:rowOff>
    </xdr:from>
    <xdr:to>
      <xdr:col>11</xdr:col>
      <xdr:colOff>538725</xdr:colOff>
      <xdr:row>15</xdr:row>
      <xdr:rowOff>77532</xdr:rowOff>
    </xdr:to>
    <xdr:pic>
      <xdr:nvPicPr>
        <xdr:cNvPr id="2" name="Picture 1">
          <a:extLst>
            <a:ext uri="{FF2B5EF4-FFF2-40B4-BE49-F238E27FC236}">
              <a16:creationId xmlns:a16="http://schemas.microsoft.com/office/drawing/2014/main" id="{E27D1881-4A61-5161-5B86-221B4E51A969}"/>
            </a:ext>
          </a:extLst>
        </xdr:cNvPr>
        <xdr:cNvPicPr>
          <a:picLocks noChangeAspect="1"/>
        </xdr:cNvPicPr>
      </xdr:nvPicPr>
      <xdr:blipFill>
        <a:blip xmlns:r="http://schemas.openxmlformats.org/officeDocument/2006/relationships" r:embed="rId1"/>
        <a:stretch>
          <a:fillRect/>
        </a:stretch>
      </xdr:blipFill>
      <xdr:spPr>
        <a:xfrm>
          <a:off x="7603567" y="442840"/>
          <a:ext cx="4334678" cy="3513272"/>
        </a:xfrm>
        <a:prstGeom prst="rect">
          <a:avLst/>
        </a:prstGeom>
      </xdr:spPr>
    </xdr:pic>
    <xdr:clientData/>
  </xdr:twoCellAnchor>
  <xdr:twoCellAnchor editAs="oneCell">
    <xdr:from>
      <xdr:col>4</xdr:col>
      <xdr:colOff>249115</xdr:colOff>
      <xdr:row>18</xdr:row>
      <xdr:rowOff>71803</xdr:rowOff>
    </xdr:from>
    <xdr:to>
      <xdr:col>11</xdr:col>
      <xdr:colOff>508808</xdr:colOff>
      <xdr:row>36</xdr:row>
      <xdr:rowOff>176467</xdr:rowOff>
    </xdr:to>
    <xdr:pic>
      <xdr:nvPicPr>
        <xdr:cNvPr id="4" name="Picture 3">
          <a:extLst>
            <a:ext uri="{FF2B5EF4-FFF2-40B4-BE49-F238E27FC236}">
              <a16:creationId xmlns:a16="http://schemas.microsoft.com/office/drawing/2014/main" id="{50AA492A-B943-66F2-16E7-9E95E46989FA}"/>
            </a:ext>
          </a:extLst>
        </xdr:cNvPr>
        <xdr:cNvPicPr>
          <a:picLocks noChangeAspect="1"/>
        </xdr:cNvPicPr>
      </xdr:nvPicPr>
      <xdr:blipFill>
        <a:blip xmlns:r="http://schemas.openxmlformats.org/officeDocument/2006/relationships" r:embed="rId2"/>
        <a:stretch>
          <a:fillRect/>
        </a:stretch>
      </xdr:blipFill>
      <xdr:spPr>
        <a:xfrm>
          <a:off x="7447084" y="4479680"/>
          <a:ext cx="4526893" cy="3762264"/>
        </a:xfrm>
        <a:prstGeom prst="rect">
          <a:avLst/>
        </a:prstGeom>
      </xdr:spPr>
    </xdr:pic>
    <xdr:clientData/>
  </xdr:twoCellAnchor>
  <xdr:twoCellAnchor>
    <xdr:from>
      <xdr:col>0</xdr:col>
      <xdr:colOff>0</xdr:colOff>
      <xdr:row>0</xdr:row>
      <xdr:rowOff>0</xdr:rowOff>
    </xdr:from>
    <xdr:to>
      <xdr:col>22</xdr:col>
      <xdr:colOff>300318</xdr:colOff>
      <xdr:row>36</xdr:row>
      <xdr:rowOff>111499</xdr:rowOff>
    </xdr:to>
    <xdr:sp macro="" textlink="">
      <xdr:nvSpPr>
        <xdr:cNvPr id="3" name="Rectangle: Rounded Corners 2">
          <a:extLst>
            <a:ext uri="{FF2B5EF4-FFF2-40B4-BE49-F238E27FC236}">
              <a16:creationId xmlns:a16="http://schemas.microsoft.com/office/drawing/2014/main" id="{F160DA51-1A2A-4301-A7C4-C9E111840FDC}"/>
            </a:ext>
          </a:extLst>
        </xdr:cNvPr>
        <xdr:cNvSpPr/>
      </xdr:nvSpPr>
      <xdr:spPr>
        <a:xfrm>
          <a:off x="0" y="0"/>
          <a:ext cx="17559618" cy="84268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000"/>
            <a:t>CHƯA</a:t>
          </a:r>
          <a:r>
            <a:rPr lang="en-US" sz="5000" baseline="0"/>
            <a:t> CẬP NHẬT</a:t>
          </a:r>
          <a:endParaRPr lang="en-US" sz="50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190500</xdr:colOff>
      <xdr:row>1</xdr:row>
      <xdr:rowOff>67237</xdr:rowOff>
    </xdr:from>
    <xdr:to>
      <xdr:col>12</xdr:col>
      <xdr:colOff>493059</xdr:colOff>
      <xdr:row>40</xdr:row>
      <xdr:rowOff>46729</xdr:rowOff>
    </xdr:to>
    <xdr:graphicFrame macro="">
      <xdr:nvGraphicFramePr>
        <xdr:cNvPr id="8" name="Chart 1">
          <a:extLst>
            <a:ext uri="{FF2B5EF4-FFF2-40B4-BE49-F238E27FC236}">
              <a16:creationId xmlns:a16="http://schemas.microsoft.com/office/drawing/2014/main" id="{3F8F2392-A6A8-4B93-8FB9-EF96C3436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1617379</xdr:colOff>
      <xdr:row>65</xdr:row>
      <xdr:rowOff>14846</xdr:rowOff>
    </xdr:from>
    <xdr:to>
      <xdr:col>8</xdr:col>
      <xdr:colOff>11828</xdr:colOff>
      <xdr:row>85</xdr:row>
      <xdr:rowOff>121222</xdr:rowOff>
    </xdr:to>
    <xdr:sp macro="" textlink="">
      <xdr:nvSpPr>
        <xdr:cNvPr id="25" name="Rectangle 2">
          <a:extLst>
            <a:ext uri="{FF2B5EF4-FFF2-40B4-BE49-F238E27FC236}">
              <a16:creationId xmlns:a16="http://schemas.microsoft.com/office/drawing/2014/main" id="{83ED7A6A-2C46-46EE-E315-70A0885B5C0C}"/>
            </a:ext>
          </a:extLst>
        </xdr:cNvPr>
        <xdr:cNvSpPr/>
      </xdr:nvSpPr>
      <xdr:spPr>
        <a:xfrm>
          <a:off x="6648820" y="12856787"/>
          <a:ext cx="5980832" cy="39163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CHỊ</a:t>
          </a:r>
          <a:r>
            <a:rPr lang="en-US" sz="1100" baseline="0"/>
            <a:t> DIỄM HỖ TRỢ</a:t>
          </a:r>
          <a:endParaRPr lang="en-US" sz="1100"/>
        </a:p>
      </xdr:txBody>
    </xdr:sp>
    <xdr:clientData/>
  </xdr:twoCellAnchor>
</xdr:wsDr>
</file>

<file path=xl/drawings/drawing9.xml><?xml version="1.0" encoding="utf-8"?>
<c:userShapes xmlns:c="http://schemas.openxmlformats.org/drawingml/2006/chart">
  <cdr:relSizeAnchor xmlns:cdr="http://schemas.openxmlformats.org/drawingml/2006/chartDrawing">
    <cdr:from>
      <cdr:x>0.07595</cdr:x>
      <cdr:y>0.55256</cdr:y>
    </cdr:from>
    <cdr:to>
      <cdr:x>0.43955</cdr:x>
      <cdr:y>0.78707</cdr:y>
    </cdr:to>
    <cdr:sp macro="" textlink="">
      <cdr:nvSpPr>
        <cdr:cNvPr id="2" name="Arrow: Left-Right 1">
          <a:extLst xmlns:a="http://schemas.openxmlformats.org/drawingml/2006/main">
            <a:ext uri="{FF2B5EF4-FFF2-40B4-BE49-F238E27FC236}">
              <a16:creationId xmlns:a16="http://schemas.microsoft.com/office/drawing/2014/main" id="{0DADA0CB-A4B6-D3A8-4432-FD71ACE10DDF}"/>
            </a:ext>
          </a:extLst>
        </cdr:cNvPr>
        <cdr:cNvSpPr/>
      </cdr:nvSpPr>
      <cdr:spPr>
        <a:xfrm xmlns:a="http://schemas.openxmlformats.org/drawingml/2006/main">
          <a:off x="1140456" y="4092860"/>
          <a:ext cx="5459809" cy="1737036"/>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FF0000"/>
              </a:solidFill>
              <a:latin typeface="Aptos Narrow" panose="020B0004020202020204" pitchFamily="34" charset="0"/>
            </a:rPr>
            <a:t>Tổng</a:t>
          </a:r>
          <a:r>
            <a:rPr lang="en-US" sz="2000" b="1" baseline="0">
              <a:solidFill>
                <a:srgbClr val="FF0000"/>
              </a:solidFill>
              <a:latin typeface="Aptos Narrow" panose="020B0004020202020204" pitchFamily="34" charset="0"/>
            </a:rPr>
            <a:t> biến phí tăng: </a:t>
          </a:r>
          <a:r>
            <a:rPr lang="en-US" sz="2300" b="1" baseline="0">
              <a:solidFill>
                <a:srgbClr val="FF0000"/>
              </a:solidFill>
              <a:latin typeface="Aptos Narrow" panose="020B0004020202020204" pitchFamily="34" charset="0"/>
            </a:rPr>
            <a:t>2.01 </a:t>
          </a:r>
          <a:r>
            <a:rPr lang="en-US" sz="2000" b="1" baseline="0">
              <a:solidFill>
                <a:srgbClr val="FF0000"/>
              </a:solidFill>
              <a:latin typeface="Aptos Narrow" panose="020B0004020202020204" pitchFamily="34" charset="0"/>
            </a:rPr>
            <a:t>triệu/tấn </a:t>
          </a:r>
          <a:r>
            <a:rPr lang="en-US" sz="2000" b="1" i="1" baseline="0">
              <a:solidFill>
                <a:srgbClr val="FF0000"/>
              </a:solidFill>
              <a:latin typeface="Aptos Narrow" panose="020B0004020202020204" pitchFamily="34" charset="0"/>
            </a:rPr>
            <a:t>(+10%)</a:t>
          </a:r>
        </a:p>
        <a:p xmlns:a="http://schemas.openxmlformats.org/drawingml/2006/main">
          <a:pPr algn="ctr"/>
          <a:r>
            <a:rPr lang="en-US" sz="1500" b="0" i="1" baseline="0">
              <a:solidFill>
                <a:srgbClr val="FF0000"/>
              </a:solidFill>
              <a:latin typeface="Aptos Narrow" panose="020B0004020202020204" pitchFamily="34" charset="0"/>
            </a:rPr>
            <a:t>(từ 20.12 triệu/tấn </a:t>
          </a:r>
          <a:r>
            <a:rPr lang="en-US" sz="1500" b="0" i="1" baseline="0">
              <a:solidFill>
                <a:srgbClr val="FF0000"/>
              </a:solidFill>
              <a:latin typeface="Aptos Narrow" panose="020B0004020202020204" pitchFamily="34" charset="0"/>
              <a:sym typeface="Wingdings 3" panose="05040102010807070707" pitchFamily="18" charset="2"/>
            </a:rPr>
            <a:t></a:t>
          </a:r>
          <a:r>
            <a:rPr lang="en-US" sz="1500" b="0" i="1" baseline="0">
              <a:solidFill>
                <a:srgbClr val="FF0000"/>
              </a:solidFill>
              <a:latin typeface="Aptos Narrow" panose="020B0004020202020204" pitchFamily="34" charset="0"/>
            </a:rPr>
            <a:t>  22.1 triệu/tấn)</a:t>
          </a:r>
          <a:endParaRPr lang="en-US" sz="1500" b="0" i="1">
            <a:solidFill>
              <a:srgbClr val="FF0000"/>
            </a:solidFill>
            <a:latin typeface="Aptos Narrow" panose="020B0004020202020204" pitchFamily="34" charset="0"/>
          </a:endParaRPr>
        </a:p>
      </cdr:txBody>
    </cdr:sp>
  </cdr:relSizeAnchor>
  <cdr:relSizeAnchor xmlns:cdr="http://schemas.openxmlformats.org/drawingml/2006/chartDrawing">
    <cdr:from>
      <cdr:x>0.51567</cdr:x>
      <cdr:y>0.53553</cdr:y>
    </cdr:from>
    <cdr:to>
      <cdr:x>0.92985</cdr:x>
      <cdr:y>0.7943</cdr:y>
    </cdr:to>
    <cdr:sp macro="" textlink="">
      <cdr:nvSpPr>
        <cdr:cNvPr id="3" name="Arrow: Left-Right 2">
          <a:extLst xmlns:a="http://schemas.openxmlformats.org/drawingml/2006/main">
            <a:ext uri="{FF2B5EF4-FFF2-40B4-BE49-F238E27FC236}">
              <a16:creationId xmlns:a16="http://schemas.microsoft.com/office/drawing/2014/main" id="{0277A517-247E-0F75-A5E8-DCBED70AC6AD}"/>
            </a:ext>
          </a:extLst>
        </cdr:cNvPr>
        <cdr:cNvSpPr/>
      </cdr:nvSpPr>
      <cdr:spPr>
        <a:xfrm xmlns:a="http://schemas.openxmlformats.org/drawingml/2006/main">
          <a:off x="7743231" y="3966727"/>
          <a:ext cx="6219298" cy="1916732"/>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00B050"/>
              </a:solidFill>
              <a:latin typeface="Aptos Narrow" panose="020B0004020202020204" pitchFamily="34" charset="0"/>
            </a:rPr>
            <a:t>Tổng</a:t>
          </a:r>
          <a:r>
            <a:rPr lang="en-US" sz="2000" b="1" baseline="0">
              <a:solidFill>
                <a:srgbClr val="00B050"/>
              </a:solidFill>
              <a:latin typeface="Aptos Narrow" panose="020B0004020202020204" pitchFamily="34" charset="0"/>
            </a:rPr>
            <a:t> định phí giảm: 1.25</a:t>
          </a:r>
          <a:r>
            <a:rPr lang="en-US" sz="2300" b="1" baseline="0">
              <a:solidFill>
                <a:srgbClr val="00B050"/>
              </a:solidFill>
              <a:latin typeface="Aptos Narrow" panose="020B0004020202020204" pitchFamily="34" charset="0"/>
            </a:rPr>
            <a:t> </a:t>
          </a:r>
          <a:r>
            <a:rPr lang="en-US" sz="2000" b="1" baseline="0">
              <a:solidFill>
                <a:srgbClr val="00B050"/>
              </a:solidFill>
              <a:latin typeface="Aptos Narrow" panose="020B0004020202020204" pitchFamily="34" charset="0"/>
            </a:rPr>
            <a:t>triệu/tấn</a:t>
          </a:r>
        </a:p>
        <a:p xmlns:a="http://schemas.openxmlformats.org/drawingml/2006/main">
          <a:pPr algn="ctr"/>
          <a:r>
            <a:rPr lang="en-US" sz="1500" b="0" i="1" baseline="0">
              <a:solidFill>
                <a:srgbClr val="00B050"/>
              </a:solidFill>
              <a:latin typeface="Aptos Narrow" panose="020B0004020202020204" pitchFamily="34" charset="0"/>
            </a:rPr>
            <a:t>(Tổng định phí: thực tế là 32.4 tỷ, KH là 36.9 tỷ)</a:t>
          </a:r>
        </a:p>
      </cdr:txBody>
    </cdr:sp>
  </cdr:relSizeAnchor>
  <cdr:relSizeAnchor xmlns:cdr="http://schemas.openxmlformats.org/drawingml/2006/chartDrawing">
    <cdr:from>
      <cdr:x>0.00477</cdr:x>
      <cdr:y>0.06934</cdr:y>
    </cdr:from>
    <cdr:to>
      <cdr:x>0.08373</cdr:x>
      <cdr:y>0.1259</cdr:y>
    </cdr:to>
    <cdr:sp macro="" textlink="">
      <cdr:nvSpPr>
        <cdr:cNvPr id="4" name="TextBox 3">
          <a:extLst xmlns:a="http://schemas.openxmlformats.org/drawingml/2006/main">
            <a:ext uri="{FF2B5EF4-FFF2-40B4-BE49-F238E27FC236}">
              <a16:creationId xmlns:a16="http://schemas.microsoft.com/office/drawing/2014/main" id="{1DB20900-54D0-6E7C-901E-A130D498FDE5}"/>
            </a:ext>
          </a:extLst>
        </cdr:cNvPr>
        <cdr:cNvSpPr txBox="1"/>
      </cdr:nvSpPr>
      <cdr:spPr>
        <a:xfrm xmlns:a="http://schemas.openxmlformats.org/drawingml/2006/main">
          <a:off x="75166" y="502441"/>
          <a:ext cx="1245206" cy="4098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300" i="1"/>
            <a:t>Đvt:</a:t>
          </a:r>
          <a:r>
            <a:rPr lang="en-US" sz="1300" i="1" baseline="0"/>
            <a:t> triệu đồng/tấn</a:t>
          </a:r>
          <a:endParaRPr lang="en-US" sz="1300" i="1"/>
        </a:p>
      </cdr:txBody>
    </cdr:sp>
  </cdr:relSizeAnchor>
  <cdr:relSizeAnchor xmlns:cdr="http://schemas.openxmlformats.org/drawingml/2006/chartDrawing">
    <cdr:from>
      <cdr:x>0.90373</cdr:x>
      <cdr:y>0.11244</cdr:y>
    </cdr:from>
    <cdr:to>
      <cdr:x>0.99552</cdr:x>
      <cdr:y>0.18986</cdr:y>
    </cdr:to>
    <cdr:sp macro="" textlink="">
      <cdr:nvSpPr>
        <cdr:cNvPr id="5" name="TextBox 4">
          <a:extLst xmlns:a="http://schemas.openxmlformats.org/drawingml/2006/main">
            <a:ext uri="{FF2B5EF4-FFF2-40B4-BE49-F238E27FC236}">
              <a16:creationId xmlns:a16="http://schemas.microsoft.com/office/drawing/2014/main" id="{FC3DE202-66B9-BD32-3556-4B254E7B4240}"/>
            </a:ext>
          </a:extLst>
        </cdr:cNvPr>
        <cdr:cNvSpPr txBox="1"/>
      </cdr:nvSpPr>
      <cdr:spPr>
        <a:xfrm xmlns:a="http://schemas.openxmlformats.org/drawingml/2006/main">
          <a:off x="13570324" y="832873"/>
          <a:ext cx="1378323" cy="57345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500" b="1" baseline="0">
              <a:solidFill>
                <a:srgbClr val="FF0000"/>
              </a:solidFill>
              <a:latin typeface="Aptos Narrow" panose="020B0004020202020204" pitchFamily="34" charset="0"/>
            </a:rPr>
            <a:t>+2.13 </a:t>
          </a:r>
          <a:r>
            <a:rPr lang="en-US" sz="1300" b="1" baseline="0">
              <a:solidFill>
                <a:srgbClr val="FF0000"/>
              </a:solidFill>
              <a:latin typeface="Aptos Narrow" panose="020B0004020202020204" pitchFamily="34" charset="0"/>
            </a:rPr>
            <a:t>triệu đồng/tấn</a:t>
          </a:r>
        </a:p>
        <a:p xmlns:a="http://schemas.openxmlformats.org/drawingml/2006/main">
          <a:pPr algn="ctr"/>
          <a:r>
            <a:rPr lang="en-US" sz="1300" b="0" i="1" baseline="0">
              <a:solidFill>
                <a:srgbClr val="FF0000"/>
              </a:solidFill>
              <a:latin typeface="Aptos Narrow" panose="020B0004020202020204" pitchFamily="34" charset="0"/>
            </a:rPr>
            <a:t>(+7.3%)</a:t>
          </a:r>
          <a:endParaRPr lang="en-US" sz="1300" b="0" i="1">
            <a:solidFill>
              <a:srgbClr val="FF0000"/>
            </a:solidFill>
            <a:latin typeface="Aptos Narrow" panose="020B0004020202020204" pitchFamily="34" charset="0"/>
          </a:endParaRPr>
        </a:p>
      </cdr:txBody>
    </cdr:sp>
  </cdr:relSizeAnchor>
  <cdr:relSizeAnchor xmlns:cdr="http://schemas.openxmlformats.org/drawingml/2006/chartDrawing">
    <cdr:from>
      <cdr:x>0.44859</cdr:x>
      <cdr:y>0.31353</cdr:y>
    </cdr:from>
    <cdr:to>
      <cdr:x>0.50776</cdr:x>
      <cdr:y>0.54939</cdr:y>
    </cdr:to>
    <cdr:sp macro="" textlink="">
      <cdr:nvSpPr>
        <cdr:cNvPr id="7" name="Rectangle: Rounded Corners 6">
          <a:extLst xmlns:a="http://schemas.openxmlformats.org/drawingml/2006/main">
            <a:ext uri="{FF2B5EF4-FFF2-40B4-BE49-F238E27FC236}">
              <a16:creationId xmlns:a16="http://schemas.microsoft.com/office/drawing/2014/main" id="{E5E50293-A90A-518B-5278-BB2FAC1DBF88}"/>
            </a:ext>
          </a:extLst>
        </cdr:cNvPr>
        <cdr:cNvSpPr/>
      </cdr:nvSpPr>
      <cdr:spPr>
        <a:xfrm xmlns:a="http://schemas.openxmlformats.org/drawingml/2006/main">
          <a:off x="6735964" y="2322344"/>
          <a:ext cx="888489" cy="1747036"/>
        </a:xfrm>
        <a:prstGeom xmlns:a="http://schemas.openxmlformats.org/drawingml/2006/main" prst="roundRect">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100" b="1" baseline="0">
              <a:solidFill>
                <a:srgbClr val="FF0000"/>
              </a:solidFill>
              <a:effectLst/>
              <a:latin typeface="+mn-lt"/>
              <a:ea typeface="+mn-ea"/>
              <a:cs typeface="+mn-cs"/>
            </a:rPr>
            <a:t>Tăng từ:</a:t>
          </a:r>
          <a:endParaRPr lang="en-US" b="1">
            <a:solidFill>
              <a:srgbClr val="FF0000"/>
            </a:solidFill>
            <a:effectLst/>
          </a:endParaRPr>
        </a:p>
        <a:p xmlns:a="http://schemas.openxmlformats.org/drawingml/2006/main">
          <a:pPr algn="ctr"/>
          <a:r>
            <a:rPr lang="en-US" sz="1300" b="1" baseline="0">
              <a:solidFill>
                <a:srgbClr val="FF0000"/>
              </a:solidFill>
              <a:effectLst/>
              <a:latin typeface="+mn-lt"/>
              <a:ea typeface="+mn-ea"/>
              <a:cs typeface="+mn-cs"/>
            </a:rPr>
            <a:t>4,145 </a:t>
          </a:r>
          <a:r>
            <a:rPr lang="en-US" sz="1100" baseline="0">
              <a:solidFill>
                <a:srgbClr val="FF0000"/>
              </a:solidFill>
              <a:effectLst/>
              <a:latin typeface="+mn-lt"/>
              <a:ea typeface="+mn-ea"/>
              <a:cs typeface="+mn-cs"/>
            </a:rPr>
            <a:t>tấn </a:t>
          </a:r>
          <a:r>
            <a:rPr lang="en-US" sz="1100" baseline="0">
              <a:solidFill>
                <a:srgbClr val="FF0000"/>
              </a:solidFill>
              <a:effectLst/>
              <a:latin typeface="Aptos Narrow" panose="020B0004020202020204" pitchFamily="34" charset="0"/>
              <a:ea typeface="+mn-ea"/>
              <a:cs typeface="+mn-cs"/>
            </a:rPr>
            <a:t>→</a:t>
          </a:r>
          <a:r>
            <a:rPr lang="en-US" sz="1100" baseline="0">
              <a:solidFill>
                <a:srgbClr val="FF0000"/>
              </a:solidFill>
              <a:effectLst/>
              <a:latin typeface="+mn-lt"/>
              <a:ea typeface="+mn-ea"/>
              <a:cs typeface="+mn-cs"/>
            </a:rPr>
            <a:t> </a:t>
          </a:r>
          <a:r>
            <a:rPr lang="en-US" sz="1500" b="1" baseline="0">
              <a:solidFill>
                <a:srgbClr val="FF0000"/>
              </a:solidFill>
              <a:effectLst/>
              <a:latin typeface="+mn-lt"/>
              <a:ea typeface="+mn-ea"/>
              <a:cs typeface="+mn-cs"/>
            </a:rPr>
            <a:t>3,593 </a:t>
          </a:r>
          <a:r>
            <a:rPr lang="en-US" sz="1100" baseline="0">
              <a:solidFill>
                <a:srgbClr val="FF0000"/>
              </a:solidFill>
              <a:effectLst/>
              <a:latin typeface="+mn-lt"/>
              <a:ea typeface="+mn-ea"/>
              <a:cs typeface="+mn-cs"/>
            </a:rPr>
            <a:t>tấn</a:t>
          </a:r>
          <a:endParaRPr lang="vi-VN" sz="1100" baseline="0">
            <a:solidFill>
              <a:srgbClr val="FF0000"/>
            </a:solidFill>
            <a:effectLst/>
            <a:latin typeface="+mn-lt"/>
            <a:ea typeface="+mn-ea"/>
            <a:cs typeface="+mn-cs"/>
          </a:endParaRPr>
        </a:p>
        <a:p xmlns:a="http://schemas.openxmlformats.org/drawingml/2006/main">
          <a:pPr algn="ctr"/>
          <a:endParaRPr lang="en-US">
            <a:solidFill>
              <a:srgbClr val="FF0000"/>
            </a:solidFill>
            <a:effectLst/>
          </a:endParaRPr>
        </a:p>
        <a:p xmlns:a="http://schemas.openxmlformats.org/drawingml/2006/main">
          <a:pPr algn="ctr"/>
          <a:r>
            <a:rPr lang="en-US" sz="1100" i="1" baseline="0">
              <a:solidFill>
                <a:srgbClr val="FF0000"/>
              </a:solidFill>
              <a:effectLst/>
              <a:latin typeface="+mn-lt"/>
              <a:ea typeface="+mn-ea"/>
              <a:cs typeface="+mn-cs"/>
            </a:rPr>
            <a:t>(-552  tấn ~ </a:t>
          </a:r>
        </a:p>
        <a:p xmlns:a="http://schemas.openxmlformats.org/drawingml/2006/main">
          <a:pPr algn="ctr"/>
          <a:r>
            <a:rPr lang="en-US" sz="1100" i="1" baseline="0">
              <a:solidFill>
                <a:srgbClr val="FF0000"/>
              </a:solidFill>
              <a:effectLst/>
              <a:latin typeface="+mn-lt"/>
              <a:ea typeface="+mn-ea"/>
              <a:cs typeface="+mn-cs"/>
            </a:rPr>
            <a:t>-13.3 %)</a:t>
          </a:r>
          <a:endParaRPr lang="en-US" i="1">
            <a:solidFill>
              <a:srgbClr val="FF0000"/>
            </a:solidFill>
            <a:effectLst/>
          </a:endParaRPr>
        </a:p>
      </cdr:txBody>
    </cdr:sp>
  </cdr:relSizeAnchor>
  <cdr:relSizeAnchor xmlns:cdr="http://schemas.openxmlformats.org/drawingml/2006/chartDrawing">
    <cdr:from>
      <cdr:x>0.07445</cdr:x>
      <cdr:y>0.34485</cdr:y>
    </cdr:from>
    <cdr:to>
      <cdr:x>0.20776</cdr:x>
      <cdr:y>0.4735</cdr:y>
    </cdr:to>
    <cdr:sp macro="" textlink="">
      <cdr:nvSpPr>
        <cdr:cNvPr id="6" name="Rectangle: Rounded Corners 5">
          <a:extLst xmlns:a="http://schemas.openxmlformats.org/drawingml/2006/main">
            <a:ext uri="{FF2B5EF4-FFF2-40B4-BE49-F238E27FC236}">
              <a16:creationId xmlns:a16="http://schemas.microsoft.com/office/drawing/2014/main" id="{C717C0FE-0471-889A-5A70-21923E528028}"/>
            </a:ext>
          </a:extLst>
        </cdr:cNvPr>
        <cdr:cNvSpPr/>
      </cdr:nvSpPr>
      <cdr:spPr>
        <a:xfrm xmlns:a="http://schemas.openxmlformats.org/drawingml/2006/main">
          <a:off x="1144088" y="2451849"/>
          <a:ext cx="2048692" cy="914689"/>
        </a:xfrm>
        <a:prstGeom xmlns:a="http://schemas.openxmlformats.org/drawingml/2006/main" prst="roundRect">
          <a:avLst/>
        </a:prstGeom>
        <a:noFill xmlns:a="http://schemas.openxmlformats.org/drawingml/2006/main"/>
        <a:ln xmlns:a="http://schemas.openxmlformats.org/drawingml/2006/main">
          <a:solidFill>
            <a:schemeClr val="bg1">
              <a:lumMod val="75000"/>
            </a:schemeClr>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300" b="1" i="0">
              <a:solidFill>
                <a:srgbClr val="FF0000"/>
              </a:solidFill>
            </a:rPr>
            <a:t>Nguyên</a:t>
          </a:r>
          <a:r>
            <a:rPr lang="en-US" sz="1300" b="1" i="0" baseline="0">
              <a:solidFill>
                <a:srgbClr val="FF0000"/>
              </a:solidFill>
            </a:rPr>
            <a:t> liệu nhựa: tăng</a:t>
          </a:r>
          <a:r>
            <a:rPr lang="en-US" sz="1300" b="0" i="0" baseline="0">
              <a:solidFill>
                <a:srgbClr val="FF0000"/>
              </a:solidFill>
            </a:rPr>
            <a:t> </a:t>
          </a:r>
        </a:p>
        <a:p xmlns:a="http://schemas.openxmlformats.org/drawingml/2006/main">
          <a:pPr algn="ctr"/>
          <a:r>
            <a:rPr lang="en-US" sz="1300" b="0" i="0" baseline="0">
              <a:solidFill>
                <a:srgbClr val="FF0000"/>
              </a:solidFill>
            </a:rPr>
            <a:t>từ 17.82 </a:t>
          </a:r>
          <a:r>
            <a:rPr lang="en-US" sz="1300" b="0" i="0" baseline="0">
              <a:solidFill>
                <a:srgbClr val="FF0000"/>
              </a:solidFill>
              <a:latin typeface="Aptos Narrow" panose="020B0004020202020204" pitchFamily="34" charset="0"/>
            </a:rPr>
            <a:t>→</a:t>
          </a:r>
          <a:r>
            <a:rPr lang="en-US" sz="1300" b="0" i="0" baseline="0">
              <a:solidFill>
                <a:srgbClr val="FF0000"/>
              </a:solidFill>
            </a:rPr>
            <a:t> 18.76 triệu/tấn</a:t>
          </a:r>
        </a:p>
        <a:p xmlns:a="http://schemas.openxmlformats.org/drawingml/2006/main">
          <a:pPr algn="ctr"/>
          <a:r>
            <a:rPr lang="en-US" sz="1300" b="0" i="0" baseline="0">
              <a:solidFill>
                <a:srgbClr val="FF0000"/>
              </a:solidFill>
            </a:rPr>
            <a:t>(</a:t>
          </a:r>
          <a:r>
            <a:rPr lang="en-US" sz="1300" b="1" i="0" baseline="0">
              <a:solidFill>
                <a:srgbClr val="FF0000"/>
              </a:solidFill>
            </a:rPr>
            <a:t>+0.94 </a:t>
          </a:r>
          <a:r>
            <a:rPr lang="en-US" sz="1300" b="1" i="1" baseline="0">
              <a:solidFill>
                <a:srgbClr val="FF0000"/>
              </a:solidFill>
            </a:rPr>
            <a:t>triệu/tấn </a:t>
          </a:r>
          <a:r>
            <a:rPr lang="en-US" sz="1300" b="0" i="1" baseline="0">
              <a:solidFill>
                <a:srgbClr val="FF0000"/>
              </a:solidFill>
            </a:rPr>
            <a:t>~ </a:t>
          </a:r>
        </a:p>
        <a:p xmlns:a="http://schemas.openxmlformats.org/drawingml/2006/main">
          <a:pPr algn="ctr"/>
          <a:r>
            <a:rPr lang="en-US" sz="1300" b="0" i="1" baseline="0">
              <a:solidFill>
                <a:srgbClr val="FF0000"/>
              </a:solidFill>
            </a:rPr>
            <a:t>+5.3%) </a:t>
          </a:r>
          <a:endParaRPr lang="en-US" sz="1300" b="0" i="1">
            <a:solidFill>
              <a:srgbClr val="FF0000"/>
            </a:solidFill>
          </a:endParaRPr>
        </a:p>
      </cdr:txBody>
    </cdr:sp>
  </cdr:relSizeAnchor>
  <cdr:relSizeAnchor xmlns:cdr="http://schemas.openxmlformats.org/drawingml/2006/chartDrawing">
    <cdr:from>
      <cdr:x>0.51822</cdr:x>
      <cdr:y>0.35958</cdr:y>
    </cdr:from>
    <cdr:to>
      <cdr:x>0.9321</cdr:x>
      <cdr:y>0.46377</cdr:y>
    </cdr:to>
    <cdr:grpSp>
      <cdr:nvGrpSpPr>
        <cdr:cNvPr id="66" name="Group 65">
          <a:extLst xmlns:a="http://schemas.openxmlformats.org/drawingml/2006/main">
            <a:ext uri="{FF2B5EF4-FFF2-40B4-BE49-F238E27FC236}">
              <a16:creationId xmlns:a16="http://schemas.microsoft.com/office/drawing/2014/main" id="{20BD64DC-DBD5-9A8F-7388-8AB255DB3B92}"/>
            </a:ext>
          </a:extLst>
        </cdr:cNvPr>
        <cdr:cNvGrpSpPr/>
      </cdr:nvGrpSpPr>
      <cdr:grpSpPr>
        <a:xfrm xmlns:a="http://schemas.openxmlformats.org/drawingml/2006/main">
          <a:off x="9102787" y="2536911"/>
          <a:ext cx="7270004" cy="735082"/>
          <a:chOff x="7781484" y="2663430"/>
          <a:chExt cx="6214763" cy="771745"/>
        </a:xfrm>
      </cdr:grpSpPr>
      <cdr:grpSp>
        <cdr:nvGrpSpPr>
          <cdr:cNvPr id="9" name="Group 8">
            <a:extLst xmlns:a="http://schemas.openxmlformats.org/drawingml/2006/main">
              <a:ext uri="{FF2B5EF4-FFF2-40B4-BE49-F238E27FC236}">
                <a16:creationId xmlns:a16="http://schemas.microsoft.com/office/drawing/2014/main" id="{BCC4BBED-BD45-94DE-46ED-F34B97E7C8DD}"/>
              </a:ext>
            </a:extLst>
          </cdr:cNvPr>
          <cdr:cNvGrpSpPr/>
        </cdr:nvGrpSpPr>
        <cdr:grpSpPr>
          <a:xfrm xmlns:a="http://schemas.openxmlformats.org/drawingml/2006/main">
            <a:off x="7781484" y="2668024"/>
            <a:ext cx="687850" cy="762555"/>
            <a:chOff x="0" y="2"/>
            <a:chExt cx="722242" cy="756997"/>
          </a:xfrm>
        </cdr:grpSpPr>
        <cdr:grpSp>
          <cdr:nvGrpSpPr>
            <cdr:cNvPr id="58" name="Group 57">
              <a:extLst xmlns:a="http://schemas.openxmlformats.org/drawingml/2006/main">
                <a:ext uri="{FF2B5EF4-FFF2-40B4-BE49-F238E27FC236}">
                  <a16:creationId xmlns:a16="http://schemas.microsoft.com/office/drawing/2014/main" id="{F7CF560B-CA7A-C8A3-62DF-BEA755F35EA3}"/>
                </a:ext>
              </a:extLst>
            </cdr:cNvPr>
            <cdr:cNvGrpSpPr/>
          </cdr:nvGrpSpPr>
          <cdr:grpSpPr>
            <a:xfrm xmlns:a="http://schemas.openxmlformats.org/drawingml/2006/main">
              <a:off x="19489" y="46480"/>
              <a:ext cx="631183" cy="663551"/>
              <a:chOff x="19489" y="45828"/>
              <a:chExt cx="631184" cy="654239"/>
            </a:xfrm>
          </cdr:grpSpPr>
          <cdr:grpSp>
            <cdr:nvGrpSpPr>
              <cdr:cNvPr id="60" name="Group 59">
                <a:extLst xmlns:a="http://schemas.openxmlformats.org/drawingml/2006/main">
                  <a:ext uri="{FF2B5EF4-FFF2-40B4-BE49-F238E27FC236}">
                    <a16:creationId xmlns:a16="http://schemas.microsoft.com/office/drawing/2014/main" id="{E049CABC-61C5-84A9-8BDF-5E793418E1E2}"/>
                  </a:ext>
                </a:extLst>
              </cdr:cNvPr>
              <cdr:cNvGrpSpPr/>
            </cdr:nvGrpSpPr>
            <cdr:grpSpPr>
              <a:xfrm xmlns:a="http://schemas.openxmlformats.org/drawingml/2006/main">
                <a:off x="19489" y="45828"/>
                <a:ext cx="624851" cy="497789"/>
                <a:chOff x="19489" y="45828"/>
                <a:chExt cx="624851" cy="497790"/>
              </a:xfrm>
            </cdr:grpSpPr>
            <cdr:sp macro="" textlink="'Data-Vẽ-Tháng'!$E$29">
              <cdr:nvSpPr>
                <cdr:cNvPr id="62" name="TextBox 58">
                  <a:extLst xmlns:a="http://schemas.openxmlformats.org/drawingml/2006/main">
                    <a:ext uri="{FF2B5EF4-FFF2-40B4-BE49-F238E27FC236}">
                      <a16:creationId xmlns:a16="http://schemas.microsoft.com/office/drawing/2014/main" id="{7DD71C48-D0B2-EA97-5E3C-555AD1BF1F60}"/>
                    </a:ext>
                  </a:extLst>
                </cdr:cNvPr>
                <cdr:cNvSpPr txBox="1"/>
              </cdr:nvSpPr>
              <cdr:spPr>
                <a:xfrm xmlns:a="http://schemas.openxmlformats.org/drawingml/2006/main">
                  <a:off x="19489" y="45828"/>
                  <a:ext cx="624851" cy="30773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6D10379-1045-4770-88E0-99B06F102541}" type="TxLink">
                    <a:rPr lang="en-US" sz="1300" b="1" i="0" u="none" strike="noStrike">
                      <a:solidFill>
                        <a:schemeClr val="accent4">
                          <a:lumMod val="60000"/>
                          <a:lumOff val="40000"/>
                        </a:schemeClr>
                      </a:solidFill>
                      <a:latin typeface="Aptos Narrow"/>
                      <a:ea typeface="+mn-ea"/>
                      <a:cs typeface="+mn-cs"/>
                    </a:rPr>
                    <a:pPr marL="0" indent="0" algn="ctr"/>
                    <a:t> 9,337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29">
              <cdr:nvSpPr>
                <cdr:cNvPr id="63" name="TextBox 59">
                  <a:extLst xmlns:a="http://schemas.openxmlformats.org/drawingml/2006/main">
                    <a:ext uri="{FF2B5EF4-FFF2-40B4-BE49-F238E27FC236}">
                      <a16:creationId xmlns:a16="http://schemas.microsoft.com/office/drawing/2014/main" id="{F7C81509-46C2-CB61-2E90-E4898F6E36B3}"/>
                    </a:ext>
                  </a:extLst>
                </cdr:cNvPr>
                <cdr:cNvSpPr txBox="1"/>
              </cdr:nvSpPr>
              <cdr:spPr>
                <a:xfrm xmlns:a="http://schemas.openxmlformats.org/drawingml/2006/main">
                  <a:off x="66263" y="268435"/>
                  <a:ext cx="556972" cy="27518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A39B306-C24C-457A-BA8B-54EB15D2565C}" type="TxLink">
                    <a:rPr lang="en-US" sz="1100" b="0" i="0" u="none" strike="noStrike">
                      <a:solidFill>
                        <a:schemeClr val="bg1">
                          <a:lumMod val="50000"/>
                        </a:schemeClr>
                      </a:solidFill>
                      <a:latin typeface="Aptos Narrow"/>
                      <a:ea typeface="+mn-ea"/>
                      <a:cs typeface="+mn-cs"/>
                    </a:rPr>
                    <a:pPr marL="0" indent="0" algn="ctr"/>
                    <a:t> 5,820 </a:t>
                  </a:fld>
                  <a:endParaRPr lang="en-US" sz="1100" b="0" i="0" u="none" strike="noStrike">
                    <a:solidFill>
                      <a:schemeClr val="bg1">
                        <a:lumMod val="50000"/>
                      </a:schemeClr>
                    </a:solidFill>
                    <a:latin typeface="Aptos Narrow"/>
                    <a:ea typeface="+mn-ea"/>
                    <a:cs typeface="+mn-cs"/>
                  </a:endParaRPr>
                </a:p>
              </cdr:txBody>
            </cdr:sp>
            <cdr:cxnSp macro="">
              <cdr:nvCxnSpPr>
                <cdr:cNvPr id="64" name="Straight Connector 63">
                  <a:extLst xmlns:a="http://schemas.openxmlformats.org/drawingml/2006/main">
                    <a:ext uri="{FF2B5EF4-FFF2-40B4-BE49-F238E27FC236}">
                      <a16:creationId xmlns:a16="http://schemas.microsoft.com/office/drawing/2014/main" id="{31286EA3-9DA1-BC70-854B-B598B84637B6}"/>
                    </a:ext>
                  </a:extLst>
                </cdr:cNvPr>
                <cdr:cNvCxnSpPr/>
              </cdr:nvCxnSpPr>
              <cdr:spPr>
                <a:xfrm xmlns:a="http://schemas.openxmlformats.org/drawingml/2006/main">
                  <a:off x="66261" y="30117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61" name="TextBox 57">
                <a:extLst xmlns:a="http://schemas.openxmlformats.org/drawingml/2006/main">
                  <a:ext uri="{FF2B5EF4-FFF2-40B4-BE49-F238E27FC236}">
                    <a16:creationId xmlns:a16="http://schemas.microsoft.com/office/drawing/2014/main" id="{602F9D1B-A636-89F0-2CD6-9DEC01B722C3}"/>
                  </a:ext>
                </a:extLst>
              </cdr:cNvPr>
              <cdr:cNvSpPr txBox="1"/>
            </cdr:nvSpPr>
            <cdr:spPr>
              <a:xfrm xmlns:a="http://schemas.openxmlformats.org/drawingml/2006/main">
                <a:off x="72887" y="438659"/>
                <a:ext cx="577786" cy="2614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9" name="Rectangle: Rounded Corners 58">
              <a:extLst xmlns:a="http://schemas.openxmlformats.org/drawingml/2006/main">
                <a:ext uri="{FF2B5EF4-FFF2-40B4-BE49-F238E27FC236}">
                  <a16:creationId xmlns:a16="http://schemas.microsoft.com/office/drawing/2014/main" id="{5F6F3959-4692-960B-CD0A-7BE9F86D1291}"/>
                </a:ext>
              </a:extLst>
            </cdr:cNvPr>
            <cdr:cNvSpPr/>
          </cdr:nvSpPr>
          <cdr:spPr>
            <a:xfrm xmlns:a="http://schemas.openxmlformats.org/drawingml/2006/main">
              <a:off x="0" y="2"/>
              <a:ext cx="722242" cy="756997"/>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0" name="Group 9">
            <a:extLst xmlns:a="http://schemas.openxmlformats.org/drawingml/2006/main">
              <a:ext uri="{FF2B5EF4-FFF2-40B4-BE49-F238E27FC236}">
                <a16:creationId xmlns:a16="http://schemas.microsoft.com/office/drawing/2014/main" id="{E39BF362-5314-72D9-589A-7BB11AC72265}"/>
              </a:ext>
            </a:extLst>
          </cdr:cNvPr>
          <cdr:cNvGrpSpPr/>
        </cdr:nvGrpSpPr>
        <cdr:grpSpPr>
          <a:xfrm xmlns:a="http://schemas.openxmlformats.org/drawingml/2006/main">
            <a:off x="8674973" y="2663430"/>
            <a:ext cx="761034" cy="771745"/>
            <a:chOff x="917516" y="0"/>
            <a:chExt cx="799080" cy="766125"/>
          </a:xfrm>
        </cdr:grpSpPr>
        <cdr:grpSp>
          <cdr:nvGrpSpPr>
            <cdr:cNvPr id="51" name="Group 50">
              <a:extLst xmlns:a="http://schemas.openxmlformats.org/drawingml/2006/main">
                <a:ext uri="{FF2B5EF4-FFF2-40B4-BE49-F238E27FC236}">
                  <a16:creationId xmlns:a16="http://schemas.microsoft.com/office/drawing/2014/main" id="{64ED876A-AB52-45F9-7AC0-2B79AC4B5A32}"/>
                </a:ext>
              </a:extLst>
            </cdr:cNvPr>
            <cdr:cNvGrpSpPr/>
          </cdr:nvGrpSpPr>
          <cdr:grpSpPr>
            <a:xfrm xmlns:a="http://schemas.openxmlformats.org/drawingml/2006/main">
              <a:off x="917516" y="47042"/>
              <a:ext cx="799080" cy="699532"/>
              <a:chOff x="917516" y="46382"/>
              <a:chExt cx="799081" cy="689714"/>
            </a:xfrm>
          </cdr:grpSpPr>
          <cdr:grpSp>
            <cdr:nvGrpSpPr>
              <cdr:cNvPr id="53" name="Group 52">
                <a:extLst xmlns:a="http://schemas.openxmlformats.org/drawingml/2006/main">
                  <a:ext uri="{FF2B5EF4-FFF2-40B4-BE49-F238E27FC236}">
                    <a16:creationId xmlns:a16="http://schemas.microsoft.com/office/drawing/2014/main" id="{FC3598DF-73E7-EC1F-4AA3-F441841DC32C}"/>
                  </a:ext>
                </a:extLst>
              </cdr:cNvPr>
              <cdr:cNvGrpSpPr/>
            </cdr:nvGrpSpPr>
            <cdr:grpSpPr>
              <a:xfrm xmlns:a="http://schemas.openxmlformats.org/drawingml/2006/main">
                <a:off x="917516" y="46382"/>
                <a:ext cx="799081" cy="500472"/>
                <a:chOff x="917516" y="46382"/>
                <a:chExt cx="799081" cy="500472"/>
              </a:xfrm>
            </cdr:grpSpPr>
            <cdr:sp macro="" textlink="'Data-Vẽ-Tháng'!$E$30">
              <cdr:nvSpPr>
                <cdr:cNvPr id="55" name="TextBox 51">
                  <a:extLst xmlns:a="http://schemas.openxmlformats.org/drawingml/2006/main">
                    <a:ext uri="{FF2B5EF4-FFF2-40B4-BE49-F238E27FC236}">
                      <a16:creationId xmlns:a16="http://schemas.microsoft.com/office/drawing/2014/main" id="{F9F787E8-5620-7D55-AA54-5C1AB2FC7FEB}"/>
                    </a:ext>
                  </a:extLst>
                </cdr:cNvPr>
                <cdr:cNvSpPr txBox="1"/>
              </cdr:nvSpPr>
              <cdr:spPr>
                <a:xfrm xmlns:a="http://schemas.openxmlformats.org/drawingml/2006/main">
                  <a:off x="917516" y="46382"/>
                  <a:ext cx="799081" cy="30773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CD3B51D-B6CE-464E-A43E-C4425CB5A254}" type="TxLink">
                    <a:rPr lang="en-US" sz="1300" b="1" i="0" u="none" strike="noStrike">
                      <a:solidFill>
                        <a:schemeClr val="accent4">
                          <a:lumMod val="60000"/>
                          <a:lumOff val="40000"/>
                        </a:schemeClr>
                      </a:solidFill>
                      <a:latin typeface="Aptos Narrow"/>
                      <a:ea typeface="+mn-ea"/>
                      <a:cs typeface="+mn-cs"/>
                    </a:rPr>
                    <a:pPr marL="0" indent="0" algn="ctr"/>
                    <a:t> 14,649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0">
              <cdr:nvSpPr>
                <cdr:cNvPr id="56" name="TextBox 52">
                  <a:extLst xmlns:a="http://schemas.openxmlformats.org/drawingml/2006/main">
                    <a:ext uri="{FF2B5EF4-FFF2-40B4-BE49-F238E27FC236}">
                      <a16:creationId xmlns:a16="http://schemas.microsoft.com/office/drawing/2014/main" id="{59FD2877-3585-D0E9-7017-3108046B4CB8}"/>
                    </a:ext>
                  </a:extLst>
                </cdr:cNvPr>
                <cdr:cNvSpPr txBox="1"/>
              </cdr:nvSpPr>
              <cdr:spPr>
                <a:xfrm xmlns:a="http://schemas.openxmlformats.org/drawingml/2006/main">
                  <a:off x="973846" y="271671"/>
                  <a:ext cx="723376" cy="27518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16C5CF7-79CC-41C1-917A-C29D55739529}" type="TxLink">
                    <a:rPr lang="en-US" sz="1100" b="0" i="0" u="none" strike="noStrike">
                      <a:solidFill>
                        <a:schemeClr val="bg1">
                          <a:lumMod val="50000"/>
                        </a:schemeClr>
                      </a:solidFill>
                      <a:latin typeface="Aptos Narrow"/>
                      <a:ea typeface="+mn-ea"/>
                      <a:cs typeface="+mn-cs"/>
                    </a:rPr>
                    <a:pPr marL="0" indent="0" algn="ctr"/>
                    <a:t> 15,843 </a:t>
                  </a:fld>
                  <a:endParaRPr lang="en-US" sz="1100" b="0" i="0" u="none" strike="noStrike">
                    <a:solidFill>
                      <a:schemeClr val="bg1">
                        <a:lumMod val="50000"/>
                      </a:schemeClr>
                    </a:solidFill>
                    <a:latin typeface="Aptos Narrow"/>
                    <a:ea typeface="+mn-ea"/>
                    <a:cs typeface="+mn-cs"/>
                  </a:endParaRPr>
                </a:p>
              </cdr:txBody>
            </cdr:sp>
            <cdr:cxnSp macro="">
              <cdr:nvCxnSpPr>
                <cdr:cNvPr id="57" name="Straight Connector 56">
                  <a:extLst xmlns:a="http://schemas.openxmlformats.org/drawingml/2006/main">
                    <a:ext uri="{FF2B5EF4-FFF2-40B4-BE49-F238E27FC236}">
                      <a16:creationId xmlns:a16="http://schemas.microsoft.com/office/drawing/2014/main" id="{A16691AD-EEDE-C2B8-A11C-AACABB175309}"/>
                    </a:ext>
                  </a:extLst>
                </cdr:cNvPr>
                <cdr:cNvCxnSpPr/>
              </cdr:nvCxnSpPr>
              <cdr:spPr>
                <a:xfrm xmlns:a="http://schemas.openxmlformats.org/drawingml/2006/main">
                  <a:off x="1024115"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54" name="TextBox 50">
                <a:extLst xmlns:a="http://schemas.openxmlformats.org/drawingml/2006/main">
                  <a:ext uri="{FF2B5EF4-FFF2-40B4-BE49-F238E27FC236}">
                    <a16:creationId xmlns:a16="http://schemas.microsoft.com/office/drawing/2014/main" id="{91DBB290-B795-AF7E-69C4-F2B8CD4052FA}"/>
                  </a:ext>
                </a:extLst>
              </cdr:cNvPr>
              <cdr:cNvSpPr txBox="1"/>
            </cdr:nvSpPr>
            <cdr:spPr>
              <a:xfrm xmlns:a="http://schemas.openxmlformats.org/drawingml/2006/main">
                <a:off x="1008292" y="481940"/>
                <a:ext cx="643004" cy="25415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2" name="Rectangle: Rounded Corners 51">
              <a:extLst xmlns:a="http://schemas.openxmlformats.org/drawingml/2006/main">
                <a:ext uri="{FF2B5EF4-FFF2-40B4-BE49-F238E27FC236}">
                  <a16:creationId xmlns:a16="http://schemas.microsoft.com/office/drawing/2014/main" id="{FA4F4F47-0286-8F20-A524-0179A4409EC4}"/>
                </a:ext>
              </a:extLst>
            </cdr:cNvPr>
            <cdr:cNvSpPr/>
          </cdr:nvSpPr>
          <cdr:spPr>
            <a:xfrm xmlns:a="http://schemas.openxmlformats.org/drawingml/2006/main">
              <a:off x="957854" y="0"/>
              <a:ext cx="722241"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1" name="Group 10">
            <a:extLst xmlns:a="http://schemas.openxmlformats.org/drawingml/2006/main">
              <a:ext uri="{FF2B5EF4-FFF2-40B4-BE49-F238E27FC236}">
                <a16:creationId xmlns:a16="http://schemas.microsoft.com/office/drawing/2014/main" id="{87764569-A7CB-7A31-7D51-9E824B6B37FA}"/>
              </a:ext>
            </a:extLst>
          </cdr:cNvPr>
          <cdr:cNvGrpSpPr/>
        </cdr:nvGrpSpPr>
        <cdr:grpSpPr>
          <a:xfrm xmlns:a="http://schemas.openxmlformats.org/drawingml/2006/main">
            <a:off x="9641646" y="2663430"/>
            <a:ext cx="687854" cy="771745"/>
            <a:chOff x="1915380" y="2"/>
            <a:chExt cx="722243" cy="766125"/>
          </a:xfrm>
        </cdr:grpSpPr>
        <cdr:grpSp>
          <cdr:nvGrpSpPr>
            <cdr:cNvPr id="44" name="Group 43">
              <a:extLst xmlns:a="http://schemas.openxmlformats.org/drawingml/2006/main">
                <a:ext uri="{FF2B5EF4-FFF2-40B4-BE49-F238E27FC236}">
                  <a16:creationId xmlns:a16="http://schemas.microsoft.com/office/drawing/2014/main" id="{016C50B0-D5F5-3D9B-5315-FE6F770C3403}"/>
                </a:ext>
              </a:extLst>
            </cdr:cNvPr>
            <cdr:cNvGrpSpPr/>
          </cdr:nvGrpSpPr>
          <cdr:grpSpPr>
            <a:xfrm xmlns:a="http://schemas.openxmlformats.org/drawingml/2006/main">
              <a:off x="1934865" y="47043"/>
              <a:ext cx="631189" cy="671551"/>
              <a:chOff x="1934865" y="46383"/>
              <a:chExt cx="631189" cy="662126"/>
            </a:xfrm>
          </cdr:grpSpPr>
          <cdr:grpSp>
            <cdr:nvGrpSpPr>
              <cdr:cNvPr id="46" name="Group 45">
                <a:extLst xmlns:a="http://schemas.openxmlformats.org/drawingml/2006/main">
                  <a:ext uri="{FF2B5EF4-FFF2-40B4-BE49-F238E27FC236}">
                    <a16:creationId xmlns:a16="http://schemas.microsoft.com/office/drawing/2014/main" id="{D271D425-852A-0697-A072-FE854C1879B3}"/>
                  </a:ext>
                </a:extLst>
              </cdr:cNvPr>
              <cdr:cNvGrpSpPr/>
            </cdr:nvGrpSpPr>
            <cdr:grpSpPr>
              <a:xfrm xmlns:a="http://schemas.openxmlformats.org/drawingml/2006/main">
                <a:off x="1934865" y="46383"/>
                <a:ext cx="624851" cy="500471"/>
                <a:chOff x="1934865" y="46383"/>
                <a:chExt cx="624851" cy="500471"/>
              </a:xfrm>
            </cdr:grpSpPr>
            <cdr:sp macro="" textlink="'Data-Vẽ-Tháng'!$E$31">
              <cdr:nvSpPr>
                <cdr:cNvPr id="48" name="TextBox 44">
                  <a:extLst xmlns:a="http://schemas.openxmlformats.org/drawingml/2006/main">
                    <a:ext uri="{FF2B5EF4-FFF2-40B4-BE49-F238E27FC236}">
                      <a16:creationId xmlns:a16="http://schemas.microsoft.com/office/drawing/2014/main" id="{D1542A6C-8558-4948-C3FD-714B55DBAD95}"/>
                    </a:ext>
                  </a:extLst>
                </cdr:cNvPr>
                <cdr:cNvSpPr txBox="1"/>
              </cdr:nvSpPr>
              <cdr:spPr>
                <a:xfrm xmlns:a="http://schemas.openxmlformats.org/drawingml/2006/main">
                  <a:off x="1934865" y="46383"/>
                  <a:ext cx="624851" cy="30773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7D8C3AEE-4D1A-47A5-B113-1A0FFA74174E}" type="TxLink">
                    <a:rPr lang="en-US" sz="1300" b="1" i="0" u="none" strike="noStrike">
                      <a:solidFill>
                        <a:schemeClr val="accent4">
                          <a:lumMod val="60000"/>
                          <a:lumOff val="40000"/>
                        </a:schemeClr>
                      </a:solidFill>
                      <a:latin typeface="Aptos Narrow"/>
                      <a:ea typeface="+mn-ea"/>
                      <a:cs typeface="+mn-cs"/>
                    </a:rPr>
                    <a:pPr marL="0" indent="0" algn="ctr"/>
                    <a:t> 2,331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1">
              <cdr:nvSpPr>
                <cdr:cNvPr id="49" name="TextBox 45">
                  <a:extLst xmlns:a="http://schemas.openxmlformats.org/drawingml/2006/main">
                    <a:ext uri="{FF2B5EF4-FFF2-40B4-BE49-F238E27FC236}">
                      <a16:creationId xmlns:a16="http://schemas.microsoft.com/office/drawing/2014/main" id="{AB548033-C406-23D3-4D60-7809708C435A}"/>
                    </a:ext>
                  </a:extLst>
                </cdr:cNvPr>
                <cdr:cNvSpPr txBox="1"/>
              </cdr:nvSpPr>
              <cdr:spPr>
                <a:xfrm xmlns:a="http://schemas.openxmlformats.org/drawingml/2006/main">
                  <a:off x="1981642" y="271671"/>
                  <a:ext cx="557345" cy="27518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B332E1F8-CEBF-4E41-B764-CC88BCE07F39}" type="TxLink">
                    <a:rPr lang="en-US" sz="1100" b="0" i="0" u="none" strike="noStrike">
                      <a:solidFill>
                        <a:schemeClr val="bg1">
                          <a:lumMod val="50000"/>
                        </a:schemeClr>
                      </a:solidFill>
                      <a:latin typeface="Aptos Narrow"/>
                      <a:ea typeface="+mn-ea"/>
                      <a:cs typeface="+mn-cs"/>
                    </a:rPr>
                    <a:pPr marL="0" indent="0" algn="ctr"/>
                    <a:t> 5,826 </a:t>
                  </a:fld>
                  <a:endParaRPr lang="en-US" sz="1100" b="0" i="0" u="none" strike="noStrike">
                    <a:solidFill>
                      <a:schemeClr val="bg1">
                        <a:lumMod val="50000"/>
                      </a:schemeClr>
                    </a:solidFill>
                    <a:latin typeface="Aptos Narrow"/>
                    <a:ea typeface="+mn-ea"/>
                    <a:cs typeface="+mn-cs"/>
                  </a:endParaRPr>
                </a:p>
              </cdr:txBody>
            </cdr:sp>
            <cdr:cxnSp macro="">
              <cdr:nvCxnSpPr>
                <cdr:cNvPr id="50" name="Straight Connector 49">
                  <a:extLst xmlns:a="http://schemas.openxmlformats.org/drawingml/2006/main">
                    <a:ext uri="{FF2B5EF4-FFF2-40B4-BE49-F238E27FC236}">
                      <a16:creationId xmlns:a16="http://schemas.microsoft.com/office/drawing/2014/main" id="{A84E9D1D-7E09-1CA8-5928-9BBCCAA06D2A}"/>
                    </a:ext>
                  </a:extLst>
                </cdr:cNvPr>
                <cdr:cNvCxnSpPr/>
              </cdr:nvCxnSpPr>
              <cdr:spPr>
                <a:xfrm xmlns:a="http://schemas.openxmlformats.org/drawingml/2006/main">
                  <a:off x="1981641"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7" name="TextBox 43">
                <a:extLst xmlns:a="http://schemas.openxmlformats.org/drawingml/2006/main">
                  <a:ext uri="{FF2B5EF4-FFF2-40B4-BE49-F238E27FC236}">
                    <a16:creationId xmlns:a16="http://schemas.microsoft.com/office/drawing/2014/main" id="{6F305E81-4CBA-3DFA-A964-9843ADC40187}"/>
                  </a:ext>
                </a:extLst>
              </cdr:cNvPr>
              <cdr:cNvSpPr txBox="1"/>
            </cdr:nvSpPr>
            <cdr:spPr>
              <a:xfrm xmlns:a="http://schemas.openxmlformats.org/drawingml/2006/main">
                <a:off x="1988267"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5" name="Rectangle: Rounded Corners 44">
              <a:extLst xmlns:a="http://schemas.openxmlformats.org/drawingml/2006/main">
                <a:ext uri="{FF2B5EF4-FFF2-40B4-BE49-F238E27FC236}">
                  <a16:creationId xmlns:a16="http://schemas.microsoft.com/office/drawing/2014/main" id="{F04FDE22-D6D9-2608-0A1F-9448591F20DA}"/>
                </a:ext>
              </a:extLst>
            </cdr:cNvPr>
            <cdr:cNvSpPr/>
          </cdr:nvSpPr>
          <cdr:spPr>
            <a:xfrm xmlns:a="http://schemas.openxmlformats.org/drawingml/2006/main">
              <a:off x="1915380"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2" name="Group 11">
            <a:extLst xmlns:a="http://schemas.openxmlformats.org/drawingml/2006/main">
              <a:ext uri="{FF2B5EF4-FFF2-40B4-BE49-F238E27FC236}">
                <a16:creationId xmlns:a16="http://schemas.microsoft.com/office/drawing/2014/main" id="{0975AD6F-5C7C-8280-C9E6-F33A15DB2C18}"/>
              </a:ext>
            </a:extLst>
          </cdr:cNvPr>
          <cdr:cNvGrpSpPr/>
        </cdr:nvGrpSpPr>
        <cdr:grpSpPr>
          <a:xfrm xmlns:a="http://schemas.openxmlformats.org/drawingml/2006/main">
            <a:off x="10535139" y="2663430"/>
            <a:ext cx="687854" cy="771745"/>
            <a:chOff x="2872904" y="2"/>
            <a:chExt cx="722243" cy="766125"/>
          </a:xfrm>
        </cdr:grpSpPr>
        <cdr:grpSp>
          <cdr:nvGrpSpPr>
            <cdr:cNvPr id="37" name="Group 36">
              <a:extLst xmlns:a="http://schemas.openxmlformats.org/drawingml/2006/main">
                <a:ext uri="{FF2B5EF4-FFF2-40B4-BE49-F238E27FC236}">
                  <a16:creationId xmlns:a16="http://schemas.microsoft.com/office/drawing/2014/main" id="{A8C6A8B6-AF22-E4BE-75E8-F8198E08EF51}"/>
                </a:ext>
              </a:extLst>
            </cdr:cNvPr>
            <cdr:cNvGrpSpPr/>
          </cdr:nvGrpSpPr>
          <cdr:grpSpPr>
            <a:xfrm xmlns:a="http://schemas.openxmlformats.org/drawingml/2006/main">
              <a:off x="2892391" y="47043"/>
              <a:ext cx="631188" cy="671551"/>
              <a:chOff x="2892391" y="46383"/>
              <a:chExt cx="631188" cy="662126"/>
            </a:xfrm>
          </cdr:grpSpPr>
          <cdr:grpSp>
            <cdr:nvGrpSpPr>
              <cdr:cNvPr id="39" name="Group 38">
                <a:extLst xmlns:a="http://schemas.openxmlformats.org/drawingml/2006/main">
                  <a:ext uri="{FF2B5EF4-FFF2-40B4-BE49-F238E27FC236}">
                    <a16:creationId xmlns:a16="http://schemas.microsoft.com/office/drawing/2014/main" id="{F57719BA-7D64-0762-7C3A-E92366645577}"/>
                  </a:ext>
                </a:extLst>
              </cdr:cNvPr>
              <cdr:cNvGrpSpPr/>
            </cdr:nvGrpSpPr>
            <cdr:grpSpPr>
              <a:xfrm xmlns:a="http://schemas.openxmlformats.org/drawingml/2006/main">
                <a:off x="2892391" y="46383"/>
                <a:ext cx="624850" cy="500471"/>
                <a:chOff x="2892391" y="46383"/>
                <a:chExt cx="624850" cy="500471"/>
              </a:xfrm>
            </cdr:grpSpPr>
            <cdr:sp macro="" textlink="'Data-Vẽ-Tháng'!$E$32">
              <cdr:nvSpPr>
                <cdr:cNvPr id="41" name="TextBox 37">
                  <a:extLst xmlns:a="http://schemas.openxmlformats.org/drawingml/2006/main">
                    <a:ext uri="{FF2B5EF4-FFF2-40B4-BE49-F238E27FC236}">
                      <a16:creationId xmlns:a16="http://schemas.microsoft.com/office/drawing/2014/main" id="{AFFD9877-BAB5-19F2-2D6D-A89C26BA5FDA}"/>
                    </a:ext>
                  </a:extLst>
                </cdr:cNvPr>
                <cdr:cNvSpPr txBox="1"/>
              </cdr:nvSpPr>
              <cdr:spPr>
                <a:xfrm xmlns:a="http://schemas.openxmlformats.org/drawingml/2006/main">
                  <a:off x="2892391" y="46383"/>
                  <a:ext cx="624850" cy="30773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E43D3FF-260A-4D0E-ACF9-563185EEBFE8}" type="TxLink">
                    <a:rPr lang="en-US" sz="1300" b="1" i="0" u="none" strike="noStrike">
                      <a:solidFill>
                        <a:schemeClr val="accent4">
                          <a:lumMod val="60000"/>
                          <a:lumOff val="40000"/>
                        </a:schemeClr>
                      </a:solidFill>
                      <a:latin typeface="Aptos Narrow"/>
                      <a:ea typeface="+mn-ea"/>
                      <a:cs typeface="+mn-cs"/>
                    </a:rPr>
                    <a:pPr marL="0" indent="0" algn="ctr"/>
                    <a:t> 3,355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2">
              <cdr:nvSpPr>
                <cdr:cNvPr id="42" name="TextBox 38">
                  <a:extLst xmlns:a="http://schemas.openxmlformats.org/drawingml/2006/main">
                    <a:ext uri="{FF2B5EF4-FFF2-40B4-BE49-F238E27FC236}">
                      <a16:creationId xmlns:a16="http://schemas.microsoft.com/office/drawing/2014/main" id="{29261122-D5D8-A74A-A8B5-0EC245974F03}"/>
                    </a:ext>
                  </a:extLst>
                </cdr:cNvPr>
                <cdr:cNvSpPr txBox="1"/>
              </cdr:nvSpPr>
              <cdr:spPr>
                <a:xfrm xmlns:a="http://schemas.openxmlformats.org/drawingml/2006/main">
                  <a:off x="2939167" y="271671"/>
                  <a:ext cx="574811" cy="27518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73E063F9-CBE5-48C8-B1A9-2D0BF417E094}" type="TxLink">
                    <a:rPr lang="en-US" sz="1100" b="0" i="0" u="none" strike="noStrike">
                      <a:solidFill>
                        <a:schemeClr val="bg1">
                          <a:lumMod val="50000"/>
                        </a:schemeClr>
                      </a:solidFill>
                      <a:latin typeface="Aptos Narrow"/>
                      <a:ea typeface="+mn-ea"/>
                      <a:cs typeface="+mn-cs"/>
                    </a:rPr>
                    <a:pPr marL="0" indent="0" algn="ctr"/>
                    <a:t> 4,436 </a:t>
                  </a:fld>
                  <a:endParaRPr lang="en-US" sz="1100" b="0" i="0" u="none" strike="noStrike">
                    <a:solidFill>
                      <a:schemeClr val="bg1">
                        <a:lumMod val="50000"/>
                      </a:schemeClr>
                    </a:solidFill>
                    <a:latin typeface="Aptos Narrow"/>
                    <a:ea typeface="+mn-ea"/>
                    <a:cs typeface="+mn-cs"/>
                  </a:endParaRPr>
                </a:p>
              </cdr:txBody>
            </cdr:sp>
            <cdr:cxnSp macro="">
              <cdr:nvCxnSpPr>
                <cdr:cNvPr id="43" name="Straight Connector 42">
                  <a:extLst xmlns:a="http://schemas.openxmlformats.org/drawingml/2006/main">
                    <a:ext uri="{FF2B5EF4-FFF2-40B4-BE49-F238E27FC236}">
                      <a16:creationId xmlns:a16="http://schemas.microsoft.com/office/drawing/2014/main" id="{0017E1A3-E6B1-5833-BA0F-8288061C6F41}"/>
                    </a:ext>
                  </a:extLst>
                </cdr:cNvPr>
                <cdr:cNvCxnSpPr/>
              </cdr:nvCxnSpPr>
              <cdr:spPr>
                <a:xfrm xmlns:a="http://schemas.openxmlformats.org/drawingml/2006/main">
                  <a:off x="2939166"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0" name="TextBox 36">
                <a:extLst xmlns:a="http://schemas.openxmlformats.org/drawingml/2006/main">
                  <a:ext uri="{FF2B5EF4-FFF2-40B4-BE49-F238E27FC236}">
                    <a16:creationId xmlns:a16="http://schemas.microsoft.com/office/drawing/2014/main" id="{3FE140C1-87AF-2E76-CDF8-708A7385C0A3}"/>
                  </a:ext>
                </a:extLst>
              </cdr:cNvPr>
              <cdr:cNvSpPr txBox="1"/>
            </cdr:nvSpPr>
            <cdr:spPr>
              <a:xfrm xmlns:a="http://schemas.openxmlformats.org/drawingml/2006/main">
                <a:off x="2945792"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8" name="Rectangle: Rounded Corners 37">
              <a:extLst xmlns:a="http://schemas.openxmlformats.org/drawingml/2006/main">
                <a:ext uri="{FF2B5EF4-FFF2-40B4-BE49-F238E27FC236}">
                  <a16:creationId xmlns:a16="http://schemas.microsoft.com/office/drawing/2014/main" id="{6D3DACF6-0ABE-56D9-B8E0-137D8823D58C}"/>
                </a:ext>
              </a:extLst>
            </cdr:cNvPr>
            <cdr:cNvSpPr/>
          </cdr:nvSpPr>
          <cdr:spPr>
            <a:xfrm xmlns:a="http://schemas.openxmlformats.org/drawingml/2006/main">
              <a:off x="2872904"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3" name="Group 12">
            <a:extLst xmlns:a="http://schemas.openxmlformats.org/drawingml/2006/main">
              <a:ext uri="{FF2B5EF4-FFF2-40B4-BE49-F238E27FC236}">
                <a16:creationId xmlns:a16="http://schemas.microsoft.com/office/drawing/2014/main" id="{B2232AC8-BAAE-2460-5049-B2DF317BB203}"/>
              </a:ext>
            </a:extLst>
          </cdr:cNvPr>
          <cdr:cNvGrpSpPr/>
        </cdr:nvGrpSpPr>
        <cdr:grpSpPr>
          <a:xfrm xmlns:a="http://schemas.openxmlformats.org/drawingml/2006/main">
            <a:off x="11428632" y="2663430"/>
            <a:ext cx="687854" cy="771745"/>
            <a:chOff x="3830429" y="2"/>
            <a:chExt cx="722243" cy="766125"/>
          </a:xfrm>
        </cdr:grpSpPr>
        <cdr:grpSp>
          <cdr:nvGrpSpPr>
            <cdr:cNvPr id="30" name="Group 29">
              <a:extLst xmlns:a="http://schemas.openxmlformats.org/drawingml/2006/main">
                <a:ext uri="{FF2B5EF4-FFF2-40B4-BE49-F238E27FC236}">
                  <a16:creationId xmlns:a16="http://schemas.microsoft.com/office/drawing/2014/main" id="{F92F8499-149B-8BB1-8209-EAA1A220DC69}"/>
                </a:ext>
              </a:extLst>
            </cdr:cNvPr>
            <cdr:cNvGrpSpPr/>
          </cdr:nvGrpSpPr>
          <cdr:grpSpPr>
            <a:xfrm xmlns:a="http://schemas.openxmlformats.org/drawingml/2006/main">
              <a:off x="3835819" y="47045"/>
              <a:ext cx="705990" cy="671549"/>
              <a:chOff x="3835821" y="46385"/>
              <a:chExt cx="705990" cy="662124"/>
            </a:xfrm>
          </cdr:grpSpPr>
          <cdr:grpSp>
            <cdr:nvGrpSpPr>
              <cdr:cNvPr id="32" name="Group 31">
                <a:extLst xmlns:a="http://schemas.openxmlformats.org/drawingml/2006/main">
                  <a:ext uri="{FF2B5EF4-FFF2-40B4-BE49-F238E27FC236}">
                    <a16:creationId xmlns:a16="http://schemas.microsoft.com/office/drawing/2014/main" id="{99EB99A6-4AFB-F1FB-3815-F6C7ED9CBC9D}"/>
                  </a:ext>
                </a:extLst>
              </cdr:cNvPr>
              <cdr:cNvGrpSpPr/>
            </cdr:nvGrpSpPr>
            <cdr:grpSpPr>
              <a:xfrm xmlns:a="http://schemas.openxmlformats.org/drawingml/2006/main">
                <a:off x="3835821" y="46385"/>
                <a:ext cx="705990" cy="500469"/>
                <a:chOff x="3835821" y="46385"/>
                <a:chExt cx="705990" cy="500469"/>
              </a:xfrm>
            </cdr:grpSpPr>
            <cdr:sp macro="" textlink="'Data-Vẽ-Tháng'!$E$33">
              <cdr:nvSpPr>
                <cdr:cNvPr id="34" name="TextBox 30">
                  <a:extLst xmlns:a="http://schemas.openxmlformats.org/drawingml/2006/main">
                    <a:ext uri="{FF2B5EF4-FFF2-40B4-BE49-F238E27FC236}">
                      <a16:creationId xmlns:a16="http://schemas.microsoft.com/office/drawing/2014/main" id="{E3E2918C-2138-6033-B90C-94851D270425}"/>
                    </a:ext>
                  </a:extLst>
                </cdr:cNvPr>
                <cdr:cNvSpPr txBox="1"/>
              </cdr:nvSpPr>
              <cdr:spPr>
                <a:xfrm xmlns:a="http://schemas.openxmlformats.org/drawingml/2006/main">
                  <a:off x="3835821" y="46385"/>
                  <a:ext cx="705990" cy="31320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73B67FC8-F0D4-4A90-ACF8-41D3910DD963}" type="TxLink">
                    <a:rPr lang="en-US" sz="1300" b="1" i="0" u="none" strike="noStrike">
                      <a:solidFill>
                        <a:schemeClr val="accent4">
                          <a:lumMod val="60000"/>
                          <a:lumOff val="40000"/>
                        </a:schemeClr>
                      </a:solidFill>
                      <a:latin typeface="Aptos Narrow"/>
                      <a:ea typeface="+mn-ea"/>
                      <a:cs typeface="+mn-cs"/>
                    </a:rPr>
                    <a:pPr marL="0" indent="0" algn="ctr"/>
                    <a:t> 610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3">
              <cdr:nvSpPr>
                <cdr:cNvPr id="35" name="TextBox 31">
                  <a:extLst xmlns:a="http://schemas.openxmlformats.org/drawingml/2006/main">
                    <a:ext uri="{FF2B5EF4-FFF2-40B4-BE49-F238E27FC236}">
                      <a16:creationId xmlns:a16="http://schemas.microsoft.com/office/drawing/2014/main" id="{593AA47B-34EA-9F61-BEE4-0D2EF2F6A53C}"/>
                    </a:ext>
                  </a:extLst>
                </cdr:cNvPr>
                <cdr:cNvSpPr txBox="1"/>
              </cdr:nvSpPr>
              <cdr:spPr>
                <a:xfrm xmlns:a="http://schemas.openxmlformats.org/drawingml/2006/main">
                  <a:off x="3896692" y="271671"/>
                  <a:ext cx="574812" cy="27518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FA65552F-1438-4C73-BC12-E8A61ED6594A}" type="TxLink">
                    <a:rPr lang="en-US" sz="1100" b="0" i="0" u="none" strike="noStrike">
                      <a:solidFill>
                        <a:schemeClr val="bg1">
                          <a:lumMod val="50000"/>
                        </a:schemeClr>
                      </a:solidFill>
                      <a:latin typeface="Aptos Narrow"/>
                      <a:ea typeface="+mn-ea"/>
                      <a:cs typeface="+mn-cs"/>
                    </a:rPr>
                    <a:pPr marL="0" indent="0" algn="ctr"/>
                    <a:t> 787 </a:t>
                  </a:fld>
                  <a:endParaRPr lang="en-US" sz="1100" b="0" i="0" u="none" strike="noStrike">
                    <a:solidFill>
                      <a:schemeClr val="bg1">
                        <a:lumMod val="50000"/>
                      </a:schemeClr>
                    </a:solidFill>
                    <a:latin typeface="Aptos Narrow"/>
                    <a:ea typeface="+mn-ea"/>
                    <a:cs typeface="+mn-cs"/>
                  </a:endParaRPr>
                </a:p>
              </cdr:txBody>
            </cdr:sp>
            <cdr:cxnSp macro="">
              <cdr:nvCxnSpPr>
                <cdr:cNvPr id="36" name="Straight Connector 35">
                  <a:extLst xmlns:a="http://schemas.openxmlformats.org/drawingml/2006/main">
                    <a:ext uri="{FF2B5EF4-FFF2-40B4-BE49-F238E27FC236}">
                      <a16:creationId xmlns:a16="http://schemas.microsoft.com/office/drawing/2014/main" id="{D5551654-F029-B943-8EEA-5C7F5AB7CB54}"/>
                    </a:ext>
                  </a:extLst>
                </cdr:cNvPr>
                <cdr:cNvCxnSpPr/>
              </cdr:nvCxnSpPr>
              <cdr:spPr>
                <a:xfrm xmlns:a="http://schemas.openxmlformats.org/drawingml/2006/main">
                  <a:off x="3896691"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33" name="TextBox 29">
                <a:extLst xmlns:a="http://schemas.openxmlformats.org/drawingml/2006/main">
                  <a:ext uri="{FF2B5EF4-FFF2-40B4-BE49-F238E27FC236}">
                    <a16:creationId xmlns:a16="http://schemas.microsoft.com/office/drawing/2014/main" id="{2DC3A15F-7FA2-1FF5-F3FF-E8243B6FFD0A}"/>
                  </a:ext>
                </a:extLst>
              </cdr:cNvPr>
              <cdr:cNvSpPr txBox="1"/>
            </cdr:nvSpPr>
            <cdr:spPr>
              <a:xfrm xmlns:a="http://schemas.openxmlformats.org/drawingml/2006/main">
                <a:off x="3903317"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1" name="Rectangle: Rounded Corners 30">
              <a:extLst xmlns:a="http://schemas.openxmlformats.org/drawingml/2006/main">
                <a:ext uri="{FF2B5EF4-FFF2-40B4-BE49-F238E27FC236}">
                  <a16:creationId xmlns:a16="http://schemas.microsoft.com/office/drawing/2014/main" id="{D2B6D1AD-5364-AE99-EC09-85DAEE9AB8D9}"/>
                </a:ext>
              </a:extLst>
            </cdr:cNvPr>
            <cdr:cNvSpPr/>
          </cdr:nvSpPr>
          <cdr:spPr>
            <a:xfrm xmlns:a="http://schemas.openxmlformats.org/drawingml/2006/main">
              <a:off x="3830429"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4" name="Group 13">
            <a:extLst xmlns:a="http://schemas.openxmlformats.org/drawingml/2006/main">
              <a:ext uri="{FF2B5EF4-FFF2-40B4-BE49-F238E27FC236}">
                <a16:creationId xmlns:a16="http://schemas.microsoft.com/office/drawing/2014/main" id="{067A64E2-7FC3-A558-73F7-0D682F1D3503}"/>
              </a:ext>
            </a:extLst>
          </cdr:cNvPr>
          <cdr:cNvGrpSpPr/>
        </cdr:nvGrpSpPr>
        <cdr:grpSpPr>
          <a:xfrm xmlns:a="http://schemas.openxmlformats.org/drawingml/2006/main">
            <a:off x="12322125" y="2663430"/>
            <a:ext cx="692047" cy="771745"/>
            <a:chOff x="4783550" y="2"/>
            <a:chExt cx="726646" cy="766125"/>
          </a:xfrm>
        </cdr:grpSpPr>
        <cdr:grpSp>
          <cdr:nvGrpSpPr>
            <cdr:cNvPr id="23" name="Group 22">
              <a:extLst xmlns:a="http://schemas.openxmlformats.org/drawingml/2006/main">
                <a:ext uri="{FF2B5EF4-FFF2-40B4-BE49-F238E27FC236}">
                  <a16:creationId xmlns:a16="http://schemas.microsoft.com/office/drawing/2014/main" id="{DB8B1E6C-CD8B-51CC-4B57-F0B7010416B0}"/>
                </a:ext>
              </a:extLst>
            </cdr:cNvPr>
            <cdr:cNvGrpSpPr/>
          </cdr:nvGrpSpPr>
          <cdr:grpSpPr>
            <a:xfrm xmlns:a="http://schemas.openxmlformats.org/drawingml/2006/main">
              <a:off x="4783550" y="51442"/>
              <a:ext cx="711117" cy="667152"/>
              <a:chOff x="4783550" y="50721"/>
              <a:chExt cx="711117" cy="657788"/>
            </a:xfrm>
          </cdr:grpSpPr>
          <cdr:grpSp>
            <cdr:nvGrpSpPr>
              <cdr:cNvPr id="25" name="Group 24">
                <a:extLst xmlns:a="http://schemas.openxmlformats.org/drawingml/2006/main">
                  <a:ext uri="{FF2B5EF4-FFF2-40B4-BE49-F238E27FC236}">
                    <a16:creationId xmlns:a16="http://schemas.microsoft.com/office/drawing/2014/main" id="{680BA9D7-F02B-526C-64EE-855EE73F430E}"/>
                  </a:ext>
                </a:extLst>
              </cdr:cNvPr>
              <cdr:cNvGrpSpPr/>
            </cdr:nvGrpSpPr>
            <cdr:grpSpPr>
              <a:xfrm xmlns:a="http://schemas.openxmlformats.org/drawingml/2006/main">
                <a:off x="4783550" y="50721"/>
                <a:ext cx="711117" cy="496135"/>
                <a:chOff x="4783550" y="50721"/>
                <a:chExt cx="711117" cy="496135"/>
              </a:xfrm>
            </cdr:grpSpPr>
            <cdr:sp macro="" textlink="'Data-Vẽ-Tháng'!$E$34">
              <cdr:nvSpPr>
                <cdr:cNvPr id="27" name="TextBox 23">
                  <a:extLst xmlns:a="http://schemas.openxmlformats.org/drawingml/2006/main">
                    <a:ext uri="{FF2B5EF4-FFF2-40B4-BE49-F238E27FC236}">
                      <a16:creationId xmlns:a16="http://schemas.microsoft.com/office/drawing/2014/main" id="{FF22205B-D9A7-2FB1-3D50-DA15250384DD}"/>
                    </a:ext>
                  </a:extLst>
                </cdr:cNvPr>
                <cdr:cNvSpPr txBox="1"/>
              </cdr:nvSpPr>
              <cdr:spPr>
                <a:xfrm xmlns:a="http://schemas.openxmlformats.org/drawingml/2006/main">
                  <a:off x="4783550" y="50721"/>
                  <a:ext cx="711117" cy="2798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2435DDE-4B90-4706-878F-098BCBD783C1}" type="TxLink">
                    <a:rPr lang="en-US" sz="1300" b="1" i="0" u="none" strike="noStrike">
                      <a:solidFill>
                        <a:schemeClr val="accent4">
                          <a:lumMod val="60000"/>
                          <a:lumOff val="40000"/>
                        </a:schemeClr>
                      </a:solidFill>
                      <a:latin typeface="Aptos Narrow"/>
                      <a:ea typeface="+mn-ea"/>
                      <a:cs typeface="+mn-cs"/>
                    </a:rPr>
                    <a:pPr marL="0" indent="0" algn="ctr"/>
                    <a:t> 1,262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4">
              <cdr:nvSpPr>
                <cdr:cNvPr id="28" name="TextBox 24">
                  <a:extLst xmlns:a="http://schemas.openxmlformats.org/drawingml/2006/main">
                    <a:ext uri="{FF2B5EF4-FFF2-40B4-BE49-F238E27FC236}">
                      <a16:creationId xmlns:a16="http://schemas.microsoft.com/office/drawing/2014/main" id="{32856DFC-4D40-04B4-0D73-B70EEA0EBF39}"/>
                    </a:ext>
                  </a:extLst>
                </cdr:cNvPr>
                <cdr:cNvSpPr txBox="1"/>
              </cdr:nvSpPr>
              <cdr:spPr>
                <a:xfrm xmlns:a="http://schemas.openxmlformats.org/drawingml/2006/main">
                  <a:off x="4854215" y="271672"/>
                  <a:ext cx="574814" cy="27518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45F66DF2-31C5-4BAC-BF4B-F9FABFEE841E}" type="TxLink">
                    <a:rPr lang="en-US" sz="1100" b="0" i="0" u="none" strike="noStrike">
                      <a:solidFill>
                        <a:schemeClr val="bg1">
                          <a:lumMod val="50000"/>
                        </a:schemeClr>
                      </a:solidFill>
                      <a:latin typeface="Aptos Narrow"/>
                      <a:ea typeface="+mn-ea"/>
                      <a:cs typeface="+mn-cs"/>
                    </a:rPr>
                    <a:pPr marL="0" indent="0" algn="ctr"/>
                    <a:t> 1,171 </a:t>
                  </a:fld>
                  <a:endParaRPr lang="en-US" sz="1100" b="0" i="0" u="none" strike="noStrike">
                    <a:solidFill>
                      <a:schemeClr val="bg1">
                        <a:lumMod val="50000"/>
                      </a:schemeClr>
                    </a:solidFill>
                    <a:latin typeface="Aptos Narrow"/>
                    <a:ea typeface="+mn-ea"/>
                    <a:cs typeface="+mn-cs"/>
                  </a:endParaRPr>
                </a:p>
              </cdr:txBody>
            </cdr:sp>
            <cdr:cxnSp macro="">
              <cdr:nvCxnSpPr>
                <cdr:cNvPr id="29" name="Straight Connector 28">
                  <a:extLst xmlns:a="http://schemas.openxmlformats.org/drawingml/2006/main">
                    <a:ext uri="{FF2B5EF4-FFF2-40B4-BE49-F238E27FC236}">
                      <a16:creationId xmlns:a16="http://schemas.microsoft.com/office/drawing/2014/main" id="{CB9A90B2-05E3-EBA2-B6AF-7EA1DC9461E4}"/>
                    </a:ext>
                  </a:extLst>
                </cdr:cNvPr>
                <cdr:cNvCxnSpPr/>
              </cdr:nvCxnSpPr>
              <cdr:spPr>
                <a:xfrm xmlns:a="http://schemas.openxmlformats.org/drawingml/2006/main">
                  <a:off x="4854214"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6" name="TextBox 22">
                <a:extLst xmlns:a="http://schemas.openxmlformats.org/drawingml/2006/main">
                  <a:ext uri="{FF2B5EF4-FFF2-40B4-BE49-F238E27FC236}">
                    <a16:creationId xmlns:a16="http://schemas.microsoft.com/office/drawing/2014/main" id="{D4028E42-E82D-3A00-0B8F-9F909C583C22}"/>
                  </a:ext>
                </a:extLst>
              </cdr:cNvPr>
              <cdr:cNvSpPr txBox="1"/>
            </cdr:nvSpPr>
            <cdr:spPr>
              <a:xfrm xmlns:a="http://schemas.openxmlformats.org/drawingml/2006/main">
                <a:off x="4860840"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24" name="Rectangle: Rounded Corners 23">
              <a:extLst xmlns:a="http://schemas.openxmlformats.org/drawingml/2006/main">
                <a:ext uri="{FF2B5EF4-FFF2-40B4-BE49-F238E27FC236}">
                  <a16:creationId xmlns:a16="http://schemas.microsoft.com/office/drawing/2014/main" id="{EA0ED481-402B-592D-C0C7-FA812AEFB9DC}"/>
                </a:ext>
              </a:extLst>
            </cdr:cNvPr>
            <cdr:cNvSpPr/>
          </cdr:nvSpPr>
          <cdr:spPr>
            <a:xfrm xmlns:a="http://schemas.openxmlformats.org/drawingml/2006/main">
              <a:off x="4787953"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5" name="Group 14">
            <a:extLst xmlns:a="http://schemas.openxmlformats.org/drawingml/2006/main">
              <a:ext uri="{FF2B5EF4-FFF2-40B4-BE49-F238E27FC236}">
                <a16:creationId xmlns:a16="http://schemas.microsoft.com/office/drawing/2014/main" id="{2373E15B-34D1-2EB7-D2FE-5B0CE45B57A5}"/>
              </a:ext>
            </a:extLst>
          </cdr:cNvPr>
          <cdr:cNvGrpSpPr/>
        </cdr:nvGrpSpPr>
        <cdr:grpSpPr>
          <a:xfrm xmlns:a="http://schemas.openxmlformats.org/drawingml/2006/main">
            <a:off x="13219811" y="2663430"/>
            <a:ext cx="776436" cy="771745"/>
            <a:chOff x="5691781" y="1"/>
            <a:chExt cx="815253" cy="766125"/>
          </a:xfrm>
        </cdr:grpSpPr>
        <cdr:grpSp>
          <cdr:nvGrpSpPr>
            <cdr:cNvPr id="16" name="Group 15">
              <a:extLst xmlns:a="http://schemas.openxmlformats.org/drawingml/2006/main">
                <a:ext uri="{FF2B5EF4-FFF2-40B4-BE49-F238E27FC236}">
                  <a16:creationId xmlns:a16="http://schemas.microsoft.com/office/drawing/2014/main" id="{AA7B58D1-6411-B986-842A-CEE9D03E2598}"/>
                </a:ext>
              </a:extLst>
            </cdr:cNvPr>
            <cdr:cNvGrpSpPr/>
          </cdr:nvGrpSpPr>
          <cdr:grpSpPr>
            <a:xfrm xmlns:a="http://schemas.openxmlformats.org/drawingml/2006/main">
              <a:off x="5691781" y="47044"/>
              <a:ext cx="815253" cy="671549"/>
              <a:chOff x="5691781" y="46384"/>
              <a:chExt cx="815253" cy="662124"/>
            </a:xfrm>
          </cdr:grpSpPr>
          <cdr:grpSp>
            <cdr:nvGrpSpPr>
              <cdr:cNvPr id="18" name="Group 17">
                <a:extLst xmlns:a="http://schemas.openxmlformats.org/drawingml/2006/main">
                  <a:ext uri="{FF2B5EF4-FFF2-40B4-BE49-F238E27FC236}">
                    <a16:creationId xmlns:a16="http://schemas.microsoft.com/office/drawing/2014/main" id="{C544A99C-445F-24C1-94D6-5BF9C678D4AD}"/>
                  </a:ext>
                </a:extLst>
              </cdr:cNvPr>
              <cdr:cNvGrpSpPr/>
            </cdr:nvGrpSpPr>
            <cdr:grpSpPr>
              <a:xfrm xmlns:a="http://schemas.openxmlformats.org/drawingml/2006/main">
                <a:off x="5691781" y="46384"/>
                <a:ext cx="815253" cy="500469"/>
                <a:chOff x="5691781" y="46384"/>
                <a:chExt cx="815253" cy="500469"/>
              </a:xfrm>
            </cdr:grpSpPr>
            <cdr:sp macro="" textlink="'Data-Vẽ-Tháng'!$E$35">
              <cdr:nvSpPr>
                <cdr:cNvPr id="20" name="TextBox 16">
                  <a:extLst xmlns:a="http://schemas.openxmlformats.org/drawingml/2006/main">
                    <a:ext uri="{FF2B5EF4-FFF2-40B4-BE49-F238E27FC236}">
                      <a16:creationId xmlns:a16="http://schemas.microsoft.com/office/drawing/2014/main" id="{1C5C5D85-C392-437F-768C-7DF1CF594C4B}"/>
                    </a:ext>
                  </a:extLst>
                </cdr:cNvPr>
                <cdr:cNvSpPr txBox="1"/>
              </cdr:nvSpPr>
              <cdr:spPr>
                <a:xfrm xmlns:a="http://schemas.openxmlformats.org/drawingml/2006/main">
                  <a:off x="5691781" y="46384"/>
                  <a:ext cx="815253" cy="21808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676FE6E-7E35-4727-874B-5237249BE4E6}" type="TxLink">
                    <a:rPr lang="en-US" sz="1300" b="1" i="0" u="none" strike="noStrike">
                      <a:solidFill>
                        <a:schemeClr val="accent4">
                          <a:lumMod val="60000"/>
                          <a:lumOff val="40000"/>
                        </a:schemeClr>
                      </a:solidFill>
                      <a:latin typeface="Aptos Narrow"/>
                      <a:ea typeface="+mn-ea"/>
                      <a:cs typeface="+mn-cs"/>
                    </a:rPr>
                    <a:pPr marL="0" indent="0" algn="ctr"/>
                    <a:t> 839 </a:t>
                  </a:fld>
                  <a:endParaRPr lang="en-US" sz="1300" b="1" i="0" u="none" strike="noStrike">
                    <a:solidFill>
                      <a:schemeClr val="accent4">
                        <a:lumMod val="60000"/>
                        <a:lumOff val="40000"/>
                      </a:schemeClr>
                    </a:solidFill>
                    <a:latin typeface="Aptos Narrow"/>
                    <a:ea typeface="+mn-ea"/>
                    <a:cs typeface="+mn-cs"/>
                  </a:endParaRPr>
                </a:p>
              </cdr:txBody>
            </cdr:sp>
            <cdr:sp macro="" textlink="'Data-Vẽ-Tháng'!$F$35">
              <cdr:nvSpPr>
                <cdr:cNvPr id="21" name="TextBox 17">
                  <a:extLst xmlns:a="http://schemas.openxmlformats.org/drawingml/2006/main">
                    <a:ext uri="{FF2B5EF4-FFF2-40B4-BE49-F238E27FC236}">
                      <a16:creationId xmlns:a16="http://schemas.microsoft.com/office/drawing/2014/main" id="{958601C7-E85E-0D31-008F-3E2CC1D118A8}"/>
                    </a:ext>
                  </a:extLst>
                </cdr:cNvPr>
                <cdr:cNvSpPr txBox="1"/>
              </cdr:nvSpPr>
              <cdr:spPr>
                <a:xfrm xmlns:a="http://schemas.openxmlformats.org/drawingml/2006/main">
                  <a:off x="5811738" y="271670"/>
                  <a:ext cx="574812" cy="27518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794510F-15E5-4A24-901D-073A4ABB0EEB}" type="TxLink">
                    <a:rPr lang="en-US" sz="1100" b="0" i="0" u="none" strike="noStrike">
                      <a:solidFill>
                        <a:schemeClr val="bg1">
                          <a:lumMod val="50000"/>
                        </a:schemeClr>
                      </a:solidFill>
                      <a:latin typeface="Aptos Narrow"/>
                      <a:ea typeface="+mn-ea"/>
                      <a:cs typeface="+mn-cs"/>
                    </a:rPr>
                    <a:pPr marL="0" indent="0" algn="ctr"/>
                    <a:t> 2,985 </a:t>
                  </a:fld>
                  <a:endParaRPr lang="en-US" sz="1100" b="0" i="0" u="none" strike="noStrike">
                    <a:solidFill>
                      <a:schemeClr val="bg1">
                        <a:lumMod val="50000"/>
                      </a:schemeClr>
                    </a:solidFill>
                    <a:latin typeface="Aptos Narrow"/>
                    <a:ea typeface="+mn-ea"/>
                    <a:cs typeface="+mn-cs"/>
                  </a:endParaRPr>
                </a:p>
              </cdr:txBody>
            </cdr:sp>
            <cdr:cxnSp macro="">
              <cdr:nvCxnSpPr>
                <cdr:cNvPr id="22" name="Straight Connector 21">
                  <a:extLst xmlns:a="http://schemas.openxmlformats.org/drawingml/2006/main">
                    <a:ext uri="{FF2B5EF4-FFF2-40B4-BE49-F238E27FC236}">
                      <a16:creationId xmlns:a16="http://schemas.microsoft.com/office/drawing/2014/main" id="{311A8B00-113E-DCC9-4202-5DA524C639B9}"/>
                    </a:ext>
                  </a:extLst>
                </cdr:cNvPr>
                <cdr:cNvCxnSpPr/>
              </cdr:nvCxnSpPr>
              <cdr:spPr>
                <a:xfrm xmlns:a="http://schemas.openxmlformats.org/drawingml/2006/main">
                  <a:off x="5811737"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19" name="TextBox 15">
                <a:extLst xmlns:a="http://schemas.openxmlformats.org/drawingml/2006/main">
                  <a:ext uri="{FF2B5EF4-FFF2-40B4-BE49-F238E27FC236}">
                    <a16:creationId xmlns:a16="http://schemas.microsoft.com/office/drawing/2014/main" id="{36AF2C74-C97D-6A0E-678F-B6375BA62A70}"/>
                  </a:ext>
                </a:extLst>
              </cdr:cNvPr>
              <cdr:cNvSpPr txBox="1"/>
            </cdr:nvSpPr>
            <cdr:spPr>
              <a:xfrm xmlns:a="http://schemas.openxmlformats.org/drawingml/2006/main">
                <a:off x="5818363"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17" name="Rectangle: Rounded Corners 16">
              <a:extLst xmlns:a="http://schemas.openxmlformats.org/drawingml/2006/main">
                <a:ext uri="{FF2B5EF4-FFF2-40B4-BE49-F238E27FC236}">
                  <a16:creationId xmlns:a16="http://schemas.microsoft.com/office/drawing/2014/main" id="{A8A62333-5D9E-C066-436D-53D9B82B69C8}"/>
                </a:ext>
              </a:extLst>
            </cdr:cNvPr>
            <cdr:cNvSpPr/>
          </cdr:nvSpPr>
          <cdr:spPr>
            <a:xfrm xmlns:a="http://schemas.openxmlformats.org/drawingml/2006/main">
              <a:off x="5745476" y="1"/>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relSizeAnchor>
  <cdr:relSizeAnchor xmlns:cdr="http://schemas.openxmlformats.org/drawingml/2006/chartDrawing">
    <cdr:from>
      <cdr:x>0.54777</cdr:x>
      <cdr:y>0.37156</cdr:y>
    </cdr:from>
    <cdr:to>
      <cdr:x>0.56828</cdr:x>
      <cdr:y>0.40892</cdr:y>
    </cdr:to>
    <cdr:sp macro="" textlink="">
      <cdr:nvSpPr>
        <cdr:cNvPr id="65" name="TextBox 1">
          <a:extLst xmlns:a="http://schemas.openxmlformats.org/drawingml/2006/main">
            <a:ext uri="{FF2B5EF4-FFF2-40B4-BE49-F238E27FC236}">
              <a16:creationId xmlns:a16="http://schemas.microsoft.com/office/drawing/2014/main" id="{4657AD8E-A309-BD4B-7F47-7B522B5E33E5}"/>
            </a:ext>
          </a:extLst>
        </cdr:cNvPr>
        <cdr:cNvSpPr txBox="1"/>
      </cdr:nvSpPr>
      <cdr:spPr>
        <a:xfrm xmlns:a="http://schemas.openxmlformats.org/drawingml/2006/main">
          <a:off x="8554651" y="2698015"/>
          <a:ext cx="320310" cy="27128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i="1">
              <a:solidFill>
                <a:schemeClr val="tx1">
                  <a:lumMod val="75000"/>
                  <a:lumOff val="25000"/>
                </a:schemeClr>
              </a:solidFill>
            </a:rPr>
            <a:t>(*)</a:t>
          </a:r>
        </a:p>
      </cdr:txBody>
    </cdr:sp>
  </cdr:relSizeAnchor>
  <cdr:relSizeAnchor xmlns:cdr="http://schemas.openxmlformats.org/drawingml/2006/chartDrawing">
    <cdr:from>
      <cdr:x>0.78843</cdr:x>
      <cdr:y>0.92303</cdr:y>
    </cdr:from>
    <cdr:to>
      <cdr:x>0.97992</cdr:x>
      <cdr:y>0.99888</cdr:y>
    </cdr:to>
    <cdr:sp macro="" textlink="">
      <cdr:nvSpPr>
        <cdr:cNvPr id="8" name="TextBox 1">
          <a:extLst xmlns:a="http://schemas.openxmlformats.org/drawingml/2006/main">
            <a:ext uri="{FF2B5EF4-FFF2-40B4-BE49-F238E27FC236}">
              <a16:creationId xmlns:a16="http://schemas.microsoft.com/office/drawing/2014/main" id="{BDF435A2-4B40-3D10-63AA-AE0F0BAD341D}"/>
            </a:ext>
          </a:extLst>
        </cdr:cNvPr>
        <cdr:cNvSpPr txBox="1"/>
      </cdr:nvSpPr>
      <cdr:spPr>
        <a:xfrm xmlns:a="http://schemas.openxmlformats.org/drawingml/2006/main">
          <a:off x="12431059" y="6559176"/>
          <a:ext cx="3019213" cy="5389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i="1">
              <a:solidFill>
                <a:schemeClr val="tx1">
                  <a:lumMod val="75000"/>
                  <a:lumOff val="25000"/>
                </a:schemeClr>
              </a:solidFill>
              <a:latin typeface="Aptos Narrow" panose="020B0004020202020204" pitchFamily="34" charset="0"/>
            </a:rPr>
            <a:t>(*): Ô</a:t>
          </a:r>
          <a:r>
            <a:rPr lang="en-US" sz="1100" i="1" baseline="0">
              <a:solidFill>
                <a:schemeClr val="tx1">
                  <a:lumMod val="75000"/>
                  <a:lumOff val="25000"/>
                </a:schemeClr>
              </a:solidFill>
              <a:latin typeface="Aptos Narrow" panose="020B0004020202020204" pitchFamily="34" charset="0"/>
            </a:rPr>
            <a:t> đang trình bày:</a:t>
          </a:r>
        </a:p>
        <a:p xmlns:a="http://schemas.openxmlformats.org/drawingml/2006/main">
          <a:r>
            <a:rPr lang="en-US" sz="1100" i="1" baseline="0">
              <a:solidFill>
                <a:schemeClr val="tx1">
                  <a:lumMod val="75000"/>
                  <a:lumOff val="25000"/>
                </a:schemeClr>
              </a:solidFill>
              <a:latin typeface="Aptos Narrow" panose="020B0004020202020204" pitchFamily="34" charset="0"/>
            </a:rPr>
            <a:t>- Phía trên: giá trị tuyệt đối khoản mục thực tế</a:t>
          </a:r>
        </a:p>
        <a:p xmlns:a="http://schemas.openxmlformats.org/drawingml/2006/main">
          <a:r>
            <a:rPr lang="en-US" sz="1100" i="1" baseline="0">
              <a:solidFill>
                <a:schemeClr val="tx1">
                  <a:lumMod val="75000"/>
                  <a:lumOff val="25000"/>
                </a:schemeClr>
              </a:solidFill>
              <a:latin typeface="Aptos Narrow" panose="020B0004020202020204" pitchFamily="34" charset="0"/>
            </a:rPr>
            <a:t>- Phía dưới: giá trị tuyệt đối khoản mục kế hoạch</a:t>
          </a:r>
          <a:endParaRPr lang="en-US" sz="1100" i="1">
            <a:solidFill>
              <a:schemeClr val="tx1">
                <a:lumMod val="75000"/>
                <a:lumOff val="25000"/>
              </a:schemeClr>
            </a:solidFill>
            <a:latin typeface="Aptos Narrow" panose="020B0004020202020204" pitchFamily="34" charset="0"/>
          </a:endParaRPr>
        </a:p>
      </cdr:txBody>
    </cdr:sp>
  </cdr:relSizeAnchor>
</c:userShapes>
</file>

<file path=xl/drawings/drawing10.xml><?xml version="1.0" encoding="utf-8"?>
<xdr:wsDr xmlns:xdr="http://schemas.openxmlformats.org/drawingml/2006/spreadsheetDrawing" xmlns:a="http://schemas.openxmlformats.org/drawingml/2006/main">
  <xdr:twoCellAnchor editAs="oneCell">
    <xdr:from>
      <xdr:col>0</xdr:col>
      <xdr:colOff>278354</xdr:colOff>
      <xdr:row>0</xdr:row>
      <xdr:rowOff>10419</xdr:rowOff>
    </xdr:from>
    <xdr:to>
      <xdr:col>8</xdr:col>
      <xdr:colOff>129876</xdr:colOff>
      <xdr:row>41</xdr:row>
      <xdr:rowOff>29424</xdr:rowOff>
    </xdr:to>
    <xdr:graphicFrame macro="">
      <xdr:nvGraphicFramePr>
        <xdr:cNvPr id="2" name="Chart 1">
          <a:extLst>
            <a:ext uri="{FF2B5EF4-FFF2-40B4-BE49-F238E27FC236}">
              <a16:creationId xmlns:a16="http://schemas.microsoft.com/office/drawing/2014/main" id="{1AB83F96-2D77-4F39-A021-47144D313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0.0644</cdr:x>
      <cdr:y>0.56834</cdr:y>
    </cdr:from>
    <cdr:to>
      <cdr:x>0.4663</cdr:x>
      <cdr:y>0.79018</cdr:y>
    </cdr:to>
    <cdr:sp macro="" textlink="">
      <cdr:nvSpPr>
        <cdr:cNvPr id="2" name="Arrow: Left-Right 1">
          <a:extLst xmlns:a="http://schemas.openxmlformats.org/drawingml/2006/main">
            <a:ext uri="{FF2B5EF4-FFF2-40B4-BE49-F238E27FC236}">
              <a16:creationId xmlns:a16="http://schemas.microsoft.com/office/drawing/2014/main" id="{0DADA0CB-A4B6-D3A8-4432-FD71ACE10DDF}"/>
            </a:ext>
          </a:extLst>
        </cdr:cNvPr>
        <cdr:cNvSpPr/>
      </cdr:nvSpPr>
      <cdr:spPr>
        <a:xfrm xmlns:a="http://schemas.openxmlformats.org/drawingml/2006/main">
          <a:off x="1016022" y="4033216"/>
          <a:ext cx="6340639" cy="1574284"/>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chemeClr val="accent6">
                  <a:lumMod val="50000"/>
                </a:schemeClr>
              </a:solidFill>
            </a:rPr>
            <a:t>Tổng</a:t>
          </a:r>
          <a:r>
            <a:rPr lang="en-US" sz="2000" b="1" baseline="0">
              <a:solidFill>
                <a:schemeClr val="accent6">
                  <a:lumMod val="50000"/>
                </a:schemeClr>
              </a:solidFill>
            </a:rPr>
            <a:t> biến phí giảm: </a:t>
          </a:r>
          <a:r>
            <a:rPr lang="en-US" sz="2300" b="1" baseline="0">
              <a:solidFill>
                <a:schemeClr val="accent6">
                  <a:lumMod val="50000"/>
                </a:schemeClr>
              </a:solidFill>
            </a:rPr>
            <a:t>0.3</a:t>
          </a:r>
          <a:r>
            <a:rPr lang="en-US" sz="2000" b="1" baseline="0">
              <a:solidFill>
                <a:schemeClr val="accent6">
                  <a:lumMod val="50000"/>
                </a:schemeClr>
              </a:solidFill>
            </a:rPr>
            <a:t> triệu/tấn </a:t>
          </a:r>
          <a:r>
            <a:rPr lang="en-US" sz="2000" b="1" i="1" baseline="0">
              <a:solidFill>
                <a:schemeClr val="accent6">
                  <a:lumMod val="50000"/>
                </a:schemeClr>
              </a:solidFill>
            </a:rPr>
            <a:t>(-1.3%)</a:t>
          </a:r>
          <a:endParaRPr lang="en-US" sz="2000" b="1" baseline="0">
            <a:solidFill>
              <a:schemeClr val="accent6">
                <a:lumMod val="50000"/>
              </a:schemeClr>
            </a:solidFill>
          </a:endParaRPr>
        </a:p>
        <a:p xmlns:a="http://schemas.openxmlformats.org/drawingml/2006/main">
          <a:pPr algn="ctr"/>
          <a:r>
            <a:rPr lang="en-US" sz="1500" b="0" i="1" baseline="0">
              <a:solidFill>
                <a:schemeClr val="accent6">
                  <a:lumMod val="50000"/>
                </a:schemeClr>
              </a:solidFill>
            </a:rPr>
            <a:t>(từ 22.25 triệu/tấn xuống 21.95 triệu/tấn)</a:t>
          </a:r>
          <a:endParaRPr lang="en-US" sz="1500" b="0" i="1">
            <a:solidFill>
              <a:schemeClr val="accent6">
                <a:lumMod val="50000"/>
              </a:schemeClr>
            </a:solidFill>
          </a:endParaRPr>
        </a:p>
      </cdr:txBody>
    </cdr:sp>
  </cdr:relSizeAnchor>
  <cdr:relSizeAnchor xmlns:cdr="http://schemas.openxmlformats.org/drawingml/2006/chartDrawing">
    <cdr:from>
      <cdr:x>0.53268</cdr:x>
      <cdr:y>0.54016</cdr:y>
    </cdr:from>
    <cdr:to>
      <cdr:x>0.92887</cdr:x>
      <cdr:y>0.77452</cdr:y>
    </cdr:to>
    <cdr:sp macro="" textlink="">
      <cdr:nvSpPr>
        <cdr:cNvPr id="3" name="Arrow: Left-Right 2">
          <a:extLst xmlns:a="http://schemas.openxmlformats.org/drawingml/2006/main">
            <a:ext uri="{FF2B5EF4-FFF2-40B4-BE49-F238E27FC236}">
              <a16:creationId xmlns:a16="http://schemas.microsoft.com/office/drawing/2014/main" id="{0277A517-247E-0F75-A5E8-DCBED70AC6AD}"/>
            </a:ext>
          </a:extLst>
        </cdr:cNvPr>
        <cdr:cNvSpPr/>
      </cdr:nvSpPr>
      <cdr:spPr>
        <a:xfrm xmlns:a="http://schemas.openxmlformats.org/drawingml/2006/main">
          <a:off x="8392085" y="3835295"/>
          <a:ext cx="6241658" cy="1664025"/>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chemeClr val="accent6">
                  <a:lumMod val="50000"/>
                </a:schemeClr>
              </a:solidFill>
            </a:rPr>
            <a:t>Tổng</a:t>
          </a:r>
          <a:r>
            <a:rPr lang="en-US" sz="2000" b="1" baseline="0">
              <a:solidFill>
                <a:schemeClr val="accent6">
                  <a:lumMod val="50000"/>
                </a:schemeClr>
              </a:solidFill>
            </a:rPr>
            <a:t> định phí giảm: </a:t>
          </a:r>
          <a:r>
            <a:rPr lang="en-US" sz="2300" b="1" baseline="0">
              <a:solidFill>
                <a:schemeClr val="accent6">
                  <a:lumMod val="50000"/>
                </a:schemeClr>
              </a:solidFill>
            </a:rPr>
            <a:t>0.6</a:t>
          </a:r>
          <a:r>
            <a:rPr lang="en-US" sz="2000" b="1" baseline="0">
              <a:solidFill>
                <a:schemeClr val="accent6">
                  <a:lumMod val="50000"/>
                </a:schemeClr>
              </a:solidFill>
            </a:rPr>
            <a:t> triệu/tấn</a:t>
          </a:r>
        </a:p>
        <a:p xmlns:a="http://schemas.openxmlformats.org/drawingml/2006/main">
          <a:pPr algn="ctr"/>
          <a:r>
            <a:rPr lang="en-US" sz="1500" b="0" i="1" baseline="0">
              <a:solidFill>
                <a:schemeClr val="accent6">
                  <a:lumMod val="50000"/>
                </a:schemeClr>
              </a:solidFill>
            </a:rPr>
            <a:t>(tổng định phí thực tế là 28.2 tỷ; KH là 30.2 tỷ)</a:t>
          </a:r>
        </a:p>
      </cdr:txBody>
    </cdr:sp>
  </cdr:relSizeAnchor>
  <cdr:relSizeAnchor xmlns:cdr="http://schemas.openxmlformats.org/drawingml/2006/chartDrawing">
    <cdr:from>
      <cdr:x>0</cdr:x>
      <cdr:y>0.10566</cdr:y>
    </cdr:from>
    <cdr:to>
      <cdr:x>0.07896</cdr:x>
      <cdr:y>0.16222</cdr:y>
    </cdr:to>
    <cdr:sp macro="" textlink="">
      <cdr:nvSpPr>
        <cdr:cNvPr id="4" name="TextBox 3">
          <a:extLst xmlns:a="http://schemas.openxmlformats.org/drawingml/2006/main">
            <a:ext uri="{FF2B5EF4-FFF2-40B4-BE49-F238E27FC236}">
              <a16:creationId xmlns:a16="http://schemas.microsoft.com/office/drawing/2014/main" id="{1DB20900-54D0-6E7C-901E-A130D498FDE5}"/>
            </a:ext>
          </a:extLst>
        </cdr:cNvPr>
        <cdr:cNvSpPr txBox="1"/>
      </cdr:nvSpPr>
      <cdr:spPr>
        <a:xfrm xmlns:a="http://schemas.openxmlformats.org/drawingml/2006/main">
          <a:off x="0" y="486321"/>
          <a:ext cx="986028" cy="2603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300" i="1"/>
            <a:t>Đvt:</a:t>
          </a:r>
          <a:r>
            <a:rPr lang="en-US" sz="1300" i="1" baseline="0"/>
            <a:t> triệu đồng/tấn</a:t>
          </a:r>
          <a:endParaRPr lang="en-US" sz="1300" i="1"/>
        </a:p>
      </cdr:txBody>
    </cdr:sp>
  </cdr:relSizeAnchor>
  <cdr:relSizeAnchor xmlns:cdr="http://schemas.openxmlformats.org/drawingml/2006/chartDrawing">
    <cdr:from>
      <cdr:x>0.91296</cdr:x>
      <cdr:y>0.12591</cdr:y>
    </cdr:from>
    <cdr:to>
      <cdr:x>0.99192</cdr:x>
      <cdr:y>0.20623</cdr:y>
    </cdr:to>
    <cdr:sp macro="" textlink="">
      <cdr:nvSpPr>
        <cdr:cNvPr id="5" name="TextBox 4">
          <a:extLst xmlns:a="http://schemas.openxmlformats.org/drawingml/2006/main">
            <a:ext uri="{FF2B5EF4-FFF2-40B4-BE49-F238E27FC236}">
              <a16:creationId xmlns:a16="http://schemas.microsoft.com/office/drawing/2014/main" id="{FC3DE202-66B9-BD32-3556-4B254E7B4240}"/>
            </a:ext>
          </a:extLst>
        </cdr:cNvPr>
        <cdr:cNvSpPr txBox="1"/>
      </cdr:nvSpPr>
      <cdr:spPr>
        <a:xfrm xmlns:a="http://schemas.openxmlformats.org/drawingml/2006/main">
          <a:off x="14400486" y="911833"/>
          <a:ext cx="1245468" cy="58168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500" b="1" baseline="0">
              <a:solidFill>
                <a:srgbClr val="FF0000"/>
              </a:solidFill>
              <a:latin typeface="Aptos Narrow (Body)"/>
            </a:rPr>
            <a:t>+0.88 </a:t>
          </a:r>
          <a:r>
            <a:rPr lang="en-US" sz="1300" b="1" baseline="0">
              <a:solidFill>
                <a:srgbClr val="FF0000"/>
              </a:solidFill>
              <a:latin typeface="Aptos Narrow (Body)"/>
            </a:rPr>
            <a:t>triệu đồng/tấn</a:t>
          </a:r>
        </a:p>
        <a:p xmlns:a="http://schemas.openxmlformats.org/drawingml/2006/main">
          <a:pPr algn="ctr"/>
          <a:r>
            <a:rPr lang="en-US" sz="1300" b="0" i="1" baseline="0">
              <a:solidFill>
                <a:srgbClr val="FF0000"/>
              </a:solidFill>
              <a:latin typeface="Aptos Narrow (Body)"/>
            </a:rPr>
            <a:t>(+3.0%)</a:t>
          </a:r>
          <a:endParaRPr lang="en-US" sz="1300" b="0" i="1">
            <a:solidFill>
              <a:srgbClr val="FF0000"/>
            </a:solidFill>
            <a:latin typeface="Aptos Narrow (Body)"/>
          </a:endParaRPr>
        </a:p>
      </cdr:txBody>
    </cdr:sp>
  </cdr:relSizeAnchor>
  <cdr:relSizeAnchor xmlns:cdr="http://schemas.openxmlformats.org/drawingml/2006/chartDrawing">
    <cdr:from>
      <cdr:x>0.46841</cdr:x>
      <cdr:y>0.39541</cdr:y>
    </cdr:from>
    <cdr:to>
      <cdr:x>0.53021</cdr:x>
      <cdr:y>0.60859</cdr:y>
    </cdr:to>
    <cdr:sp macro="" textlink="">
      <cdr:nvSpPr>
        <cdr:cNvPr id="7" name="Rectangle: Rounded Corners 6">
          <a:extLst xmlns:a="http://schemas.openxmlformats.org/drawingml/2006/main">
            <a:ext uri="{FF2B5EF4-FFF2-40B4-BE49-F238E27FC236}">
              <a16:creationId xmlns:a16="http://schemas.microsoft.com/office/drawing/2014/main" id="{E5E50293-A90A-518B-5278-BB2FAC1DBF88}"/>
            </a:ext>
          </a:extLst>
        </cdr:cNvPr>
        <cdr:cNvSpPr/>
      </cdr:nvSpPr>
      <cdr:spPr>
        <a:xfrm xmlns:a="http://schemas.openxmlformats.org/drawingml/2006/main">
          <a:off x="7398811" y="2806021"/>
          <a:ext cx="976168" cy="1512839"/>
        </a:xfrm>
        <a:prstGeom xmlns:a="http://schemas.openxmlformats.org/drawingml/2006/main" prst="roundRect">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100" b="1" baseline="0">
              <a:solidFill>
                <a:srgbClr val="FF0000"/>
              </a:solidFill>
              <a:effectLst/>
              <a:latin typeface="+mn-lt"/>
              <a:ea typeface="+mn-ea"/>
              <a:cs typeface="+mn-cs"/>
            </a:rPr>
            <a:t>Giảm từ:</a:t>
          </a:r>
          <a:endParaRPr lang="en-US" b="1">
            <a:solidFill>
              <a:srgbClr val="FF0000"/>
            </a:solidFill>
            <a:effectLst/>
          </a:endParaRPr>
        </a:p>
        <a:p xmlns:a="http://schemas.openxmlformats.org/drawingml/2006/main">
          <a:pPr algn="ctr"/>
          <a:r>
            <a:rPr lang="en-US" sz="1300" b="1" baseline="0">
              <a:solidFill>
                <a:srgbClr val="FF0000"/>
              </a:solidFill>
              <a:effectLst/>
              <a:latin typeface="+mn-lt"/>
              <a:ea typeface="+mn-ea"/>
              <a:cs typeface="+mn-cs"/>
            </a:rPr>
            <a:t>4,279 </a:t>
          </a:r>
          <a:r>
            <a:rPr lang="en-US" sz="1100" baseline="0">
              <a:solidFill>
                <a:srgbClr val="FF0000"/>
              </a:solidFill>
              <a:effectLst/>
              <a:latin typeface="+mn-lt"/>
              <a:ea typeface="+mn-ea"/>
              <a:cs typeface="+mn-cs"/>
            </a:rPr>
            <a:t>tấn </a:t>
          </a:r>
          <a:r>
            <a:rPr lang="en-US" sz="1100" baseline="0">
              <a:solidFill>
                <a:srgbClr val="FF0000"/>
              </a:solidFill>
              <a:effectLst/>
              <a:latin typeface="Aptos Narrow" panose="020B0004020202020204" pitchFamily="34" charset="0"/>
              <a:ea typeface="+mn-ea"/>
              <a:cs typeface="+mn-cs"/>
            </a:rPr>
            <a:t>→</a:t>
          </a:r>
          <a:r>
            <a:rPr lang="en-US" sz="1100" baseline="0">
              <a:solidFill>
                <a:srgbClr val="FF0000"/>
              </a:solidFill>
              <a:effectLst/>
              <a:latin typeface="+mn-lt"/>
              <a:ea typeface="+mn-ea"/>
              <a:cs typeface="+mn-cs"/>
            </a:rPr>
            <a:t> </a:t>
          </a:r>
          <a:r>
            <a:rPr lang="en-US" sz="1500" b="1" baseline="0">
              <a:solidFill>
                <a:srgbClr val="FF0000"/>
              </a:solidFill>
              <a:effectLst/>
              <a:latin typeface="Aptos Narrow" panose="020B0004020202020204" pitchFamily="34" charset="0"/>
              <a:ea typeface="+mn-ea"/>
              <a:cs typeface="+mn-cs"/>
            </a:rPr>
            <a:t>3,427 </a:t>
          </a:r>
          <a:r>
            <a:rPr lang="en-US" sz="1100" baseline="0">
              <a:solidFill>
                <a:srgbClr val="FF0000"/>
              </a:solidFill>
              <a:effectLst/>
              <a:latin typeface="+mn-lt"/>
              <a:ea typeface="+mn-ea"/>
              <a:cs typeface="+mn-cs"/>
            </a:rPr>
            <a:t>tấn</a:t>
          </a:r>
          <a:endParaRPr lang="vi-VN" sz="1100" baseline="0">
            <a:solidFill>
              <a:srgbClr val="FF0000"/>
            </a:solidFill>
            <a:effectLst/>
            <a:latin typeface="+mn-lt"/>
            <a:ea typeface="+mn-ea"/>
            <a:cs typeface="+mn-cs"/>
          </a:endParaRPr>
        </a:p>
        <a:p xmlns:a="http://schemas.openxmlformats.org/drawingml/2006/main">
          <a:pPr algn="ctr"/>
          <a:endParaRPr lang="en-US">
            <a:solidFill>
              <a:srgbClr val="FF0000"/>
            </a:solidFill>
            <a:effectLst/>
          </a:endParaRPr>
        </a:p>
        <a:p xmlns:a="http://schemas.openxmlformats.org/drawingml/2006/main">
          <a:pPr algn="ctr"/>
          <a:r>
            <a:rPr lang="en-US" sz="1100" i="1" baseline="0">
              <a:solidFill>
                <a:srgbClr val="FF0000"/>
              </a:solidFill>
              <a:effectLst/>
              <a:latin typeface="+mn-lt"/>
              <a:ea typeface="+mn-ea"/>
              <a:cs typeface="+mn-cs"/>
            </a:rPr>
            <a:t>(-852 tấn ~ </a:t>
          </a:r>
        </a:p>
        <a:p xmlns:a="http://schemas.openxmlformats.org/drawingml/2006/main">
          <a:pPr algn="ctr"/>
          <a:r>
            <a:rPr lang="en-US" sz="1100" i="1" baseline="0">
              <a:solidFill>
                <a:srgbClr val="FF0000"/>
              </a:solidFill>
              <a:effectLst/>
              <a:latin typeface="+mn-lt"/>
              <a:ea typeface="+mn-ea"/>
              <a:cs typeface="+mn-cs"/>
            </a:rPr>
            <a:t>-20%)</a:t>
          </a:r>
          <a:endParaRPr lang="en-US" i="1">
            <a:solidFill>
              <a:srgbClr val="FF0000"/>
            </a:solidFill>
            <a:effectLst/>
          </a:endParaRPr>
        </a:p>
      </cdr:txBody>
    </cdr:sp>
  </cdr:relSizeAnchor>
  <cdr:relSizeAnchor xmlns:cdr="http://schemas.openxmlformats.org/drawingml/2006/chartDrawing">
    <cdr:from>
      <cdr:x>0.06108</cdr:x>
      <cdr:y>0.37847</cdr:y>
    </cdr:from>
    <cdr:to>
      <cdr:x>0.23724</cdr:x>
      <cdr:y>0.51094</cdr:y>
    </cdr:to>
    <cdr:sp macro="" textlink="">
      <cdr:nvSpPr>
        <cdr:cNvPr id="8" name="Rectangle: Rounded Corners 7">
          <a:extLst xmlns:a="http://schemas.openxmlformats.org/drawingml/2006/main">
            <a:ext uri="{FF2B5EF4-FFF2-40B4-BE49-F238E27FC236}">
              <a16:creationId xmlns:a16="http://schemas.microsoft.com/office/drawing/2014/main" id="{BB49A597-2A7F-7273-8F8C-50850F0BC80A}"/>
            </a:ext>
          </a:extLst>
        </cdr:cNvPr>
        <cdr:cNvSpPr/>
      </cdr:nvSpPr>
      <cdr:spPr>
        <a:xfrm xmlns:a="http://schemas.openxmlformats.org/drawingml/2006/main">
          <a:off x="937184" y="2851930"/>
          <a:ext cx="2702935" cy="998188"/>
        </a:xfrm>
        <a:prstGeom xmlns:a="http://schemas.openxmlformats.org/drawingml/2006/main" prst="roundRect">
          <a:avLst/>
        </a:prstGeom>
        <a:noFill xmlns:a="http://schemas.openxmlformats.org/drawingml/2006/main"/>
        <a:ln xmlns:a="http://schemas.openxmlformats.org/drawingml/2006/main">
          <a:solidFill>
            <a:schemeClr val="bg1">
              <a:lumMod val="75000"/>
            </a:schemeClr>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300" b="1" i="0">
              <a:solidFill>
                <a:schemeClr val="accent3">
                  <a:lumMod val="50000"/>
                </a:schemeClr>
              </a:solidFill>
            </a:rPr>
            <a:t>Nguyên</a:t>
          </a:r>
          <a:r>
            <a:rPr lang="en-US" sz="1300" b="1" i="0" baseline="0">
              <a:solidFill>
                <a:schemeClr val="accent3">
                  <a:lumMod val="50000"/>
                </a:schemeClr>
              </a:solidFill>
            </a:rPr>
            <a:t> liệu nhựa: giảm</a:t>
          </a:r>
          <a:r>
            <a:rPr lang="en-US" sz="1300" b="0" i="0" baseline="0">
              <a:solidFill>
                <a:schemeClr val="accent3">
                  <a:lumMod val="50000"/>
                </a:schemeClr>
              </a:solidFill>
            </a:rPr>
            <a:t> </a:t>
          </a:r>
        </a:p>
        <a:p xmlns:a="http://schemas.openxmlformats.org/drawingml/2006/main">
          <a:pPr algn="ctr"/>
          <a:r>
            <a:rPr lang="en-US" sz="1300" b="0" i="0" baseline="0">
              <a:solidFill>
                <a:schemeClr val="accent3">
                  <a:lumMod val="50000"/>
                </a:schemeClr>
              </a:solidFill>
            </a:rPr>
            <a:t>từ 19.5 </a:t>
          </a:r>
          <a:r>
            <a:rPr lang="en-US" sz="1300" b="0" i="0" baseline="0">
              <a:solidFill>
                <a:schemeClr val="accent3">
                  <a:lumMod val="50000"/>
                </a:schemeClr>
              </a:solidFill>
              <a:latin typeface="Aptos Narrow" panose="020B0004020202020204" pitchFamily="34" charset="0"/>
            </a:rPr>
            <a:t>→</a:t>
          </a:r>
          <a:r>
            <a:rPr lang="en-US" sz="1300" b="0" i="0" baseline="0">
              <a:solidFill>
                <a:schemeClr val="accent3">
                  <a:lumMod val="50000"/>
                </a:schemeClr>
              </a:solidFill>
            </a:rPr>
            <a:t> 19.3 triệu/tấn</a:t>
          </a:r>
        </a:p>
        <a:p xmlns:a="http://schemas.openxmlformats.org/drawingml/2006/main">
          <a:pPr algn="ctr"/>
          <a:r>
            <a:rPr lang="en-US" sz="1300" b="0" i="0" baseline="0">
              <a:solidFill>
                <a:schemeClr val="accent3">
                  <a:lumMod val="50000"/>
                </a:schemeClr>
              </a:solidFill>
            </a:rPr>
            <a:t>(</a:t>
          </a:r>
          <a:r>
            <a:rPr lang="en-US" sz="1300" b="1" i="0" baseline="0">
              <a:solidFill>
                <a:schemeClr val="accent3">
                  <a:lumMod val="50000"/>
                </a:schemeClr>
              </a:solidFill>
            </a:rPr>
            <a:t>-</a:t>
          </a:r>
          <a:r>
            <a:rPr lang="en-US" sz="1300" b="1" i="1" baseline="0">
              <a:solidFill>
                <a:schemeClr val="accent3">
                  <a:lumMod val="50000"/>
                </a:schemeClr>
              </a:solidFill>
            </a:rPr>
            <a:t> 0.2 triệu/tấn </a:t>
          </a:r>
          <a:r>
            <a:rPr lang="en-US" sz="1300" b="0" i="1" baseline="0">
              <a:solidFill>
                <a:schemeClr val="accent3">
                  <a:lumMod val="50000"/>
                </a:schemeClr>
              </a:solidFill>
            </a:rPr>
            <a:t>~ - 1.0%) </a:t>
          </a:r>
          <a:endParaRPr lang="en-US" sz="1300" b="0" i="1">
            <a:solidFill>
              <a:schemeClr val="accent3">
                <a:lumMod val="50000"/>
              </a:schemeClr>
            </a:solidFill>
          </a:endParaRPr>
        </a:p>
      </cdr:txBody>
    </cdr:sp>
  </cdr:relSizeAnchor>
  <cdr:relSizeAnchor xmlns:cdr="http://schemas.openxmlformats.org/drawingml/2006/chartDrawing">
    <cdr:from>
      <cdr:x>0.06127</cdr:x>
      <cdr:y>0.14465</cdr:y>
    </cdr:from>
    <cdr:to>
      <cdr:x>0.17391</cdr:x>
      <cdr:y>0.22178</cdr:y>
    </cdr:to>
    <cdr:sp macro="" textlink="">
      <cdr:nvSpPr>
        <cdr:cNvPr id="11" name="Speech Bubble: Rectangle with Corners Rounded 10">
          <a:extLst xmlns:a="http://schemas.openxmlformats.org/drawingml/2006/main">
            <a:ext uri="{FF2B5EF4-FFF2-40B4-BE49-F238E27FC236}">
              <a16:creationId xmlns:a16="http://schemas.microsoft.com/office/drawing/2014/main" id="{E0CF2E7D-69EE-C2E8-2E03-A0DCB3B6B627}"/>
            </a:ext>
          </a:extLst>
        </cdr:cNvPr>
        <cdr:cNvSpPr/>
      </cdr:nvSpPr>
      <cdr:spPr>
        <a:xfrm xmlns:a="http://schemas.openxmlformats.org/drawingml/2006/main">
          <a:off x="940446" y="1132548"/>
          <a:ext cx="1728940" cy="603889"/>
        </a:xfrm>
        <a:prstGeom xmlns:a="http://schemas.openxmlformats.org/drawingml/2006/main" prst="wedgeRoundRectCallout">
          <a:avLst>
            <a:gd name="adj1" fmla="val 25504"/>
            <a:gd name="adj2" fmla="val 82484"/>
            <a:gd name="adj3" fmla="val 16667"/>
          </a:avLst>
        </a:prstGeom>
        <a:noFill xmlns:a="http://schemas.openxmlformats.org/drawingml/2006/main"/>
        <a:ln xmlns:a="http://schemas.openxmlformats.org/drawingml/2006/main" w="12700">
          <a:solidFill>
            <a:schemeClr val="tx1">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300">
              <a:solidFill>
                <a:sysClr val="windowText" lastClr="000000"/>
              </a:solidFill>
            </a:rPr>
            <a:t>Hao hụt PET tăng từ 15.8% lên 25.0%</a:t>
          </a:r>
        </a:p>
      </cdr:txBody>
    </cdr:sp>
  </cdr:relSizeAnchor>
  <cdr:relSizeAnchor xmlns:cdr="http://schemas.openxmlformats.org/drawingml/2006/chartDrawing">
    <cdr:from>
      <cdr:x>0.75233</cdr:x>
      <cdr:y>0.91127</cdr:y>
    </cdr:from>
    <cdr:to>
      <cdr:x>1</cdr:x>
      <cdr:y>1</cdr:y>
    </cdr:to>
    <cdr:sp macro="" textlink="">
      <cdr:nvSpPr>
        <cdr:cNvPr id="6" name="TextBox 1">
          <a:extLst xmlns:a="http://schemas.openxmlformats.org/drawingml/2006/main">
            <a:ext uri="{FF2B5EF4-FFF2-40B4-BE49-F238E27FC236}">
              <a16:creationId xmlns:a16="http://schemas.microsoft.com/office/drawing/2014/main" id="{21576B07-EE76-F82D-6232-C576CBB5747E}"/>
            </a:ext>
          </a:extLst>
        </cdr:cNvPr>
        <cdr:cNvSpPr txBox="1"/>
      </cdr:nvSpPr>
      <cdr:spPr>
        <a:xfrm xmlns:a="http://schemas.openxmlformats.org/drawingml/2006/main">
          <a:off x="11852463" y="6470285"/>
          <a:ext cx="3901887" cy="6300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i="1">
              <a:solidFill>
                <a:schemeClr val="tx1">
                  <a:lumMod val="75000"/>
                  <a:lumOff val="25000"/>
                </a:schemeClr>
              </a:solidFill>
            </a:rPr>
            <a:t>(*): Ghi chú</a:t>
          </a:r>
        </a:p>
        <a:p xmlns:a="http://schemas.openxmlformats.org/drawingml/2006/main">
          <a:r>
            <a:rPr lang="en-US" sz="1100" i="1" baseline="0">
              <a:solidFill>
                <a:schemeClr val="tx1">
                  <a:lumMod val="75000"/>
                  <a:lumOff val="25000"/>
                </a:schemeClr>
              </a:solidFill>
            </a:rPr>
            <a:t>- Số liệu phía trên: giá trị tuyệt đối khoản mục của BQ Thực tế</a:t>
          </a:r>
        </a:p>
        <a:p xmlns:a="http://schemas.openxmlformats.org/drawingml/2006/main">
          <a:r>
            <a:rPr lang="en-US" sz="1100" i="1" baseline="0">
              <a:solidFill>
                <a:schemeClr val="tx1">
                  <a:lumMod val="75000"/>
                  <a:lumOff val="25000"/>
                </a:schemeClr>
              </a:solidFill>
            </a:rPr>
            <a:t>- Số liệu phía dưới: giá trị tuyệt đối khoản mục của BQ Kế hoạch</a:t>
          </a:r>
          <a:endParaRPr lang="en-US" sz="1100" i="1">
            <a:solidFill>
              <a:schemeClr val="tx1">
                <a:lumMod val="75000"/>
                <a:lumOff val="25000"/>
              </a:schemeClr>
            </a:solidFill>
          </a:endParaRPr>
        </a:p>
      </cdr:txBody>
    </cdr:sp>
  </cdr:relSizeAnchor>
  <cdr:relSizeAnchor xmlns:cdr="http://schemas.openxmlformats.org/drawingml/2006/chartDrawing">
    <cdr:from>
      <cdr:x>0.53492</cdr:x>
      <cdr:y>0.34385</cdr:y>
    </cdr:from>
    <cdr:to>
      <cdr:x>0.92632</cdr:x>
      <cdr:y>0.44964</cdr:y>
    </cdr:to>
    <cdr:grpSp>
      <cdr:nvGrpSpPr>
        <cdr:cNvPr id="68" name="Group 67">
          <a:extLst xmlns:a="http://schemas.openxmlformats.org/drawingml/2006/main">
            <a:ext uri="{FF2B5EF4-FFF2-40B4-BE49-F238E27FC236}">
              <a16:creationId xmlns:a16="http://schemas.microsoft.com/office/drawing/2014/main" id="{9F075F93-0CE8-062C-3F01-26EB5CDE7DB5}"/>
            </a:ext>
          </a:extLst>
        </cdr:cNvPr>
        <cdr:cNvGrpSpPr/>
      </cdr:nvGrpSpPr>
      <cdr:grpSpPr>
        <a:xfrm xmlns:a="http://schemas.openxmlformats.org/drawingml/2006/main">
          <a:off x="8596826" y="2564288"/>
          <a:ext cx="6290281" cy="788936"/>
          <a:chOff x="8440620" y="2787103"/>
          <a:chExt cx="6167560" cy="751140"/>
        </a:xfrm>
      </cdr:grpSpPr>
      <cdr:grpSp>
        <cdr:nvGrpSpPr>
          <cdr:cNvPr id="10" name="Group 9">
            <a:extLst xmlns:a="http://schemas.openxmlformats.org/drawingml/2006/main">
              <a:ext uri="{FF2B5EF4-FFF2-40B4-BE49-F238E27FC236}">
                <a16:creationId xmlns:a16="http://schemas.microsoft.com/office/drawing/2014/main" id="{CCC611CE-CD43-3199-C05D-2380F2B6D25E}"/>
              </a:ext>
            </a:extLst>
          </cdr:cNvPr>
          <cdr:cNvGrpSpPr/>
        </cdr:nvGrpSpPr>
        <cdr:grpSpPr>
          <a:xfrm xmlns:a="http://schemas.openxmlformats.org/drawingml/2006/main">
            <a:off x="13886803" y="2787103"/>
            <a:ext cx="721377" cy="751138"/>
            <a:chOff x="5757916" y="0"/>
            <a:chExt cx="722242" cy="777043"/>
          </a:xfrm>
        </cdr:grpSpPr>
        <cdr:grpSp>
          <cdr:nvGrpSpPr>
            <cdr:cNvPr id="60" name="Group 59">
              <a:extLst xmlns:a="http://schemas.openxmlformats.org/drawingml/2006/main">
                <a:ext uri="{FF2B5EF4-FFF2-40B4-BE49-F238E27FC236}">
                  <a16:creationId xmlns:a16="http://schemas.microsoft.com/office/drawing/2014/main" id="{7BFB57FB-2E0E-B207-0A2B-97C13289D396}"/>
                </a:ext>
              </a:extLst>
            </cdr:cNvPr>
            <cdr:cNvGrpSpPr/>
          </cdr:nvGrpSpPr>
          <cdr:grpSpPr>
            <a:xfrm xmlns:a="http://schemas.openxmlformats.org/drawingml/2006/main">
              <a:off x="5824176" y="38438"/>
              <a:ext cx="606469" cy="680837"/>
              <a:chOff x="5824177" y="38025"/>
              <a:chExt cx="606470" cy="661848"/>
            </a:xfrm>
          </cdr:grpSpPr>
          <cdr:grpSp>
            <cdr:nvGrpSpPr>
              <cdr:cNvPr id="62" name="Group 61">
                <a:extLst xmlns:a="http://schemas.openxmlformats.org/drawingml/2006/main">
                  <a:ext uri="{FF2B5EF4-FFF2-40B4-BE49-F238E27FC236}">
                    <a16:creationId xmlns:a16="http://schemas.microsoft.com/office/drawing/2014/main" id="{CBF24C7C-473B-DF57-981F-E4C36487F532}"/>
                  </a:ext>
                </a:extLst>
              </cdr:cNvPr>
              <cdr:cNvGrpSpPr/>
            </cdr:nvGrpSpPr>
            <cdr:grpSpPr>
              <a:xfrm xmlns:a="http://schemas.openxmlformats.org/drawingml/2006/main">
                <a:off x="5824177" y="38025"/>
                <a:ext cx="606470" cy="475431"/>
                <a:chOff x="5824177" y="37897"/>
                <a:chExt cx="606470" cy="482198"/>
              </a:xfrm>
            </cdr:grpSpPr>
            <cdr:sp macro="" textlink="'Data-Vẽ-LK'!$E$35">
              <cdr:nvSpPr>
                <cdr:cNvPr id="64" name="TextBox 5">
                  <a:extLst xmlns:a="http://schemas.openxmlformats.org/drawingml/2006/main">
                    <a:ext uri="{FF2B5EF4-FFF2-40B4-BE49-F238E27FC236}">
                      <a16:creationId xmlns:a16="http://schemas.microsoft.com/office/drawing/2014/main" id="{3973AAE8-A55D-E5CD-7F30-771CEBBCBE63}"/>
                    </a:ext>
                  </a:extLst>
                </cdr:cNvPr>
                <cdr:cNvSpPr txBox="1"/>
              </cdr:nvSpPr>
              <cdr:spPr>
                <a:xfrm xmlns:a="http://schemas.openxmlformats.org/drawingml/2006/main">
                  <a:off x="5858481" y="37897"/>
                  <a:ext cx="572166"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44EE6A4-11CB-445F-98D3-20C6E8FF6EE7}"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5">
              <cdr:nvSpPr>
                <cdr:cNvPr id="65" name="TextBox 6">
                  <a:extLst xmlns:a="http://schemas.openxmlformats.org/drawingml/2006/main">
                    <a:ext uri="{FF2B5EF4-FFF2-40B4-BE49-F238E27FC236}">
                      <a16:creationId xmlns:a16="http://schemas.microsoft.com/office/drawing/2014/main" id="{B257367C-0741-DDD6-899B-F167E2A8EB0F}"/>
                    </a:ext>
                  </a:extLst>
                </cdr:cNvPr>
                <cdr:cNvSpPr txBox="1"/>
              </cdr:nvSpPr>
              <cdr:spPr>
                <a:xfrm xmlns:a="http://schemas.openxmlformats.org/drawingml/2006/main">
                  <a:off x="5885378" y="263185"/>
                  <a:ext cx="509222"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366E44F-7A41-462F-83B6-62001DF7E243}"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66" name="Straight Connector 65">
                  <a:extLst xmlns:a="http://schemas.openxmlformats.org/drawingml/2006/main">
                    <a:ext uri="{FF2B5EF4-FFF2-40B4-BE49-F238E27FC236}">
                      <a16:creationId xmlns:a16="http://schemas.microsoft.com/office/drawing/2014/main" id="{2782721A-C4FA-AE47-E70F-596584C962ED}"/>
                    </a:ext>
                  </a:extLst>
                </cdr:cNvPr>
                <cdr:cNvCxnSpPr/>
              </cdr:nvCxnSpPr>
              <cdr:spPr>
                <a:xfrm xmlns:a="http://schemas.openxmlformats.org/drawingml/2006/main">
                  <a:off x="5824177" y="305458"/>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63" name="TextBox 12">
                <a:extLst xmlns:a="http://schemas.openxmlformats.org/drawingml/2006/main">
                  <a:ext uri="{FF2B5EF4-FFF2-40B4-BE49-F238E27FC236}">
                    <a16:creationId xmlns:a16="http://schemas.microsoft.com/office/drawing/2014/main" id="{2DEABF60-4882-371B-453A-F6A2BCF64647}"/>
                  </a:ext>
                </a:extLst>
              </cdr:cNvPr>
              <cdr:cNvSpPr txBox="1"/>
            </cdr:nvSpPr>
            <cdr:spPr>
              <a:xfrm xmlns:a="http://schemas.openxmlformats.org/drawingml/2006/main">
                <a:off x="5830803" y="439026"/>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61" name="Rectangle: Rounded Corners 60">
              <a:extLst xmlns:a="http://schemas.openxmlformats.org/drawingml/2006/main">
                <a:ext uri="{FF2B5EF4-FFF2-40B4-BE49-F238E27FC236}">
                  <a16:creationId xmlns:a16="http://schemas.microsoft.com/office/drawing/2014/main" id="{9641D4B3-EDBC-3190-2BA9-9F134215ECB0}"/>
                </a:ext>
              </a:extLst>
            </cdr:cNvPr>
            <cdr:cNvSpPr/>
          </cdr:nvSpPr>
          <cdr:spPr>
            <a:xfrm xmlns:a="http://schemas.openxmlformats.org/drawingml/2006/main">
              <a:off x="5757916" y="0"/>
              <a:ext cx="722242" cy="777043"/>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2" name="Group 11">
            <a:extLst xmlns:a="http://schemas.openxmlformats.org/drawingml/2006/main">
              <a:ext uri="{FF2B5EF4-FFF2-40B4-BE49-F238E27FC236}">
                <a16:creationId xmlns:a16="http://schemas.microsoft.com/office/drawing/2014/main" id="{F269AC6A-FD5E-DD5D-36A7-BBC60FFF85B5}"/>
              </a:ext>
            </a:extLst>
          </cdr:cNvPr>
          <cdr:cNvGrpSpPr/>
        </cdr:nvGrpSpPr>
        <cdr:grpSpPr>
          <a:xfrm xmlns:a="http://schemas.openxmlformats.org/drawingml/2006/main">
            <a:off x="8440620" y="2787103"/>
            <a:ext cx="721700" cy="751140"/>
            <a:chOff x="0" y="0"/>
            <a:chExt cx="722572" cy="777045"/>
          </a:xfrm>
        </cdr:grpSpPr>
        <cdr:grpSp>
          <cdr:nvGrpSpPr>
            <cdr:cNvPr id="53" name="Group 52">
              <a:extLst xmlns:a="http://schemas.openxmlformats.org/drawingml/2006/main">
                <a:ext uri="{FF2B5EF4-FFF2-40B4-BE49-F238E27FC236}">
                  <a16:creationId xmlns:a16="http://schemas.microsoft.com/office/drawing/2014/main" id="{1D9A8C17-6BC6-20C0-993A-034FB9573CB5}"/>
                </a:ext>
              </a:extLst>
            </cdr:cNvPr>
            <cdr:cNvGrpSpPr/>
          </cdr:nvGrpSpPr>
          <cdr:grpSpPr>
            <a:xfrm xmlns:a="http://schemas.openxmlformats.org/drawingml/2006/main">
              <a:off x="0" y="47711"/>
              <a:ext cx="651003" cy="671564"/>
              <a:chOff x="0" y="47041"/>
              <a:chExt cx="651004" cy="652834"/>
            </a:xfrm>
          </cdr:grpSpPr>
          <cdr:grpSp>
            <cdr:nvGrpSpPr>
              <cdr:cNvPr id="55" name="Group 54">
                <a:extLst xmlns:a="http://schemas.openxmlformats.org/drawingml/2006/main">
                  <a:ext uri="{FF2B5EF4-FFF2-40B4-BE49-F238E27FC236}">
                    <a16:creationId xmlns:a16="http://schemas.microsoft.com/office/drawing/2014/main" id="{3D0162D1-B0F3-9A26-AE29-F22D5B19E4E0}"/>
                  </a:ext>
                </a:extLst>
              </cdr:cNvPr>
              <cdr:cNvGrpSpPr/>
            </cdr:nvGrpSpPr>
            <cdr:grpSpPr>
              <a:xfrm xmlns:a="http://schemas.openxmlformats.org/drawingml/2006/main">
                <a:off x="0" y="47041"/>
                <a:ext cx="636435" cy="475432"/>
                <a:chOff x="0" y="47041"/>
                <a:chExt cx="636435" cy="482198"/>
              </a:xfrm>
            </cdr:grpSpPr>
            <cdr:sp macro="" textlink="'Data-Vẽ-LK'!$E$29">
              <cdr:nvSpPr>
                <cdr:cNvPr id="57" name="TextBox 24">
                  <a:extLst xmlns:a="http://schemas.openxmlformats.org/drawingml/2006/main">
                    <a:ext uri="{FF2B5EF4-FFF2-40B4-BE49-F238E27FC236}">
                      <a16:creationId xmlns:a16="http://schemas.microsoft.com/office/drawing/2014/main" id="{54C334F4-A50D-6A98-4B40-5D1FC2DEC8CA}"/>
                    </a:ext>
                  </a:extLst>
                </cdr:cNvPr>
                <cdr:cNvSpPr txBox="1"/>
              </cdr:nvSpPr>
              <cdr:spPr>
                <a:xfrm xmlns:a="http://schemas.openxmlformats.org/drawingml/2006/main">
                  <a:off x="0" y="47041"/>
                  <a:ext cx="572172"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fld id="{0792430C-B2BE-4C04-9CD8-3C62FFEA16EA}" type="TxLink">
                    <a:rPr lang="en-US" sz="1300" b="1" i="0" u="none" strike="noStrike">
                      <a:solidFill>
                        <a:schemeClr val="accent4">
                          <a:lumMod val="60000"/>
                          <a:lumOff val="40000"/>
                        </a:schemeClr>
                      </a:solidFill>
                      <a:latin typeface="Aptos Narrow"/>
                      <a:ea typeface="+mn-ea"/>
                      <a:cs typeface="+mn-cs"/>
                    </a:rPr>
                    <a:pPr marL="0" indent="0"/>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29">
              <cdr:nvSpPr>
                <cdr:cNvPr id="58" name="TextBox 25">
                  <a:extLst xmlns:a="http://schemas.openxmlformats.org/drawingml/2006/main">
                    <a:ext uri="{FF2B5EF4-FFF2-40B4-BE49-F238E27FC236}">
                      <a16:creationId xmlns:a16="http://schemas.microsoft.com/office/drawing/2014/main" id="{9CB36FA8-8297-98CD-7720-AD89BCAF58A3}"/>
                    </a:ext>
                  </a:extLst>
                </cdr:cNvPr>
                <cdr:cNvSpPr txBox="1"/>
              </cdr:nvSpPr>
              <cdr:spPr>
                <a:xfrm xmlns:a="http://schemas.openxmlformats.org/drawingml/2006/main">
                  <a:off x="66592" y="272329"/>
                  <a:ext cx="509227"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fld id="{016DF1F1-F5AE-45DF-8083-471EAFDED23F}" type="TxLink">
                    <a:rPr lang="en-US" sz="1100" b="0" i="0" u="none" strike="noStrike">
                      <a:solidFill>
                        <a:schemeClr val="bg1">
                          <a:lumMod val="50000"/>
                        </a:schemeClr>
                      </a:solidFill>
                      <a:latin typeface="Aptos Narrow"/>
                      <a:ea typeface="+mn-ea"/>
                      <a:cs typeface="+mn-cs"/>
                    </a:rPr>
                    <a:pPr marL="0" indent="0"/>
                    <a:t>#REF!</a:t>
                  </a:fld>
                  <a:endParaRPr lang="en-US" sz="1100" b="0" i="0" u="none" strike="noStrike">
                    <a:solidFill>
                      <a:schemeClr val="bg1">
                        <a:lumMod val="50000"/>
                      </a:schemeClr>
                    </a:solidFill>
                    <a:latin typeface="Aptos Narrow"/>
                    <a:ea typeface="+mn-ea"/>
                    <a:cs typeface="+mn-cs"/>
                  </a:endParaRPr>
                </a:p>
              </cdr:txBody>
            </cdr:sp>
            <cdr:cxnSp macro="">
              <cdr:nvCxnSpPr>
                <cdr:cNvPr id="59" name="Straight Connector 58">
                  <a:extLst xmlns:a="http://schemas.openxmlformats.org/drawingml/2006/main">
                    <a:ext uri="{FF2B5EF4-FFF2-40B4-BE49-F238E27FC236}">
                      <a16:creationId xmlns:a16="http://schemas.microsoft.com/office/drawing/2014/main" id="{C3258493-D526-FC07-3CB2-9826F3812EB3}"/>
                    </a:ext>
                  </a:extLst>
                </cdr:cNvPr>
                <cdr:cNvCxnSpPr/>
              </cdr:nvCxnSpPr>
              <cdr:spPr>
                <a:xfrm xmlns:a="http://schemas.openxmlformats.org/drawingml/2006/main">
                  <a:off x="66591"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56" name="TextBox 23">
                <a:extLst xmlns:a="http://schemas.openxmlformats.org/drawingml/2006/main">
                  <a:ext uri="{FF2B5EF4-FFF2-40B4-BE49-F238E27FC236}">
                    <a16:creationId xmlns:a16="http://schemas.microsoft.com/office/drawing/2014/main" id="{A1F7C844-4CD1-8E8E-7EB6-0DB0F0DB7E84}"/>
                  </a:ext>
                </a:extLst>
              </cdr:cNvPr>
              <cdr:cNvSpPr txBox="1"/>
            </cdr:nvSpPr>
            <cdr:spPr>
              <a:xfrm xmlns:a="http://schemas.openxmlformats.org/drawingml/2006/main">
                <a:off x="73217"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4" name="Rectangle: Rounded Corners 53">
              <a:extLst xmlns:a="http://schemas.openxmlformats.org/drawingml/2006/main">
                <a:ext uri="{FF2B5EF4-FFF2-40B4-BE49-F238E27FC236}">
                  <a16:creationId xmlns:a16="http://schemas.microsoft.com/office/drawing/2014/main" id="{2420A194-9526-D9C7-2CE9-6667CF13B09D}"/>
                </a:ext>
              </a:extLst>
            </cdr:cNvPr>
            <cdr:cNvSpPr/>
          </cdr:nvSpPr>
          <cdr:spPr>
            <a:xfrm xmlns:a="http://schemas.openxmlformats.org/drawingml/2006/main">
              <a:off x="330"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3" name="Group 12">
            <a:extLst xmlns:a="http://schemas.openxmlformats.org/drawingml/2006/main">
              <a:ext uri="{FF2B5EF4-FFF2-40B4-BE49-F238E27FC236}">
                <a16:creationId xmlns:a16="http://schemas.microsoft.com/office/drawing/2014/main" id="{CDD4ABE1-01D0-C5BD-BFB6-000C3929D877}"/>
              </a:ext>
            </a:extLst>
          </cdr:cNvPr>
          <cdr:cNvGrpSpPr/>
        </cdr:nvGrpSpPr>
        <cdr:grpSpPr>
          <a:xfrm xmlns:a="http://schemas.openxmlformats.org/drawingml/2006/main">
            <a:off x="9341510" y="2787103"/>
            <a:ext cx="721375" cy="751140"/>
            <a:chOff x="959928" y="0"/>
            <a:chExt cx="722242" cy="777045"/>
          </a:xfrm>
        </cdr:grpSpPr>
        <cdr:grpSp>
          <cdr:nvGrpSpPr>
            <cdr:cNvPr id="46" name="Group 45">
              <a:extLst xmlns:a="http://schemas.openxmlformats.org/drawingml/2006/main">
                <a:ext uri="{FF2B5EF4-FFF2-40B4-BE49-F238E27FC236}">
                  <a16:creationId xmlns:a16="http://schemas.microsoft.com/office/drawing/2014/main" id="{C2B19612-0460-CD25-EF50-B2F23A718B66}"/>
                </a:ext>
              </a:extLst>
            </cdr:cNvPr>
            <cdr:cNvGrpSpPr/>
          </cdr:nvGrpSpPr>
          <cdr:grpSpPr>
            <a:xfrm xmlns:a="http://schemas.openxmlformats.org/drawingml/2006/main">
              <a:off x="1012938" y="47712"/>
              <a:ext cx="597663" cy="671564"/>
              <a:chOff x="1012938" y="47041"/>
              <a:chExt cx="597664" cy="652834"/>
            </a:xfrm>
          </cdr:grpSpPr>
          <cdr:grpSp>
            <cdr:nvGrpSpPr>
              <cdr:cNvPr id="48" name="Group 47">
                <a:extLst xmlns:a="http://schemas.openxmlformats.org/drawingml/2006/main">
                  <a:ext uri="{FF2B5EF4-FFF2-40B4-BE49-F238E27FC236}">
                    <a16:creationId xmlns:a16="http://schemas.microsoft.com/office/drawing/2014/main" id="{6405EB0D-8C5A-24D9-AE9F-6934FB16A4D4}"/>
                  </a:ext>
                </a:extLst>
              </cdr:cNvPr>
              <cdr:cNvGrpSpPr/>
            </cdr:nvGrpSpPr>
            <cdr:grpSpPr>
              <a:xfrm xmlns:a="http://schemas.openxmlformats.org/drawingml/2006/main">
                <a:off x="1012938" y="47041"/>
                <a:ext cx="583095" cy="475432"/>
                <a:chOff x="1012938" y="47041"/>
                <a:chExt cx="583095" cy="482198"/>
              </a:xfrm>
            </cdr:grpSpPr>
            <cdr:sp macro="" textlink="'Data-Vẽ-LK'!$E$30">
              <cdr:nvSpPr>
                <cdr:cNvPr id="50" name="TextBox 40">
                  <a:extLst xmlns:a="http://schemas.openxmlformats.org/drawingml/2006/main">
                    <a:ext uri="{FF2B5EF4-FFF2-40B4-BE49-F238E27FC236}">
                      <a16:creationId xmlns:a16="http://schemas.microsoft.com/office/drawing/2014/main" id="{4E3286B8-9E41-BE1E-A7DC-838791359015}"/>
                    </a:ext>
                  </a:extLst>
                </cdr:cNvPr>
                <cdr:cNvSpPr txBox="1"/>
              </cdr:nvSpPr>
              <cdr:spPr>
                <a:xfrm xmlns:a="http://schemas.openxmlformats.org/drawingml/2006/main">
                  <a:off x="1012938" y="47041"/>
                  <a:ext cx="572168"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fld id="{CC89A708-F6B4-43CB-ACB6-7E9F293559AC}" type="TxLink">
                    <a:rPr lang="en-US" sz="1300" b="1" i="0" u="none" strike="noStrike">
                      <a:solidFill>
                        <a:schemeClr val="accent4">
                          <a:lumMod val="60000"/>
                          <a:lumOff val="40000"/>
                        </a:schemeClr>
                      </a:solidFill>
                      <a:latin typeface="Aptos Narrow"/>
                      <a:ea typeface="+mn-ea"/>
                      <a:cs typeface="+mn-cs"/>
                    </a:rPr>
                    <a:pPr marL="0" indent="0"/>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0">
              <cdr:nvSpPr>
                <cdr:cNvPr id="51" name="TextBox 41">
                  <a:extLst xmlns:a="http://schemas.openxmlformats.org/drawingml/2006/main">
                    <a:ext uri="{FF2B5EF4-FFF2-40B4-BE49-F238E27FC236}">
                      <a16:creationId xmlns:a16="http://schemas.microsoft.com/office/drawing/2014/main" id="{54F73732-17BB-F1C9-4BB6-9A7C26E03CB8}"/>
                    </a:ext>
                  </a:extLst>
                </cdr:cNvPr>
                <cdr:cNvSpPr txBox="1"/>
              </cdr:nvSpPr>
              <cdr:spPr>
                <a:xfrm xmlns:a="http://schemas.openxmlformats.org/drawingml/2006/main">
                  <a:off x="1026190" y="272329"/>
                  <a:ext cx="509223"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fld id="{ACF3E04F-6D4B-4C2E-A645-B0CE4CF93C6E}" type="TxLink">
                    <a:rPr lang="en-US" sz="1100" b="0" i="0" u="none" strike="noStrike">
                      <a:solidFill>
                        <a:schemeClr val="bg1">
                          <a:lumMod val="50000"/>
                        </a:schemeClr>
                      </a:solidFill>
                      <a:latin typeface="Aptos Narrow"/>
                      <a:ea typeface="+mn-ea"/>
                      <a:cs typeface="+mn-cs"/>
                    </a:rPr>
                    <a:pPr marL="0" indent="0"/>
                    <a:t>#REF!</a:t>
                  </a:fld>
                  <a:endParaRPr lang="en-US" sz="1100" b="0" i="0" u="none" strike="noStrike">
                    <a:solidFill>
                      <a:schemeClr val="bg1">
                        <a:lumMod val="50000"/>
                      </a:schemeClr>
                    </a:solidFill>
                    <a:latin typeface="Aptos Narrow"/>
                    <a:ea typeface="+mn-ea"/>
                    <a:cs typeface="+mn-cs"/>
                  </a:endParaRPr>
                </a:p>
              </cdr:txBody>
            </cdr:sp>
            <cdr:cxnSp macro="">
              <cdr:nvCxnSpPr>
                <cdr:cNvPr id="52" name="Straight Connector 51">
                  <a:extLst xmlns:a="http://schemas.openxmlformats.org/drawingml/2006/main">
                    <a:ext uri="{FF2B5EF4-FFF2-40B4-BE49-F238E27FC236}">
                      <a16:creationId xmlns:a16="http://schemas.microsoft.com/office/drawing/2014/main" id="{178FABC4-F6CF-0C3B-AA6A-E2A15BB22A9D}"/>
                    </a:ext>
                  </a:extLst>
                </cdr:cNvPr>
                <cdr:cNvCxnSpPr/>
              </cdr:nvCxnSpPr>
              <cdr:spPr>
                <a:xfrm xmlns:a="http://schemas.openxmlformats.org/drawingml/2006/main">
                  <a:off x="1026189"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9" name="TextBox 39">
                <a:extLst xmlns:a="http://schemas.openxmlformats.org/drawingml/2006/main">
                  <a:ext uri="{FF2B5EF4-FFF2-40B4-BE49-F238E27FC236}">
                    <a16:creationId xmlns:a16="http://schemas.microsoft.com/office/drawing/2014/main" id="{AE40D31D-931B-4D50-089D-96019A15E68C}"/>
                  </a:ext>
                </a:extLst>
              </cdr:cNvPr>
              <cdr:cNvSpPr txBox="1"/>
            </cdr:nvSpPr>
            <cdr:spPr>
              <a:xfrm xmlns:a="http://schemas.openxmlformats.org/drawingml/2006/main">
                <a:off x="1032815"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7" name="Rectangle: Rounded Corners 46">
              <a:extLst xmlns:a="http://schemas.openxmlformats.org/drawingml/2006/main">
                <a:ext uri="{FF2B5EF4-FFF2-40B4-BE49-F238E27FC236}">
                  <a16:creationId xmlns:a16="http://schemas.microsoft.com/office/drawing/2014/main" id="{C52A34E5-02CE-3856-70F2-7068B0F125A6}"/>
                </a:ext>
              </a:extLst>
            </cdr:cNvPr>
            <cdr:cNvSpPr/>
          </cdr:nvSpPr>
          <cdr:spPr>
            <a:xfrm xmlns:a="http://schemas.openxmlformats.org/drawingml/2006/main">
              <a:off x="959928"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4" name="Group 13">
            <a:extLst xmlns:a="http://schemas.openxmlformats.org/drawingml/2006/main">
              <a:ext uri="{FF2B5EF4-FFF2-40B4-BE49-F238E27FC236}">
                <a16:creationId xmlns:a16="http://schemas.microsoft.com/office/drawing/2014/main" id="{F88CA9FF-FC86-7581-8368-EEF98F7E315F}"/>
              </a:ext>
            </a:extLst>
          </cdr:cNvPr>
          <cdr:cNvGrpSpPr/>
        </cdr:nvGrpSpPr>
        <cdr:grpSpPr>
          <a:xfrm xmlns:a="http://schemas.openxmlformats.org/drawingml/2006/main">
            <a:off x="10284543" y="2787103"/>
            <a:ext cx="721373" cy="751140"/>
            <a:chOff x="1919526" y="0"/>
            <a:chExt cx="722242" cy="777045"/>
          </a:xfrm>
        </cdr:grpSpPr>
        <cdr:grpSp>
          <cdr:nvGrpSpPr>
            <cdr:cNvPr id="39" name="Group 38">
              <a:extLst xmlns:a="http://schemas.openxmlformats.org/drawingml/2006/main">
                <a:ext uri="{FF2B5EF4-FFF2-40B4-BE49-F238E27FC236}">
                  <a16:creationId xmlns:a16="http://schemas.microsoft.com/office/drawing/2014/main" id="{4CA9F1B8-8185-D2C1-3EA4-0DE5F73B1E72}"/>
                </a:ext>
              </a:extLst>
            </cdr:cNvPr>
            <cdr:cNvGrpSpPr/>
          </cdr:nvGrpSpPr>
          <cdr:grpSpPr>
            <a:xfrm xmlns:a="http://schemas.openxmlformats.org/drawingml/2006/main">
              <a:off x="1966498" y="47712"/>
              <a:ext cx="603701" cy="671564"/>
              <a:chOff x="1966498" y="47041"/>
              <a:chExt cx="603702" cy="652834"/>
            </a:xfrm>
          </cdr:grpSpPr>
          <cdr:grpSp>
            <cdr:nvGrpSpPr>
              <cdr:cNvPr id="41" name="Group 40">
                <a:extLst xmlns:a="http://schemas.openxmlformats.org/drawingml/2006/main">
                  <a:ext uri="{FF2B5EF4-FFF2-40B4-BE49-F238E27FC236}">
                    <a16:creationId xmlns:a16="http://schemas.microsoft.com/office/drawing/2014/main" id="{E1AE75CF-BE42-B1EC-0B97-2ED2439391A3}"/>
                  </a:ext>
                </a:extLst>
              </cdr:cNvPr>
              <cdr:cNvGrpSpPr/>
            </cdr:nvGrpSpPr>
            <cdr:grpSpPr>
              <a:xfrm xmlns:a="http://schemas.openxmlformats.org/drawingml/2006/main">
                <a:off x="1966498" y="47041"/>
                <a:ext cx="589133" cy="475432"/>
                <a:chOff x="1966498" y="47041"/>
                <a:chExt cx="589133" cy="482198"/>
              </a:xfrm>
            </cdr:grpSpPr>
            <cdr:sp macro="" textlink="'Data-Vẽ-LK'!$E$31">
              <cdr:nvSpPr>
                <cdr:cNvPr id="43" name="TextBox 48">
                  <a:extLst xmlns:a="http://schemas.openxmlformats.org/drawingml/2006/main">
                    <a:ext uri="{FF2B5EF4-FFF2-40B4-BE49-F238E27FC236}">
                      <a16:creationId xmlns:a16="http://schemas.microsoft.com/office/drawing/2014/main" id="{2D2261E0-3950-C80F-EAE4-3964CB61F7A8}"/>
                    </a:ext>
                  </a:extLst>
                </cdr:cNvPr>
                <cdr:cNvSpPr txBox="1"/>
              </cdr:nvSpPr>
              <cdr:spPr>
                <a:xfrm xmlns:a="http://schemas.openxmlformats.org/drawingml/2006/main">
                  <a:off x="1966498" y="47041"/>
                  <a:ext cx="572170"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6023D1F9-FA0D-4053-B55E-C33A0276710E}"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1">
              <cdr:nvSpPr>
                <cdr:cNvPr id="44" name="TextBox 49">
                  <a:extLst xmlns:a="http://schemas.openxmlformats.org/drawingml/2006/main">
                    <a:ext uri="{FF2B5EF4-FFF2-40B4-BE49-F238E27FC236}">
                      <a16:creationId xmlns:a16="http://schemas.microsoft.com/office/drawing/2014/main" id="{10694F49-0D01-C875-AF1F-B64AF89F2A35}"/>
                    </a:ext>
                  </a:extLst>
                </cdr:cNvPr>
                <cdr:cNvSpPr txBox="1"/>
              </cdr:nvSpPr>
              <cdr:spPr>
                <a:xfrm xmlns:a="http://schemas.openxmlformats.org/drawingml/2006/main">
                  <a:off x="2018583" y="272329"/>
                  <a:ext cx="509225"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60442182-0C5C-420D-834E-A7443B93E9D6}"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45" name="Straight Connector 44">
                  <a:extLst xmlns:a="http://schemas.openxmlformats.org/drawingml/2006/main">
                    <a:ext uri="{FF2B5EF4-FFF2-40B4-BE49-F238E27FC236}">
                      <a16:creationId xmlns:a16="http://schemas.microsoft.com/office/drawing/2014/main" id="{D07D0FF2-F32A-C620-473A-66BF4272F819}"/>
                    </a:ext>
                  </a:extLst>
                </cdr:cNvPr>
                <cdr:cNvCxnSpPr/>
              </cdr:nvCxnSpPr>
              <cdr:spPr>
                <a:xfrm xmlns:a="http://schemas.openxmlformats.org/drawingml/2006/main">
                  <a:off x="1985787"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2" name="TextBox 47">
                <a:extLst xmlns:a="http://schemas.openxmlformats.org/drawingml/2006/main">
                  <a:ext uri="{FF2B5EF4-FFF2-40B4-BE49-F238E27FC236}">
                    <a16:creationId xmlns:a16="http://schemas.microsoft.com/office/drawing/2014/main" id="{EFD58586-7236-B34B-8DD5-8DF2DEFE96E4}"/>
                  </a:ext>
                </a:extLst>
              </cdr:cNvPr>
              <cdr:cNvSpPr txBox="1"/>
            </cdr:nvSpPr>
            <cdr:spPr>
              <a:xfrm xmlns:a="http://schemas.openxmlformats.org/drawingml/2006/main">
                <a:off x="1992413"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0" name="Rectangle: Rounded Corners 39">
              <a:extLst xmlns:a="http://schemas.openxmlformats.org/drawingml/2006/main">
                <a:ext uri="{FF2B5EF4-FFF2-40B4-BE49-F238E27FC236}">
                  <a16:creationId xmlns:a16="http://schemas.microsoft.com/office/drawing/2014/main" id="{B1349AE0-EC04-F3A0-951B-14CB496E7D2D}"/>
                </a:ext>
              </a:extLst>
            </cdr:cNvPr>
            <cdr:cNvSpPr/>
          </cdr:nvSpPr>
          <cdr:spPr>
            <a:xfrm xmlns:a="http://schemas.openxmlformats.org/drawingml/2006/main">
              <a:off x="1919526"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5" name="Group 14">
            <a:extLst xmlns:a="http://schemas.openxmlformats.org/drawingml/2006/main">
              <a:ext uri="{FF2B5EF4-FFF2-40B4-BE49-F238E27FC236}">
                <a16:creationId xmlns:a16="http://schemas.microsoft.com/office/drawing/2014/main" id="{1ABF0218-B045-2048-A8B3-77E6DA609BAE}"/>
              </a:ext>
            </a:extLst>
          </cdr:cNvPr>
          <cdr:cNvGrpSpPr/>
        </cdr:nvGrpSpPr>
        <cdr:grpSpPr>
          <a:xfrm xmlns:a="http://schemas.openxmlformats.org/drawingml/2006/main">
            <a:off x="11185107" y="2787103"/>
            <a:ext cx="721374" cy="751140"/>
            <a:chOff x="2879124" y="0"/>
            <a:chExt cx="722242" cy="777045"/>
          </a:xfrm>
        </cdr:grpSpPr>
        <cdr:grpSp>
          <cdr:nvGrpSpPr>
            <cdr:cNvPr id="32" name="Group 31">
              <a:extLst xmlns:a="http://schemas.openxmlformats.org/drawingml/2006/main">
                <a:ext uri="{FF2B5EF4-FFF2-40B4-BE49-F238E27FC236}">
                  <a16:creationId xmlns:a16="http://schemas.microsoft.com/office/drawing/2014/main" id="{4A9C94C4-8789-BEF9-DBF5-2B0AB60C5CEF}"/>
                </a:ext>
              </a:extLst>
            </cdr:cNvPr>
            <cdr:cNvGrpSpPr/>
          </cdr:nvGrpSpPr>
          <cdr:grpSpPr>
            <a:xfrm xmlns:a="http://schemas.openxmlformats.org/drawingml/2006/main">
              <a:off x="2933703" y="47712"/>
              <a:ext cx="596094" cy="671564"/>
              <a:chOff x="2933703" y="47041"/>
              <a:chExt cx="596095" cy="652834"/>
            </a:xfrm>
          </cdr:grpSpPr>
          <cdr:grpSp>
            <cdr:nvGrpSpPr>
              <cdr:cNvPr id="34" name="Group 33">
                <a:extLst xmlns:a="http://schemas.openxmlformats.org/drawingml/2006/main">
                  <a:ext uri="{FF2B5EF4-FFF2-40B4-BE49-F238E27FC236}">
                    <a16:creationId xmlns:a16="http://schemas.microsoft.com/office/drawing/2014/main" id="{7B0431AE-18FA-E82B-FF44-05F32E1FAF09}"/>
                  </a:ext>
                </a:extLst>
              </cdr:cNvPr>
              <cdr:cNvGrpSpPr/>
            </cdr:nvGrpSpPr>
            <cdr:grpSpPr>
              <a:xfrm xmlns:a="http://schemas.openxmlformats.org/drawingml/2006/main">
                <a:off x="2933703" y="47041"/>
                <a:ext cx="581526" cy="475432"/>
                <a:chOff x="2933703" y="47041"/>
                <a:chExt cx="581526" cy="482199"/>
              </a:xfrm>
            </cdr:grpSpPr>
            <cdr:sp macro="" textlink="'Data-Vẽ-LK'!$E$32">
              <cdr:nvSpPr>
                <cdr:cNvPr id="36" name="TextBox 74">
                  <a:extLst xmlns:a="http://schemas.openxmlformats.org/drawingml/2006/main">
                    <a:ext uri="{FF2B5EF4-FFF2-40B4-BE49-F238E27FC236}">
                      <a16:creationId xmlns:a16="http://schemas.microsoft.com/office/drawing/2014/main" id="{1680B8D1-BAE1-5DCB-053B-0FC13EE8451C}"/>
                    </a:ext>
                  </a:extLst>
                </cdr:cNvPr>
                <cdr:cNvSpPr txBox="1"/>
              </cdr:nvSpPr>
              <cdr:spPr>
                <a:xfrm xmlns:a="http://schemas.openxmlformats.org/drawingml/2006/main">
                  <a:off x="2933703" y="47041"/>
                  <a:ext cx="572169"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D282313-0C4F-42D5-A622-C0173858EDBA}"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2">
              <cdr:nvSpPr>
                <cdr:cNvPr id="37" name="TextBox 75">
                  <a:extLst xmlns:a="http://schemas.openxmlformats.org/drawingml/2006/main">
                    <a:ext uri="{FF2B5EF4-FFF2-40B4-BE49-F238E27FC236}">
                      <a16:creationId xmlns:a16="http://schemas.microsoft.com/office/drawing/2014/main" id="{25C1C8C1-754D-3D0B-224D-BC19CA66FCE0}"/>
                    </a:ext>
                  </a:extLst>
                </cdr:cNvPr>
                <cdr:cNvSpPr txBox="1"/>
              </cdr:nvSpPr>
              <cdr:spPr>
                <a:xfrm xmlns:a="http://schemas.openxmlformats.org/drawingml/2006/main">
                  <a:off x="2978178" y="272329"/>
                  <a:ext cx="509225" cy="25691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4A8CFB4-F40D-44D2-91A1-BBD9BE19BE7A}"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38" name="Straight Connector 37">
                  <a:extLst xmlns:a="http://schemas.openxmlformats.org/drawingml/2006/main">
                    <a:ext uri="{FF2B5EF4-FFF2-40B4-BE49-F238E27FC236}">
                      <a16:creationId xmlns:a16="http://schemas.microsoft.com/office/drawing/2014/main" id="{0ED2D2F5-3A35-01E3-4EDC-DE14F21C263C}"/>
                    </a:ext>
                  </a:extLst>
                </cdr:cNvPr>
                <cdr:cNvCxnSpPr/>
              </cdr:nvCxnSpPr>
              <cdr:spPr>
                <a:xfrm xmlns:a="http://schemas.openxmlformats.org/drawingml/2006/main">
                  <a:off x="2945385"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35" name="TextBox 73">
                <a:extLst xmlns:a="http://schemas.openxmlformats.org/drawingml/2006/main">
                  <a:ext uri="{FF2B5EF4-FFF2-40B4-BE49-F238E27FC236}">
                    <a16:creationId xmlns:a16="http://schemas.microsoft.com/office/drawing/2014/main" id="{BE33ABB7-CD77-9016-2F32-4159743BAB21}"/>
                  </a:ext>
                </a:extLst>
              </cdr:cNvPr>
              <cdr:cNvSpPr txBox="1"/>
            </cdr:nvSpPr>
            <cdr:spPr>
              <a:xfrm xmlns:a="http://schemas.openxmlformats.org/drawingml/2006/main">
                <a:off x="2952011"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3" name="Rectangle: Rounded Corners 32">
              <a:extLst xmlns:a="http://schemas.openxmlformats.org/drawingml/2006/main">
                <a:ext uri="{FF2B5EF4-FFF2-40B4-BE49-F238E27FC236}">
                  <a16:creationId xmlns:a16="http://schemas.microsoft.com/office/drawing/2014/main" id="{4028FC4F-F783-F9AD-8F37-E13DFAFBEFF3}"/>
                </a:ext>
              </a:extLst>
            </cdr:cNvPr>
            <cdr:cNvSpPr/>
          </cdr:nvSpPr>
          <cdr:spPr>
            <a:xfrm xmlns:a="http://schemas.openxmlformats.org/drawingml/2006/main">
              <a:off x="2879124"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6" name="Group 15">
            <a:extLst xmlns:a="http://schemas.openxmlformats.org/drawingml/2006/main">
              <a:ext uri="{FF2B5EF4-FFF2-40B4-BE49-F238E27FC236}">
                <a16:creationId xmlns:a16="http://schemas.microsoft.com/office/drawing/2014/main" id="{165F5BD3-A7F0-54E5-D4F1-5C176FDC5906}"/>
              </a:ext>
            </a:extLst>
          </cdr:cNvPr>
          <cdr:cNvGrpSpPr/>
        </cdr:nvGrpSpPr>
        <cdr:grpSpPr>
          <a:xfrm xmlns:a="http://schemas.openxmlformats.org/drawingml/2006/main">
            <a:off x="12085672" y="2787103"/>
            <a:ext cx="721374" cy="751140"/>
            <a:chOff x="3838722" y="0"/>
            <a:chExt cx="722242" cy="777045"/>
          </a:xfrm>
        </cdr:grpSpPr>
        <cdr:grpSp>
          <cdr:nvGrpSpPr>
            <cdr:cNvPr id="25" name="Group 24">
              <a:extLst xmlns:a="http://schemas.openxmlformats.org/drawingml/2006/main">
                <a:ext uri="{FF2B5EF4-FFF2-40B4-BE49-F238E27FC236}">
                  <a16:creationId xmlns:a16="http://schemas.microsoft.com/office/drawing/2014/main" id="{04F76DC0-9FB0-04F4-EDC8-AFA83541CA6F}"/>
                </a:ext>
              </a:extLst>
            </cdr:cNvPr>
            <cdr:cNvGrpSpPr/>
          </cdr:nvGrpSpPr>
          <cdr:grpSpPr>
            <a:xfrm xmlns:a="http://schemas.openxmlformats.org/drawingml/2006/main">
              <a:off x="3903492" y="47712"/>
              <a:ext cx="585903" cy="671564"/>
              <a:chOff x="3903492" y="47041"/>
              <a:chExt cx="585904" cy="652834"/>
            </a:xfrm>
          </cdr:grpSpPr>
          <cdr:grpSp>
            <cdr:nvGrpSpPr>
              <cdr:cNvPr id="27" name="Group 26">
                <a:extLst xmlns:a="http://schemas.openxmlformats.org/drawingml/2006/main">
                  <a:ext uri="{FF2B5EF4-FFF2-40B4-BE49-F238E27FC236}">
                    <a16:creationId xmlns:a16="http://schemas.microsoft.com/office/drawing/2014/main" id="{E5190DC6-4EE2-15AC-4120-BEF4EBCADCA0}"/>
                  </a:ext>
                </a:extLst>
              </cdr:cNvPr>
              <cdr:cNvGrpSpPr/>
            </cdr:nvGrpSpPr>
            <cdr:grpSpPr>
              <a:xfrm xmlns:a="http://schemas.openxmlformats.org/drawingml/2006/main">
                <a:off x="3903492" y="47041"/>
                <a:ext cx="572170" cy="475432"/>
                <a:chOff x="3903492" y="47041"/>
                <a:chExt cx="572170" cy="482199"/>
              </a:xfrm>
            </cdr:grpSpPr>
            <cdr:sp macro="" textlink="'Data-Vẽ-LK'!$E$33">
              <cdr:nvSpPr>
                <cdr:cNvPr id="29" name="TextBox 82">
                  <a:extLst xmlns:a="http://schemas.openxmlformats.org/drawingml/2006/main">
                    <a:ext uri="{FF2B5EF4-FFF2-40B4-BE49-F238E27FC236}">
                      <a16:creationId xmlns:a16="http://schemas.microsoft.com/office/drawing/2014/main" id="{B81F273E-087D-C783-27DA-2C4BD5FAF99C}"/>
                    </a:ext>
                  </a:extLst>
                </cdr:cNvPr>
                <cdr:cNvSpPr txBox="1"/>
              </cdr:nvSpPr>
              <cdr:spPr>
                <a:xfrm xmlns:a="http://schemas.openxmlformats.org/drawingml/2006/main">
                  <a:off x="3903492" y="47041"/>
                  <a:ext cx="572170" cy="2872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8F335C2-06BA-4DC5-B121-6FB8D8A59E7A}"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3">
              <cdr:nvSpPr>
                <cdr:cNvPr id="30" name="TextBox 83">
                  <a:extLst xmlns:a="http://schemas.openxmlformats.org/drawingml/2006/main">
                    <a:ext uri="{FF2B5EF4-FFF2-40B4-BE49-F238E27FC236}">
                      <a16:creationId xmlns:a16="http://schemas.microsoft.com/office/drawing/2014/main" id="{636632B8-1B50-8F1C-9BAF-1045754B0C89}"/>
                    </a:ext>
                  </a:extLst>
                </cdr:cNvPr>
                <cdr:cNvSpPr txBox="1"/>
              </cdr:nvSpPr>
              <cdr:spPr>
                <a:xfrm xmlns:a="http://schemas.openxmlformats.org/drawingml/2006/main">
                  <a:off x="3937776" y="272329"/>
                  <a:ext cx="509225" cy="25691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CA90DC1D-A2DA-49EE-920F-4F53665CE8A9}"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31" name="Straight Connector 30">
                  <a:extLst xmlns:a="http://schemas.openxmlformats.org/drawingml/2006/main">
                    <a:ext uri="{FF2B5EF4-FFF2-40B4-BE49-F238E27FC236}">
                      <a16:creationId xmlns:a16="http://schemas.microsoft.com/office/drawing/2014/main" id="{514A9765-0ADD-B82A-F5ED-CB3AD7980FBB}"/>
                    </a:ext>
                  </a:extLst>
                </cdr:cNvPr>
                <cdr:cNvCxnSpPr/>
              </cdr:nvCxnSpPr>
              <cdr:spPr>
                <a:xfrm xmlns:a="http://schemas.openxmlformats.org/drawingml/2006/main">
                  <a:off x="3904983"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8" name="TextBox 81">
                <a:extLst xmlns:a="http://schemas.openxmlformats.org/drawingml/2006/main">
                  <a:ext uri="{FF2B5EF4-FFF2-40B4-BE49-F238E27FC236}">
                    <a16:creationId xmlns:a16="http://schemas.microsoft.com/office/drawing/2014/main" id="{78CCBA6D-BA0A-86A1-DF11-CF7F954628F6}"/>
                  </a:ext>
                </a:extLst>
              </cdr:cNvPr>
              <cdr:cNvSpPr txBox="1"/>
            </cdr:nvSpPr>
            <cdr:spPr>
              <a:xfrm xmlns:a="http://schemas.openxmlformats.org/drawingml/2006/main">
                <a:off x="3911609"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26" name="Rectangle: Rounded Corners 25">
              <a:extLst xmlns:a="http://schemas.openxmlformats.org/drawingml/2006/main">
                <a:ext uri="{FF2B5EF4-FFF2-40B4-BE49-F238E27FC236}">
                  <a16:creationId xmlns:a16="http://schemas.microsoft.com/office/drawing/2014/main" id="{300F94AD-138F-4573-510B-78116E4BF8A5}"/>
                </a:ext>
              </a:extLst>
            </cdr:cNvPr>
            <cdr:cNvSpPr/>
          </cdr:nvSpPr>
          <cdr:spPr>
            <a:xfrm xmlns:a="http://schemas.openxmlformats.org/drawingml/2006/main">
              <a:off x="3838722"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7" name="Group 16">
            <a:extLst xmlns:a="http://schemas.openxmlformats.org/drawingml/2006/main">
              <a:ext uri="{FF2B5EF4-FFF2-40B4-BE49-F238E27FC236}">
                <a16:creationId xmlns:a16="http://schemas.microsoft.com/office/drawing/2014/main" id="{658F97E3-0A29-C999-2FBD-CC1E86AD346C}"/>
              </a:ext>
            </a:extLst>
          </cdr:cNvPr>
          <cdr:cNvGrpSpPr/>
        </cdr:nvGrpSpPr>
        <cdr:grpSpPr>
          <a:xfrm xmlns:a="http://schemas.openxmlformats.org/drawingml/2006/main">
            <a:off x="12986237" y="2787103"/>
            <a:ext cx="721374" cy="751140"/>
            <a:chOff x="4798320" y="0"/>
            <a:chExt cx="722242" cy="777045"/>
          </a:xfrm>
        </cdr:grpSpPr>
        <cdr:grpSp>
          <cdr:nvGrpSpPr>
            <cdr:cNvPr id="18" name="Group 17">
              <a:extLst xmlns:a="http://schemas.openxmlformats.org/drawingml/2006/main">
                <a:ext uri="{FF2B5EF4-FFF2-40B4-BE49-F238E27FC236}">
                  <a16:creationId xmlns:a16="http://schemas.microsoft.com/office/drawing/2014/main" id="{AD5CDFEC-A83B-EE30-D424-C4DFF5B50361}"/>
                </a:ext>
              </a:extLst>
            </cdr:cNvPr>
            <cdr:cNvGrpSpPr/>
          </cdr:nvGrpSpPr>
          <cdr:grpSpPr>
            <a:xfrm xmlns:a="http://schemas.openxmlformats.org/drawingml/2006/main">
              <a:off x="4863086" y="47712"/>
              <a:ext cx="585907" cy="671564"/>
              <a:chOff x="4863086" y="47041"/>
              <a:chExt cx="585908" cy="652834"/>
            </a:xfrm>
          </cdr:grpSpPr>
          <cdr:grpSp>
            <cdr:nvGrpSpPr>
              <cdr:cNvPr id="20" name="Group 19">
                <a:extLst xmlns:a="http://schemas.openxmlformats.org/drawingml/2006/main">
                  <a:ext uri="{FF2B5EF4-FFF2-40B4-BE49-F238E27FC236}">
                    <a16:creationId xmlns:a16="http://schemas.microsoft.com/office/drawing/2014/main" id="{C043581F-3FDF-867A-200B-7B38622AE295}"/>
                  </a:ext>
                </a:extLst>
              </cdr:cNvPr>
              <cdr:cNvGrpSpPr/>
            </cdr:nvGrpSpPr>
            <cdr:grpSpPr>
              <a:xfrm xmlns:a="http://schemas.openxmlformats.org/drawingml/2006/main">
                <a:off x="4863086" y="47041"/>
                <a:ext cx="572169" cy="448391"/>
                <a:chOff x="4863086" y="47041"/>
                <a:chExt cx="572169" cy="454773"/>
              </a:xfrm>
            </cdr:grpSpPr>
            <cdr:sp macro="" textlink="'Data-Vẽ-LK'!$E$34">
              <cdr:nvSpPr>
                <cdr:cNvPr id="22" name="TextBox 90">
                  <a:extLst xmlns:a="http://schemas.openxmlformats.org/drawingml/2006/main">
                    <a:ext uri="{FF2B5EF4-FFF2-40B4-BE49-F238E27FC236}">
                      <a16:creationId xmlns:a16="http://schemas.microsoft.com/office/drawing/2014/main" id="{F6518843-B9C0-7D17-0D4F-82F765703133}"/>
                    </a:ext>
                  </a:extLst>
                </cdr:cNvPr>
                <cdr:cNvSpPr txBox="1"/>
              </cdr:nvSpPr>
              <cdr:spPr>
                <a:xfrm xmlns:a="http://schemas.openxmlformats.org/drawingml/2006/main">
                  <a:off x="4863086" y="47041"/>
                  <a:ext cx="572169" cy="28729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1AD0EB63-B66D-4225-89A1-785E4FD5DFBD}"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LK'!$F$34">
              <cdr:nvSpPr>
                <cdr:cNvPr id="23" name="TextBox 91">
                  <a:extLst xmlns:a="http://schemas.openxmlformats.org/drawingml/2006/main">
                    <a:ext uri="{FF2B5EF4-FFF2-40B4-BE49-F238E27FC236}">
                      <a16:creationId xmlns:a16="http://schemas.microsoft.com/office/drawing/2014/main" id="{B41BE7B0-D5DE-C529-22E6-994B21B516A7}"/>
                    </a:ext>
                  </a:extLst>
                </cdr:cNvPr>
                <cdr:cNvSpPr txBox="1"/>
              </cdr:nvSpPr>
              <cdr:spPr>
                <a:xfrm xmlns:a="http://schemas.openxmlformats.org/drawingml/2006/main">
                  <a:off x="4897374" y="244904"/>
                  <a:ext cx="509225" cy="2569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2F8F9889-8EB6-401D-ABEA-E8B78B5A8594}"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24" name="Straight Connector 23">
                  <a:extLst xmlns:a="http://schemas.openxmlformats.org/drawingml/2006/main">
                    <a:ext uri="{FF2B5EF4-FFF2-40B4-BE49-F238E27FC236}">
                      <a16:creationId xmlns:a16="http://schemas.microsoft.com/office/drawing/2014/main" id="{02D21524-8510-ED41-5502-8107B9ED0EF9}"/>
                    </a:ext>
                  </a:extLst>
                </cdr:cNvPr>
                <cdr:cNvCxnSpPr/>
              </cdr:nvCxnSpPr>
              <cdr:spPr>
                <a:xfrm xmlns:a="http://schemas.openxmlformats.org/drawingml/2006/main">
                  <a:off x="4864581" y="30546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1" name="TextBox 89">
                <a:extLst xmlns:a="http://schemas.openxmlformats.org/drawingml/2006/main">
                  <a:ext uri="{FF2B5EF4-FFF2-40B4-BE49-F238E27FC236}">
                    <a16:creationId xmlns:a16="http://schemas.microsoft.com/office/drawing/2014/main" id="{AD092232-DA1B-ACD6-352E-639254F969FC}"/>
                  </a:ext>
                </a:extLst>
              </cdr:cNvPr>
              <cdr:cNvSpPr txBox="1"/>
            </cdr:nvSpPr>
            <cdr:spPr>
              <a:xfrm xmlns:a="http://schemas.openxmlformats.org/drawingml/2006/main">
                <a:off x="4871207" y="439028"/>
                <a:ext cx="577787" cy="26084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19" name="Rectangle: Rounded Corners 18">
              <a:extLst xmlns:a="http://schemas.openxmlformats.org/drawingml/2006/main">
                <a:ext uri="{FF2B5EF4-FFF2-40B4-BE49-F238E27FC236}">
                  <a16:creationId xmlns:a16="http://schemas.microsoft.com/office/drawing/2014/main" id="{8A80884D-3C12-A198-BCEA-83818E2835CC}"/>
                </a:ext>
              </a:extLst>
            </cdr:cNvPr>
            <cdr:cNvSpPr/>
          </cdr:nvSpPr>
          <cdr:spPr>
            <a:xfrm xmlns:a="http://schemas.openxmlformats.org/drawingml/2006/main">
              <a:off x="4798320" y="0"/>
              <a:ext cx="722242" cy="77704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relSizeAnchor>
  <cdr:relSizeAnchor xmlns:cdr="http://schemas.openxmlformats.org/drawingml/2006/chartDrawing">
    <cdr:from>
      <cdr:x>0.56403</cdr:x>
      <cdr:y>0.41755</cdr:y>
    </cdr:from>
    <cdr:to>
      <cdr:x>0.58451</cdr:x>
      <cdr:y>0.45545</cdr:y>
    </cdr:to>
    <cdr:sp macro="" textlink="">
      <cdr:nvSpPr>
        <cdr:cNvPr id="67" name="TextBox 1">
          <a:extLst xmlns:a="http://schemas.openxmlformats.org/drawingml/2006/main">
            <a:ext uri="{FF2B5EF4-FFF2-40B4-BE49-F238E27FC236}">
              <a16:creationId xmlns:a16="http://schemas.microsoft.com/office/drawing/2014/main" id="{DE08247A-F958-2305-24BF-255852E2F7D2}"/>
            </a:ext>
          </a:extLst>
        </cdr:cNvPr>
        <cdr:cNvSpPr txBox="1"/>
      </cdr:nvSpPr>
      <cdr:spPr>
        <a:xfrm xmlns:a="http://schemas.openxmlformats.org/drawingml/2006/main">
          <a:off x="8910204" y="3075781"/>
          <a:ext cx="323533" cy="279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i="1">
              <a:solidFill>
                <a:schemeClr val="tx1">
                  <a:lumMod val="75000"/>
                  <a:lumOff val="25000"/>
                </a:schemeClr>
              </a:solidFill>
            </a:rPr>
            <a:t>(*)</a:t>
          </a:r>
        </a:p>
      </cdr:txBody>
    </cdr:sp>
  </cdr:relSizeAnchor>
  <cdr:relSizeAnchor xmlns:cdr="http://schemas.openxmlformats.org/drawingml/2006/chartDrawing">
    <cdr:from>
      <cdr:x>0.15808</cdr:x>
      <cdr:y>0.32422</cdr:y>
    </cdr:from>
    <cdr:to>
      <cdr:x>0.53545</cdr:x>
      <cdr:y>0.86315</cdr:y>
    </cdr:to>
    <cdr:sp macro="" textlink="">
      <cdr:nvSpPr>
        <cdr:cNvPr id="9" name="Rectangle 8">
          <a:extLst xmlns:a="http://schemas.openxmlformats.org/drawingml/2006/main">
            <a:ext uri="{FF2B5EF4-FFF2-40B4-BE49-F238E27FC236}">
              <a16:creationId xmlns:a16="http://schemas.microsoft.com/office/drawing/2014/main" id="{83ED7A6A-2C46-46EE-E315-70A0885B5C0C}"/>
            </a:ext>
          </a:extLst>
        </cdr:cNvPr>
        <cdr:cNvSpPr/>
      </cdr:nvSpPr>
      <cdr:spPr>
        <a:xfrm xmlns:a="http://schemas.openxmlformats.org/drawingml/2006/main">
          <a:off x="2426447" y="2538506"/>
          <a:ext cx="5792319" cy="4219495"/>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b="1"/>
            <a:t>CHƯA</a:t>
          </a:r>
          <a:r>
            <a:rPr lang="en-US" sz="1100" b="1" baseline="0"/>
            <a:t> LÀM</a:t>
          </a:r>
          <a:endParaRPr lang="en-US" sz="1100" b="1"/>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22411</xdr:rowOff>
    </xdr:from>
    <xdr:to>
      <xdr:col>11</xdr:col>
      <xdr:colOff>592952</xdr:colOff>
      <xdr:row>41</xdr:row>
      <xdr:rowOff>41416</xdr:rowOff>
    </xdr:to>
    <xdr:graphicFrame macro="">
      <xdr:nvGraphicFramePr>
        <xdr:cNvPr id="2" name="Chart 1">
          <a:extLst>
            <a:ext uri="{FF2B5EF4-FFF2-40B4-BE49-F238E27FC236}">
              <a16:creationId xmlns:a16="http://schemas.microsoft.com/office/drawing/2014/main" id="{44260C5B-F2F8-4767-9DCA-394651369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280147</xdr:colOff>
      <xdr:row>11</xdr:row>
      <xdr:rowOff>33617</xdr:rowOff>
    </xdr:from>
    <xdr:to>
      <xdr:col>4</xdr:col>
      <xdr:colOff>2800348</xdr:colOff>
      <xdr:row>33</xdr:row>
      <xdr:rowOff>62112</xdr:rowOff>
    </xdr:to>
    <xdr:sp macro="" textlink="">
      <xdr:nvSpPr>
        <xdr:cNvPr id="3" name="Rectangle 2">
          <a:extLst>
            <a:ext uri="{FF2B5EF4-FFF2-40B4-BE49-F238E27FC236}">
              <a16:creationId xmlns:a16="http://schemas.microsoft.com/office/drawing/2014/main" id="{07CD0403-B761-AA2F-952A-28201E46A55C}"/>
            </a:ext>
          </a:extLst>
        </xdr:cNvPr>
        <xdr:cNvSpPr/>
      </xdr:nvSpPr>
      <xdr:spPr>
        <a:xfrm>
          <a:off x="2935941" y="2129117"/>
          <a:ext cx="5792319" cy="42194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US" sz="1100" b="1"/>
            <a:t>CHƯA</a:t>
          </a:r>
          <a:r>
            <a:rPr lang="en-US" sz="1100" b="1" baseline="0"/>
            <a:t> LÀM</a:t>
          </a:r>
          <a:endParaRPr lang="en-US" sz="1100" b="1"/>
        </a:p>
      </xdr:txBody>
    </xdr:sp>
    <xdr:clientData/>
  </xdr:twoCellAnchor>
</xdr:wsDr>
</file>

<file path=xl/drawings/drawing13.xml><?xml version="1.0" encoding="utf-8"?>
<c:userShapes xmlns:c="http://schemas.openxmlformats.org/drawingml/2006/chart">
  <cdr:relSizeAnchor xmlns:cdr="http://schemas.openxmlformats.org/drawingml/2006/chartDrawing">
    <cdr:from>
      <cdr:x>0.07738</cdr:x>
      <cdr:y>0.52208</cdr:y>
    </cdr:from>
    <cdr:to>
      <cdr:x>0.43652</cdr:x>
      <cdr:y>0.80532</cdr:y>
    </cdr:to>
    <cdr:sp macro="" textlink="">
      <cdr:nvSpPr>
        <cdr:cNvPr id="2" name="Arrow: Left-Right 1">
          <a:extLst xmlns:a="http://schemas.openxmlformats.org/drawingml/2006/main">
            <a:ext uri="{FF2B5EF4-FFF2-40B4-BE49-F238E27FC236}">
              <a16:creationId xmlns:a16="http://schemas.microsoft.com/office/drawing/2014/main" id="{0DADA0CB-A4B6-D3A8-4432-FD71ACE10DDF}"/>
            </a:ext>
          </a:extLst>
        </cdr:cNvPr>
        <cdr:cNvSpPr/>
      </cdr:nvSpPr>
      <cdr:spPr>
        <a:xfrm xmlns:a="http://schemas.openxmlformats.org/drawingml/2006/main">
          <a:off x="1219656" y="3709957"/>
          <a:ext cx="5660756" cy="2012735"/>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FF0000"/>
              </a:solidFill>
            </a:rPr>
            <a:t>Tổng</a:t>
          </a:r>
          <a:r>
            <a:rPr lang="en-US" sz="2000" b="1" baseline="0">
              <a:solidFill>
                <a:srgbClr val="FF0000"/>
              </a:solidFill>
            </a:rPr>
            <a:t> biến phí tăng: </a:t>
          </a:r>
          <a:r>
            <a:rPr lang="en-US" sz="2300" b="1" baseline="0">
              <a:solidFill>
                <a:srgbClr val="FF0000"/>
              </a:solidFill>
            </a:rPr>
            <a:t>1.05 </a:t>
          </a:r>
          <a:r>
            <a:rPr lang="en-US" sz="2000" b="1" baseline="0">
              <a:solidFill>
                <a:srgbClr val="FF0000"/>
              </a:solidFill>
            </a:rPr>
            <a:t>triệu/tấn </a:t>
          </a:r>
          <a:r>
            <a:rPr lang="en-US" sz="2000" b="1" i="1" baseline="0">
              <a:solidFill>
                <a:srgbClr val="FF0000"/>
              </a:solidFill>
            </a:rPr>
            <a:t>(+4.8%)</a:t>
          </a:r>
        </a:p>
        <a:p xmlns:a="http://schemas.openxmlformats.org/drawingml/2006/main">
          <a:pPr algn="ctr"/>
          <a:r>
            <a:rPr lang="en-US" sz="1500" b="0" i="1" baseline="0">
              <a:solidFill>
                <a:srgbClr val="FF0000"/>
              </a:solidFill>
            </a:rPr>
            <a:t>(từ 21.77 triệu tấn lên 22.81 triệu/tấn)</a:t>
          </a:r>
          <a:endParaRPr lang="en-US" sz="1500" b="0" i="1">
            <a:solidFill>
              <a:srgbClr val="FF0000"/>
            </a:solidFill>
          </a:endParaRPr>
        </a:p>
      </cdr:txBody>
    </cdr:sp>
  </cdr:relSizeAnchor>
  <cdr:relSizeAnchor xmlns:cdr="http://schemas.openxmlformats.org/drawingml/2006/chartDrawing">
    <cdr:from>
      <cdr:x>0.52539</cdr:x>
      <cdr:y>0.5472</cdr:y>
    </cdr:from>
    <cdr:to>
      <cdr:x>0.92047</cdr:x>
      <cdr:y>0.78617</cdr:y>
    </cdr:to>
    <cdr:sp macro="" textlink="">
      <cdr:nvSpPr>
        <cdr:cNvPr id="3" name="Arrow: Left-Right 2">
          <a:extLst xmlns:a="http://schemas.openxmlformats.org/drawingml/2006/main">
            <a:ext uri="{FF2B5EF4-FFF2-40B4-BE49-F238E27FC236}">
              <a16:creationId xmlns:a16="http://schemas.microsoft.com/office/drawing/2014/main" id="{0277A517-247E-0F75-A5E8-DCBED70AC6AD}"/>
            </a:ext>
          </a:extLst>
        </cdr:cNvPr>
        <cdr:cNvSpPr/>
      </cdr:nvSpPr>
      <cdr:spPr>
        <a:xfrm xmlns:a="http://schemas.openxmlformats.org/drawingml/2006/main">
          <a:off x="8283206" y="3888440"/>
          <a:ext cx="6228722" cy="1698162"/>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chemeClr val="tx1"/>
              </a:solidFill>
            </a:rPr>
            <a:t>Tổng</a:t>
          </a:r>
          <a:r>
            <a:rPr lang="en-US" sz="2000" b="1" baseline="0">
              <a:solidFill>
                <a:schemeClr val="tx1"/>
              </a:solidFill>
            </a:rPr>
            <a:t> định phí không biến động</a:t>
          </a:r>
        </a:p>
        <a:p xmlns:a="http://schemas.openxmlformats.org/drawingml/2006/main">
          <a:pPr algn="ctr"/>
          <a:r>
            <a:rPr lang="en-US" sz="1500" b="0" i="1" baseline="0">
              <a:solidFill>
                <a:schemeClr val="tx1"/>
              </a:solidFill>
            </a:rPr>
            <a:t>(Tổng đinh phí: thực tế là 28.6 tỷ, tháng trước là 28.6 tỷ)</a:t>
          </a:r>
        </a:p>
      </cdr:txBody>
    </cdr:sp>
  </cdr:relSizeAnchor>
  <cdr:relSizeAnchor xmlns:cdr="http://schemas.openxmlformats.org/drawingml/2006/chartDrawing">
    <cdr:from>
      <cdr:x>0.00477</cdr:x>
      <cdr:y>0.06934</cdr:y>
    </cdr:from>
    <cdr:to>
      <cdr:x>0.08373</cdr:x>
      <cdr:y>0.1259</cdr:y>
    </cdr:to>
    <cdr:sp macro="" textlink="">
      <cdr:nvSpPr>
        <cdr:cNvPr id="4" name="TextBox 3">
          <a:extLst xmlns:a="http://schemas.openxmlformats.org/drawingml/2006/main">
            <a:ext uri="{FF2B5EF4-FFF2-40B4-BE49-F238E27FC236}">
              <a16:creationId xmlns:a16="http://schemas.microsoft.com/office/drawing/2014/main" id="{1DB20900-54D0-6E7C-901E-A130D498FDE5}"/>
            </a:ext>
          </a:extLst>
        </cdr:cNvPr>
        <cdr:cNvSpPr txBox="1"/>
      </cdr:nvSpPr>
      <cdr:spPr>
        <a:xfrm xmlns:a="http://schemas.openxmlformats.org/drawingml/2006/main">
          <a:off x="75166" y="502441"/>
          <a:ext cx="1245206" cy="4098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300" i="1"/>
            <a:t>Đvt:</a:t>
          </a:r>
          <a:r>
            <a:rPr lang="en-US" sz="1300" i="1" baseline="0"/>
            <a:t> triệu đồng/tấn</a:t>
          </a:r>
          <a:endParaRPr lang="en-US" sz="1300" i="1"/>
        </a:p>
      </cdr:txBody>
    </cdr:sp>
  </cdr:relSizeAnchor>
  <cdr:relSizeAnchor xmlns:cdr="http://schemas.openxmlformats.org/drawingml/2006/chartDrawing">
    <cdr:from>
      <cdr:x>0.90647</cdr:x>
      <cdr:y>0.14191</cdr:y>
    </cdr:from>
    <cdr:to>
      <cdr:x>1</cdr:x>
      <cdr:y>0.21933</cdr:y>
    </cdr:to>
    <cdr:sp macro="" textlink="">
      <cdr:nvSpPr>
        <cdr:cNvPr id="5" name="TextBox 4">
          <a:extLst xmlns:a="http://schemas.openxmlformats.org/drawingml/2006/main">
            <a:ext uri="{FF2B5EF4-FFF2-40B4-BE49-F238E27FC236}">
              <a16:creationId xmlns:a16="http://schemas.microsoft.com/office/drawing/2014/main" id="{FC3DE202-66B9-BD32-3556-4B254E7B4240}"/>
            </a:ext>
          </a:extLst>
        </cdr:cNvPr>
        <cdr:cNvSpPr txBox="1"/>
      </cdr:nvSpPr>
      <cdr:spPr>
        <a:xfrm xmlns:a="http://schemas.openxmlformats.org/drawingml/2006/main">
          <a:off x="14295046" y="1028303"/>
          <a:ext cx="1475041" cy="56098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500" b="1" baseline="0">
              <a:solidFill>
                <a:srgbClr val="C00000"/>
              </a:solidFill>
            </a:rPr>
            <a:t>+2.13 </a:t>
          </a:r>
          <a:r>
            <a:rPr lang="en-US" sz="1300" b="1" baseline="0">
              <a:solidFill>
                <a:srgbClr val="C00000"/>
              </a:solidFill>
            </a:rPr>
            <a:t>triệu đồng/tấn</a:t>
          </a:r>
        </a:p>
        <a:p xmlns:a="http://schemas.openxmlformats.org/drawingml/2006/main">
          <a:pPr algn="ctr"/>
          <a:r>
            <a:rPr lang="en-US" sz="1300" b="0" i="1" baseline="0">
              <a:solidFill>
                <a:srgbClr val="C00000"/>
              </a:solidFill>
            </a:rPr>
            <a:t>(+7.7%)</a:t>
          </a:r>
          <a:endParaRPr lang="en-US" sz="1300" b="0" i="1">
            <a:solidFill>
              <a:srgbClr val="C00000"/>
            </a:solidFill>
          </a:endParaRPr>
        </a:p>
      </cdr:txBody>
    </cdr:sp>
  </cdr:relSizeAnchor>
  <cdr:relSizeAnchor xmlns:cdr="http://schemas.openxmlformats.org/drawingml/2006/chartDrawing">
    <cdr:from>
      <cdr:x>0.44931</cdr:x>
      <cdr:y>0.36844</cdr:y>
    </cdr:from>
    <cdr:to>
      <cdr:x>0.50622</cdr:x>
      <cdr:y>0.58933</cdr:y>
    </cdr:to>
    <cdr:sp macro="" textlink="">
      <cdr:nvSpPr>
        <cdr:cNvPr id="7" name="Rectangle: Rounded Corners 6">
          <a:extLst xmlns:a="http://schemas.openxmlformats.org/drawingml/2006/main">
            <a:ext uri="{FF2B5EF4-FFF2-40B4-BE49-F238E27FC236}">
              <a16:creationId xmlns:a16="http://schemas.microsoft.com/office/drawing/2014/main" id="{E5E50293-A90A-518B-5278-BB2FAC1DBF88}"/>
            </a:ext>
          </a:extLst>
        </cdr:cNvPr>
        <cdr:cNvSpPr/>
      </cdr:nvSpPr>
      <cdr:spPr>
        <a:xfrm xmlns:a="http://schemas.openxmlformats.org/drawingml/2006/main">
          <a:off x="7081681" y="2715426"/>
          <a:ext cx="896908" cy="1627975"/>
        </a:xfrm>
        <a:prstGeom xmlns:a="http://schemas.openxmlformats.org/drawingml/2006/main" prst="roundRect">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100" b="1" baseline="0">
              <a:solidFill>
                <a:srgbClr val="FF0000"/>
              </a:solidFill>
              <a:effectLst/>
              <a:latin typeface="+mn-lt"/>
              <a:ea typeface="+mn-ea"/>
              <a:cs typeface="+mn-cs"/>
            </a:rPr>
            <a:t>Giảm từ:</a:t>
          </a:r>
          <a:endParaRPr lang="en-US" b="1">
            <a:solidFill>
              <a:srgbClr val="FF0000"/>
            </a:solidFill>
            <a:effectLst/>
          </a:endParaRPr>
        </a:p>
        <a:p xmlns:a="http://schemas.openxmlformats.org/drawingml/2006/main">
          <a:pPr algn="ctr"/>
          <a:r>
            <a:rPr lang="en-US" sz="1300" b="1" baseline="0">
              <a:solidFill>
                <a:srgbClr val="FF0000"/>
              </a:solidFill>
              <a:effectLst/>
              <a:latin typeface="+mn-lt"/>
              <a:ea typeface="+mn-ea"/>
              <a:cs typeface="+mn-cs"/>
            </a:rPr>
            <a:t>4,822 </a:t>
          </a:r>
          <a:r>
            <a:rPr lang="en-US" sz="1100" baseline="0">
              <a:solidFill>
                <a:srgbClr val="FF0000"/>
              </a:solidFill>
              <a:effectLst/>
              <a:latin typeface="+mn-lt"/>
              <a:ea typeface="+mn-ea"/>
              <a:cs typeface="+mn-cs"/>
            </a:rPr>
            <a:t>tấn </a:t>
          </a:r>
          <a:r>
            <a:rPr lang="en-US" sz="1100" baseline="0">
              <a:solidFill>
                <a:srgbClr val="FF0000"/>
              </a:solidFill>
              <a:effectLst/>
              <a:latin typeface="Aptos Narrow" panose="020B0004020202020204" pitchFamily="34" charset="0"/>
              <a:ea typeface="+mn-ea"/>
              <a:cs typeface="+mn-cs"/>
            </a:rPr>
            <a:t>→</a:t>
          </a:r>
          <a:r>
            <a:rPr lang="en-US" sz="1100" baseline="0">
              <a:solidFill>
                <a:srgbClr val="FF0000"/>
              </a:solidFill>
              <a:effectLst/>
              <a:latin typeface="+mn-lt"/>
              <a:ea typeface="+mn-ea"/>
              <a:cs typeface="+mn-cs"/>
            </a:rPr>
            <a:t> </a:t>
          </a:r>
          <a:r>
            <a:rPr lang="en-US" sz="1500" b="1" baseline="0">
              <a:solidFill>
                <a:srgbClr val="FF0000"/>
              </a:solidFill>
              <a:effectLst/>
              <a:latin typeface="+mn-lt"/>
              <a:ea typeface="+mn-ea"/>
              <a:cs typeface="+mn-cs"/>
            </a:rPr>
            <a:t>4,088 </a:t>
          </a:r>
          <a:r>
            <a:rPr lang="en-US" sz="1100" baseline="0">
              <a:solidFill>
                <a:srgbClr val="FF0000"/>
              </a:solidFill>
              <a:effectLst/>
              <a:latin typeface="+mn-lt"/>
              <a:ea typeface="+mn-ea"/>
              <a:cs typeface="+mn-cs"/>
            </a:rPr>
            <a:t>tấn</a:t>
          </a:r>
          <a:endParaRPr lang="vi-VN" sz="1100" baseline="0">
            <a:solidFill>
              <a:srgbClr val="FF0000"/>
            </a:solidFill>
            <a:effectLst/>
            <a:latin typeface="+mn-lt"/>
            <a:ea typeface="+mn-ea"/>
            <a:cs typeface="+mn-cs"/>
          </a:endParaRPr>
        </a:p>
        <a:p xmlns:a="http://schemas.openxmlformats.org/drawingml/2006/main">
          <a:pPr algn="ctr"/>
          <a:endParaRPr lang="en-US">
            <a:solidFill>
              <a:srgbClr val="FF0000"/>
            </a:solidFill>
            <a:effectLst/>
          </a:endParaRPr>
        </a:p>
        <a:p xmlns:a="http://schemas.openxmlformats.org/drawingml/2006/main">
          <a:pPr algn="ctr"/>
          <a:r>
            <a:rPr lang="en-US" sz="1100" i="1" baseline="0">
              <a:solidFill>
                <a:srgbClr val="FF0000"/>
              </a:solidFill>
              <a:effectLst/>
              <a:latin typeface="+mn-lt"/>
              <a:ea typeface="+mn-ea"/>
              <a:cs typeface="+mn-cs"/>
            </a:rPr>
            <a:t>(-734 tấn ~ -15.2 %)</a:t>
          </a:r>
          <a:endParaRPr lang="en-US" i="1">
            <a:solidFill>
              <a:srgbClr val="FF0000"/>
            </a:solidFill>
            <a:effectLst/>
          </a:endParaRPr>
        </a:p>
      </cdr:txBody>
    </cdr:sp>
  </cdr:relSizeAnchor>
  <cdr:relSizeAnchor xmlns:cdr="http://schemas.openxmlformats.org/drawingml/2006/chartDrawing">
    <cdr:from>
      <cdr:x>0.0065</cdr:x>
      <cdr:y>0.14477</cdr:y>
    </cdr:from>
    <cdr:to>
      <cdr:x>0.14735</cdr:x>
      <cdr:y>0.26084</cdr:y>
    </cdr:to>
    <cdr:sp macro="" textlink="">
      <cdr:nvSpPr>
        <cdr:cNvPr id="122" name="Speech Bubble: Rectangle with Corners Rounded 121">
          <a:extLst xmlns:a="http://schemas.openxmlformats.org/drawingml/2006/main">
            <a:ext uri="{FF2B5EF4-FFF2-40B4-BE49-F238E27FC236}">
              <a16:creationId xmlns:a16="http://schemas.microsoft.com/office/drawing/2014/main" id="{01064B14-A439-FA88-AA95-8E17F3DF9F5B}"/>
            </a:ext>
          </a:extLst>
        </cdr:cNvPr>
        <cdr:cNvSpPr/>
      </cdr:nvSpPr>
      <cdr:spPr>
        <a:xfrm xmlns:a="http://schemas.openxmlformats.org/drawingml/2006/main">
          <a:off x="99976" y="1092049"/>
          <a:ext cx="2166401" cy="875532"/>
        </a:xfrm>
        <a:prstGeom xmlns:a="http://schemas.openxmlformats.org/drawingml/2006/main" prst="wedgeRoundRectCallout">
          <a:avLst>
            <a:gd name="adj1" fmla="val 19642"/>
            <a:gd name="adj2" fmla="val 76253"/>
            <a:gd name="adj3" fmla="val 16667"/>
          </a:avLst>
        </a:prstGeom>
        <a:noFill xmlns:a="http://schemas.openxmlformats.org/drawingml/2006/main"/>
        <a:ln xmlns:a="http://schemas.openxmlformats.org/drawingml/2006/main" w="12700">
          <a:solidFill>
            <a:schemeClr val="tx1">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300">
              <a:solidFill>
                <a:sysClr val="windowText" lastClr="000000"/>
              </a:solidFill>
            </a:rPr>
            <a:t>Gi</a:t>
          </a:r>
          <a:r>
            <a:rPr lang="en-US" sz="1300" baseline="0">
              <a:solidFill>
                <a:sysClr val="windowText" lastClr="000000"/>
              </a:solidFill>
            </a:rPr>
            <a:t>á chai B1 được duyệt T04 là: 18.000 đ/kg; T03 là 17.200 đ/kg</a:t>
          </a:r>
          <a:endParaRPr lang="en-US" sz="1300">
            <a:solidFill>
              <a:sysClr val="windowText" lastClr="000000"/>
            </a:solidFill>
          </a:endParaRPr>
        </a:p>
      </cdr:txBody>
    </cdr:sp>
  </cdr:relSizeAnchor>
  <cdr:relSizeAnchor xmlns:cdr="http://schemas.openxmlformats.org/drawingml/2006/chartDrawing">
    <cdr:from>
      <cdr:x>0.07723</cdr:x>
      <cdr:y>0.37754</cdr:y>
    </cdr:from>
    <cdr:to>
      <cdr:x>0.20305</cdr:x>
      <cdr:y>0.50619</cdr:y>
    </cdr:to>
    <cdr:sp macro="" textlink="">
      <cdr:nvSpPr>
        <cdr:cNvPr id="6" name="Rectangle: Rounded Corners 5">
          <a:extLst xmlns:a="http://schemas.openxmlformats.org/drawingml/2006/main">
            <a:ext uri="{FF2B5EF4-FFF2-40B4-BE49-F238E27FC236}">
              <a16:creationId xmlns:a16="http://schemas.microsoft.com/office/drawing/2014/main" id="{C717C0FE-0471-889A-5A70-21923E528028}"/>
            </a:ext>
          </a:extLst>
        </cdr:cNvPr>
        <cdr:cNvSpPr/>
      </cdr:nvSpPr>
      <cdr:spPr>
        <a:xfrm xmlns:a="http://schemas.openxmlformats.org/drawingml/2006/main">
          <a:off x="1187823" y="2847863"/>
          <a:ext cx="1935247" cy="970425"/>
        </a:xfrm>
        <a:prstGeom xmlns:a="http://schemas.openxmlformats.org/drawingml/2006/main" prst="roundRect">
          <a:avLst/>
        </a:prstGeom>
        <a:noFill xmlns:a="http://schemas.openxmlformats.org/drawingml/2006/main"/>
        <a:ln xmlns:a="http://schemas.openxmlformats.org/drawingml/2006/main">
          <a:solidFill>
            <a:schemeClr val="bg1">
              <a:lumMod val="75000"/>
            </a:schemeClr>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300" b="1" i="0">
              <a:solidFill>
                <a:srgbClr val="FF0000"/>
              </a:solidFill>
            </a:rPr>
            <a:t>Nhựa</a:t>
          </a:r>
          <a:r>
            <a:rPr lang="en-US" sz="1300" b="1" i="0" baseline="0">
              <a:solidFill>
                <a:srgbClr val="FF0000"/>
              </a:solidFill>
            </a:rPr>
            <a:t> Phế: tăng</a:t>
          </a:r>
          <a:r>
            <a:rPr lang="en-US" sz="1300" b="0" i="0" baseline="0">
              <a:solidFill>
                <a:srgbClr val="FF0000"/>
              </a:solidFill>
            </a:rPr>
            <a:t> </a:t>
          </a:r>
        </a:p>
        <a:p xmlns:a="http://schemas.openxmlformats.org/drawingml/2006/main">
          <a:pPr algn="ctr"/>
          <a:r>
            <a:rPr lang="en-US" sz="1300" b="0" i="0" baseline="0">
              <a:solidFill>
                <a:srgbClr val="FF0000"/>
              </a:solidFill>
            </a:rPr>
            <a:t>từ 19.4 </a:t>
          </a:r>
          <a:r>
            <a:rPr lang="en-US" sz="1300" b="0" i="0" baseline="0">
              <a:solidFill>
                <a:srgbClr val="FF0000"/>
              </a:solidFill>
              <a:latin typeface="Aptos Narrow" panose="020B0004020202020204" pitchFamily="34" charset="0"/>
            </a:rPr>
            <a:t>→</a:t>
          </a:r>
          <a:r>
            <a:rPr lang="en-US" sz="1300" b="0" i="0" baseline="0">
              <a:solidFill>
                <a:srgbClr val="FF0000"/>
              </a:solidFill>
            </a:rPr>
            <a:t> 20.0 triệu/tấn</a:t>
          </a:r>
        </a:p>
        <a:p xmlns:a="http://schemas.openxmlformats.org/drawingml/2006/main">
          <a:pPr algn="ctr"/>
          <a:r>
            <a:rPr lang="en-US" sz="1300" b="0" i="0" baseline="0">
              <a:solidFill>
                <a:srgbClr val="FF0000"/>
              </a:solidFill>
            </a:rPr>
            <a:t>(</a:t>
          </a:r>
          <a:r>
            <a:rPr lang="en-US" sz="1300" b="1" i="0" baseline="0">
              <a:solidFill>
                <a:srgbClr val="FF0000"/>
              </a:solidFill>
            </a:rPr>
            <a:t>+</a:t>
          </a:r>
          <a:r>
            <a:rPr lang="en-US" sz="1300" b="1" i="1" baseline="0">
              <a:solidFill>
                <a:srgbClr val="FF0000"/>
              </a:solidFill>
            </a:rPr>
            <a:t> 0.62 triệu/tấn </a:t>
          </a:r>
          <a:r>
            <a:rPr lang="en-US" sz="1300" b="0" i="1" baseline="0">
              <a:solidFill>
                <a:srgbClr val="FF0000"/>
              </a:solidFill>
            </a:rPr>
            <a:t>~</a:t>
          </a:r>
        </a:p>
        <a:p xmlns:a="http://schemas.openxmlformats.org/drawingml/2006/main">
          <a:pPr algn="ctr"/>
          <a:r>
            <a:rPr lang="en-US" sz="1300" b="0" i="1" baseline="0">
              <a:solidFill>
                <a:srgbClr val="FF0000"/>
              </a:solidFill>
            </a:rPr>
            <a:t>+ 3.2%) </a:t>
          </a:r>
          <a:endParaRPr lang="en-US" sz="1300" b="0" i="1">
            <a:solidFill>
              <a:srgbClr val="FF0000"/>
            </a:solidFill>
          </a:endParaRPr>
        </a:p>
      </cdr:txBody>
    </cdr:sp>
  </cdr:relSizeAnchor>
  <cdr:relSizeAnchor xmlns:cdr="http://schemas.openxmlformats.org/drawingml/2006/chartDrawing">
    <cdr:from>
      <cdr:x>0.51725</cdr:x>
      <cdr:y>0.42165</cdr:y>
    </cdr:from>
    <cdr:to>
      <cdr:x>0.93101</cdr:x>
      <cdr:y>0.52584</cdr:y>
    </cdr:to>
    <cdr:grpSp>
      <cdr:nvGrpSpPr>
        <cdr:cNvPr id="68" name="Group 67">
          <a:extLst xmlns:a="http://schemas.openxmlformats.org/drawingml/2006/main">
            <a:ext uri="{FF2B5EF4-FFF2-40B4-BE49-F238E27FC236}">
              <a16:creationId xmlns:a16="http://schemas.microsoft.com/office/drawing/2014/main" id="{625FE457-3082-C83C-6AE9-32CB8A2F1B90}"/>
            </a:ext>
          </a:extLst>
        </cdr:cNvPr>
        <cdr:cNvGrpSpPr/>
      </cdr:nvGrpSpPr>
      <cdr:grpSpPr>
        <a:xfrm xmlns:a="http://schemas.openxmlformats.org/drawingml/2006/main">
          <a:off x="8286199" y="3236736"/>
          <a:ext cx="6628318" cy="799800"/>
          <a:chOff x="8152697" y="2997936"/>
          <a:chExt cx="6521947" cy="740739"/>
        </a:xfrm>
      </cdr:grpSpPr>
      <cdr:grpSp>
        <cdr:nvGrpSpPr>
          <cdr:cNvPr id="9" name="Group 8">
            <a:extLst xmlns:a="http://schemas.openxmlformats.org/drawingml/2006/main">
              <a:ext uri="{FF2B5EF4-FFF2-40B4-BE49-F238E27FC236}">
                <a16:creationId xmlns:a16="http://schemas.microsoft.com/office/drawing/2014/main" id="{BCC4BBED-BD45-94DE-46ED-F34B97E7C8DD}"/>
              </a:ext>
            </a:extLst>
          </cdr:cNvPr>
          <cdr:cNvGrpSpPr/>
        </cdr:nvGrpSpPr>
        <cdr:grpSpPr>
          <a:xfrm xmlns:a="http://schemas.openxmlformats.org/drawingml/2006/main">
            <a:off x="8152697" y="2997936"/>
            <a:ext cx="722050" cy="731916"/>
            <a:chOff x="0" y="2"/>
            <a:chExt cx="722242" cy="756997"/>
          </a:xfrm>
        </cdr:grpSpPr>
        <cdr:grpSp>
          <cdr:nvGrpSpPr>
            <cdr:cNvPr id="58" name="Group 57">
              <a:extLst xmlns:a="http://schemas.openxmlformats.org/drawingml/2006/main">
                <a:ext uri="{FF2B5EF4-FFF2-40B4-BE49-F238E27FC236}">
                  <a16:creationId xmlns:a16="http://schemas.microsoft.com/office/drawing/2014/main" id="{F7CF560B-CA7A-C8A3-62DF-BEA755F35EA3}"/>
                </a:ext>
              </a:extLst>
            </cdr:cNvPr>
            <cdr:cNvGrpSpPr/>
          </cdr:nvGrpSpPr>
          <cdr:grpSpPr>
            <a:xfrm xmlns:a="http://schemas.openxmlformats.org/drawingml/2006/main">
              <a:off x="19489" y="46481"/>
              <a:ext cx="631184" cy="663550"/>
              <a:chOff x="19489" y="45828"/>
              <a:chExt cx="631184" cy="654239"/>
            </a:xfrm>
          </cdr:grpSpPr>
          <cdr:grpSp>
            <cdr:nvGrpSpPr>
              <cdr:cNvPr id="60" name="Group 59">
                <a:extLst xmlns:a="http://schemas.openxmlformats.org/drawingml/2006/main">
                  <a:ext uri="{FF2B5EF4-FFF2-40B4-BE49-F238E27FC236}">
                    <a16:creationId xmlns:a16="http://schemas.microsoft.com/office/drawing/2014/main" id="{E049CABC-61C5-84A9-8BDF-5E793418E1E2}"/>
                  </a:ext>
                </a:extLst>
              </cdr:cNvPr>
              <cdr:cNvGrpSpPr/>
            </cdr:nvGrpSpPr>
            <cdr:grpSpPr>
              <a:xfrm xmlns:a="http://schemas.openxmlformats.org/drawingml/2006/main">
                <a:off x="19489" y="45828"/>
                <a:ext cx="624851" cy="472470"/>
                <a:chOff x="19489" y="45828"/>
                <a:chExt cx="624851" cy="472471"/>
              </a:xfrm>
            </cdr:grpSpPr>
            <cdr:sp macro="" textlink="'Data-Vẽ -MoM'!$E$29">
              <cdr:nvSpPr>
                <cdr:cNvPr id="62" name="TextBox 58">
                  <a:extLst xmlns:a="http://schemas.openxmlformats.org/drawingml/2006/main">
                    <a:ext uri="{FF2B5EF4-FFF2-40B4-BE49-F238E27FC236}">
                      <a16:creationId xmlns:a16="http://schemas.microsoft.com/office/drawing/2014/main" id="{7DD71C48-D0B2-EA97-5E3C-555AD1BF1F60}"/>
                    </a:ext>
                  </a:extLst>
                </cdr:cNvPr>
                <cdr:cNvSpPr txBox="1"/>
              </cdr:nvSpPr>
              <cdr:spPr>
                <a:xfrm xmlns:a="http://schemas.openxmlformats.org/drawingml/2006/main">
                  <a:off x="19489" y="45828"/>
                  <a:ext cx="624851"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CDB921B-CCBE-4FD9-B952-15797F5FEDD6}"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29">
              <cdr:nvSpPr>
                <cdr:cNvPr id="63" name="TextBox 59">
                  <a:extLst xmlns:a="http://schemas.openxmlformats.org/drawingml/2006/main">
                    <a:ext uri="{FF2B5EF4-FFF2-40B4-BE49-F238E27FC236}">
                      <a16:creationId xmlns:a16="http://schemas.microsoft.com/office/drawing/2014/main" id="{F7C81509-46C2-CB61-2E90-E4898F6E36B3}"/>
                    </a:ext>
                  </a:extLst>
                </cdr:cNvPr>
                <cdr:cNvSpPr txBox="1"/>
              </cdr:nvSpPr>
              <cdr:spPr>
                <a:xfrm xmlns:a="http://schemas.openxmlformats.org/drawingml/2006/main">
                  <a:off x="66262" y="268435"/>
                  <a:ext cx="556972"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8BE7A10E-0ADB-4F9C-9701-2B4533C60BEB}"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64" name="Straight Connector 63">
                  <a:extLst xmlns:a="http://schemas.openxmlformats.org/drawingml/2006/main">
                    <a:ext uri="{FF2B5EF4-FFF2-40B4-BE49-F238E27FC236}">
                      <a16:creationId xmlns:a16="http://schemas.microsoft.com/office/drawing/2014/main" id="{31286EA3-9DA1-BC70-854B-B598B84637B6}"/>
                    </a:ext>
                  </a:extLst>
                </cdr:cNvPr>
                <cdr:cNvCxnSpPr/>
              </cdr:nvCxnSpPr>
              <cdr:spPr>
                <a:xfrm xmlns:a="http://schemas.openxmlformats.org/drawingml/2006/main">
                  <a:off x="66261" y="30117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61" name="TextBox 57">
                <a:extLst xmlns:a="http://schemas.openxmlformats.org/drawingml/2006/main">
                  <a:ext uri="{FF2B5EF4-FFF2-40B4-BE49-F238E27FC236}">
                    <a16:creationId xmlns:a16="http://schemas.microsoft.com/office/drawing/2014/main" id="{602F9D1B-A636-89F0-2CD6-9DEC01B722C3}"/>
                  </a:ext>
                </a:extLst>
              </cdr:cNvPr>
              <cdr:cNvSpPr txBox="1"/>
            </cdr:nvSpPr>
            <cdr:spPr>
              <a:xfrm xmlns:a="http://schemas.openxmlformats.org/drawingml/2006/main">
                <a:off x="72887" y="438659"/>
                <a:ext cx="577786" cy="2614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9" name="Rectangle: Rounded Corners 58">
              <a:extLst xmlns:a="http://schemas.openxmlformats.org/drawingml/2006/main">
                <a:ext uri="{FF2B5EF4-FFF2-40B4-BE49-F238E27FC236}">
                  <a16:creationId xmlns:a16="http://schemas.microsoft.com/office/drawing/2014/main" id="{5F6F3959-4692-960B-CD0A-7BE9F86D1291}"/>
                </a:ext>
              </a:extLst>
            </cdr:cNvPr>
            <cdr:cNvSpPr/>
          </cdr:nvSpPr>
          <cdr:spPr>
            <a:xfrm xmlns:a="http://schemas.openxmlformats.org/drawingml/2006/main">
              <a:off x="0" y="2"/>
              <a:ext cx="722242" cy="756997"/>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0" name="Group 9">
            <a:extLst xmlns:a="http://schemas.openxmlformats.org/drawingml/2006/main">
              <a:ext uri="{FF2B5EF4-FFF2-40B4-BE49-F238E27FC236}">
                <a16:creationId xmlns:a16="http://schemas.microsoft.com/office/drawing/2014/main" id="{E39BF362-5314-72D9-589A-7BB11AC72265}"/>
              </a:ext>
            </a:extLst>
          </cdr:cNvPr>
          <cdr:cNvGrpSpPr/>
        </cdr:nvGrpSpPr>
        <cdr:grpSpPr>
          <a:xfrm xmlns:a="http://schemas.openxmlformats.org/drawingml/2006/main">
            <a:off x="9111830" y="2997936"/>
            <a:ext cx="762377" cy="740739"/>
            <a:chOff x="917517" y="0"/>
            <a:chExt cx="762578" cy="766125"/>
          </a:xfrm>
        </cdr:grpSpPr>
        <cdr:grpSp>
          <cdr:nvGrpSpPr>
            <cdr:cNvPr id="51" name="Group 50">
              <a:extLst xmlns:a="http://schemas.openxmlformats.org/drawingml/2006/main">
                <a:ext uri="{FF2B5EF4-FFF2-40B4-BE49-F238E27FC236}">
                  <a16:creationId xmlns:a16="http://schemas.microsoft.com/office/drawing/2014/main" id="{64ED876A-AB52-45F9-7AC0-2B79AC4B5A32}"/>
                </a:ext>
              </a:extLst>
            </cdr:cNvPr>
            <cdr:cNvGrpSpPr/>
          </cdr:nvGrpSpPr>
          <cdr:grpSpPr>
            <a:xfrm xmlns:a="http://schemas.openxmlformats.org/drawingml/2006/main">
              <a:off x="917517" y="47042"/>
              <a:ext cx="738175" cy="671551"/>
              <a:chOff x="917517" y="46382"/>
              <a:chExt cx="738176" cy="662126"/>
            </a:xfrm>
          </cdr:grpSpPr>
          <cdr:grpSp>
            <cdr:nvGrpSpPr>
              <cdr:cNvPr id="53" name="Group 52">
                <a:extLst xmlns:a="http://schemas.openxmlformats.org/drawingml/2006/main">
                  <a:ext uri="{FF2B5EF4-FFF2-40B4-BE49-F238E27FC236}">
                    <a16:creationId xmlns:a16="http://schemas.microsoft.com/office/drawing/2014/main" id="{FC3598DF-73E7-EC1F-4AA3-F441841DC32C}"/>
                  </a:ext>
                </a:extLst>
              </cdr:cNvPr>
              <cdr:cNvGrpSpPr/>
            </cdr:nvGrpSpPr>
            <cdr:grpSpPr>
              <a:xfrm xmlns:a="http://schemas.openxmlformats.org/drawingml/2006/main">
                <a:off x="917517" y="46382"/>
                <a:ext cx="738176" cy="475152"/>
                <a:chOff x="917517" y="46382"/>
                <a:chExt cx="738176" cy="475152"/>
              </a:xfrm>
            </cdr:grpSpPr>
            <cdr:sp macro="" textlink="'Data-Vẽ -MoM'!$E$30">
              <cdr:nvSpPr>
                <cdr:cNvPr id="55" name="TextBox 51">
                  <a:extLst xmlns:a="http://schemas.openxmlformats.org/drawingml/2006/main">
                    <a:ext uri="{FF2B5EF4-FFF2-40B4-BE49-F238E27FC236}">
                      <a16:creationId xmlns:a16="http://schemas.microsoft.com/office/drawing/2014/main" id="{F9F787E8-5620-7D55-AA54-5C1AB2FC7FEB}"/>
                    </a:ext>
                  </a:extLst>
                </cdr:cNvPr>
                <cdr:cNvSpPr txBox="1"/>
              </cdr:nvSpPr>
              <cdr:spPr>
                <a:xfrm xmlns:a="http://schemas.openxmlformats.org/drawingml/2006/main">
                  <a:off x="917517" y="46382"/>
                  <a:ext cx="709014"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E9AA5E7-F777-4A63-B4D6-70C4926DB3A9}"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0">
              <cdr:nvSpPr>
                <cdr:cNvPr id="56" name="TextBox 52">
                  <a:extLst xmlns:a="http://schemas.openxmlformats.org/drawingml/2006/main">
                    <a:ext uri="{FF2B5EF4-FFF2-40B4-BE49-F238E27FC236}">
                      <a16:creationId xmlns:a16="http://schemas.microsoft.com/office/drawing/2014/main" id="{59FD2877-3585-D0E9-7017-3108046B4CB8}"/>
                    </a:ext>
                  </a:extLst>
                </cdr:cNvPr>
                <cdr:cNvSpPr txBox="1"/>
              </cdr:nvSpPr>
              <cdr:spPr>
                <a:xfrm xmlns:a="http://schemas.openxmlformats.org/drawingml/2006/main">
                  <a:off x="1024116" y="271670"/>
                  <a:ext cx="631577"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61C8EB7-9F02-4107-9377-6D699929D285}"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57" name="Straight Connector 56">
                  <a:extLst xmlns:a="http://schemas.openxmlformats.org/drawingml/2006/main">
                    <a:ext uri="{FF2B5EF4-FFF2-40B4-BE49-F238E27FC236}">
                      <a16:creationId xmlns:a16="http://schemas.microsoft.com/office/drawing/2014/main" id="{A16691AD-EEDE-C2B8-A11C-AACABB175309}"/>
                    </a:ext>
                  </a:extLst>
                </cdr:cNvPr>
                <cdr:cNvCxnSpPr/>
              </cdr:nvCxnSpPr>
              <cdr:spPr>
                <a:xfrm xmlns:a="http://schemas.openxmlformats.org/drawingml/2006/main">
                  <a:off x="1024115"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54" name="TextBox 50">
                <a:extLst xmlns:a="http://schemas.openxmlformats.org/drawingml/2006/main">
                  <a:ext uri="{FF2B5EF4-FFF2-40B4-BE49-F238E27FC236}">
                    <a16:creationId xmlns:a16="http://schemas.microsoft.com/office/drawing/2014/main" id="{91DBB290-B795-AF7E-69C4-F2B8CD4052FA}"/>
                  </a:ext>
                </a:extLst>
              </cdr:cNvPr>
              <cdr:cNvSpPr txBox="1"/>
            </cdr:nvSpPr>
            <cdr:spPr>
              <a:xfrm xmlns:a="http://schemas.openxmlformats.org/drawingml/2006/main">
                <a:off x="1030741"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2" name="Rectangle: Rounded Corners 51">
              <a:extLst xmlns:a="http://schemas.openxmlformats.org/drawingml/2006/main">
                <a:ext uri="{FF2B5EF4-FFF2-40B4-BE49-F238E27FC236}">
                  <a16:creationId xmlns:a16="http://schemas.microsoft.com/office/drawing/2014/main" id="{FA4F4F47-0286-8F20-A524-0179A4409EC4}"/>
                </a:ext>
              </a:extLst>
            </cdr:cNvPr>
            <cdr:cNvSpPr/>
          </cdr:nvSpPr>
          <cdr:spPr>
            <a:xfrm xmlns:a="http://schemas.openxmlformats.org/drawingml/2006/main">
              <a:off x="957854" y="0"/>
              <a:ext cx="722241"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1" name="Group 10">
            <a:extLst xmlns:a="http://schemas.openxmlformats.org/drawingml/2006/main">
              <a:ext uri="{FF2B5EF4-FFF2-40B4-BE49-F238E27FC236}">
                <a16:creationId xmlns:a16="http://schemas.microsoft.com/office/drawing/2014/main" id="{87764569-A7CB-7A31-7D51-9E824B6B37FA}"/>
              </a:ext>
            </a:extLst>
          </cdr:cNvPr>
          <cdr:cNvGrpSpPr/>
        </cdr:nvGrpSpPr>
        <cdr:grpSpPr>
          <a:xfrm xmlns:a="http://schemas.openxmlformats.org/drawingml/2006/main">
            <a:off x="10111290" y="2997936"/>
            <a:ext cx="722050" cy="740739"/>
            <a:chOff x="1915380" y="2"/>
            <a:chExt cx="722243" cy="766125"/>
          </a:xfrm>
        </cdr:grpSpPr>
        <cdr:grpSp>
          <cdr:nvGrpSpPr>
            <cdr:cNvPr id="44" name="Group 43">
              <a:extLst xmlns:a="http://schemas.openxmlformats.org/drawingml/2006/main">
                <a:ext uri="{FF2B5EF4-FFF2-40B4-BE49-F238E27FC236}">
                  <a16:creationId xmlns:a16="http://schemas.microsoft.com/office/drawing/2014/main" id="{016C50B0-D5F5-3D9B-5315-FE6F770C3403}"/>
                </a:ext>
              </a:extLst>
            </cdr:cNvPr>
            <cdr:cNvGrpSpPr/>
          </cdr:nvGrpSpPr>
          <cdr:grpSpPr>
            <a:xfrm xmlns:a="http://schemas.openxmlformats.org/drawingml/2006/main">
              <a:off x="1934865" y="47043"/>
              <a:ext cx="631189" cy="671551"/>
              <a:chOff x="1934865" y="46383"/>
              <a:chExt cx="631189" cy="662126"/>
            </a:xfrm>
          </cdr:grpSpPr>
          <cdr:grpSp>
            <cdr:nvGrpSpPr>
              <cdr:cNvPr id="46" name="Group 45">
                <a:extLst xmlns:a="http://schemas.openxmlformats.org/drawingml/2006/main">
                  <a:ext uri="{FF2B5EF4-FFF2-40B4-BE49-F238E27FC236}">
                    <a16:creationId xmlns:a16="http://schemas.microsoft.com/office/drawing/2014/main" id="{D271D425-852A-0697-A072-FE854C1879B3}"/>
                  </a:ext>
                </a:extLst>
              </cdr:cNvPr>
              <cdr:cNvGrpSpPr/>
            </cdr:nvGrpSpPr>
            <cdr:grpSpPr>
              <a:xfrm xmlns:a="http://schemas.openxmlformats.org/drawingml/2006/main">
                <a:off x="1934865" y="46383"/>
                <a:ext cx="624851" cy="475152"/>
                <a:chOff x="1934865" y="46383"/>
                <a:chExt cx="624851" cy="475152"/>
              </a:xfrm>
            </cdr:grpSpPr>
            <cdr:sp macro="" textlink="'Data-Vẽ -MoM'!$E$31">
              <cdr:nvSpPr>
                <cdr:cNvPr id="48" name="TextBox 44">
                  <a:extLst xmlns:a="http://schemas.openxmlformats.org/drawingml/2006/main">
                    <a:ext uri="{FF2B5EF4-FFF2-40B4-BE49-F238E27FC236}">
                      <a16:creationId xmlns:a16="http://schemas.microsoft.com/office/drawing/2014/main" id="{D1542A6C-8558-4948-C3FD-714B55DBAD95}"/>
                    </a:ext>
                  </a:extLst>
                </cdr:cNvPr>
                <cdr:cNvSpPr txBox="1"/>
              </cdr:nvSpPr>
              <cdr:spPr>
                <a:xfrm xmlns:a="http://schemas.openxmlformats.org/drawingml/2006/main">
                  <a:off x="1934865" y="46383"/>
                  <a:ext cx="624851"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5048B8A-BEAA-4274-B322-18EB23C3203C}"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1">
              <cdr:nvSpPr>
                <cdr:cNvPr id="49" name="TextBox 45">
                  <a:extLst xmlns:a="http://schemas.openxmlformats.org/drawingml/2006/main">
                    <a:ext uri="{FF2B5EF4-FFF2-40B4-BE49-F238E27FC236}">
                      <a16:creationId xmlns:a16="http://schemas.microsoft.com/office/drawing/2014/main" id="{AB548033-C406-23D3-4D60-7809708C435A}"/>
                    </a:ext>
                  </a:extLst>
                </cdr:cNvPr>
                <cdr:cNvSpPr txBox="1"/>
              </cdr:nvSpPr>
              <cdr:spPr>
                <a:xfrm xmlns:a="http://schemas.openxmlformats.org/drawingml/2006/main">
                  <a:off x="1981642" y="271671"/>
                  <a:ext cx="557345"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7A6DAA0-8F46-4252-B3C3-8663BD703B4F}"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50" name="Straight Connector 49">
                  <a:extLst xmlns:a="http://schemas.openxmlformats.org/drawingml/2006/main">
                    <a:ext uri="{FF2B5EF4-FFF2-40B4-BE49-F238E27FC236}">
                      <a16:creationId xmlns:a16="http://schemas.microsoft.com/office/drawing/2014/main" id="{A84E9D1D-7E09-1CA8-5928-9BBCCAA06D2A}"/>
                    </a:ext>
                  </a:extLst>
                </cdr:cNvPr>
                <cdr:cNvCxnSpPr/>
              </cdr:nvCxnSpPr>
              <cdr:spPr>
                <a:xfrm xmlns:a="http://schemas.openxmlformats.org/drawingml/2006/main">
                  <a:off x="1981641"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7" name="TextBox 43">
                <a:extLst xmlns:a="http://schemas.openxmlformats.org/drawingml/2006/main">
                  <a:ext uri="{FF2B5EF4-FFF2-40B4-BE49-F238E27FC236}">
                    <a16:creationId xmlns:a16="http://schemas.microsoft.com/office/drawing/2014/main" id="{6F305E81-4CBA-3DFA-A964-9843ADC40187}"/>
                  </a:ext>
                </a:extLst>
              </cdr:cNvPr>
              <cdr:cNvSpPr txBox="1"/>
            </cdr:nvSpPr>
            <cdr:spPr>
              <a:xfrm xmlns:a="http://schemas.openxmlformats.org/drawingml/2006/main">
                <a:off x="1988267"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5" name="Rectangle: Rounded Corners 44">
              <a:extLst xmlns:a="http://schemas.openxmlformats.org/drawingml/2006/main">
                <a:ext uri="{FF2B5EF4-FFF2-40B4-BE49-F238E27FC236}">
                  <a16:creationId xmlns:a16="http://schemas.microsoft.com/office/drawing/2014/main" id="{F04FDE22-D6D9-2608-0A1F-9448591F20DA}"/>
                </a:ext>
              </a:extLst>
            </cdr:cNvPr>
            <cdr:cNvSpPr/>
          </cdr:nvSpPr>
          <cdr:spPr>
            <a:xfrm xmlns:a="http://schemas.openxmlformats.org/drawingml/2006/main">
              <a:off x="1915380"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2" name="Group 11">
            <a:extLst xmlns:a="http://schemas.openxmlformats.org/drawingml/2006/main">
              <a:ext uri="{FF2B5EF4-FFF2-40B4-BE49-F238E27FC236}">
                <a16:creationId xmlns:a16="http://schemas.microsoft.com/office/drawing/2014/main" id="{0975AD6F-5C7C-8280-C9E6-F33A15DB2C18}"/>
              </a:ext>
            </a:extLst>
          </cdr:cNvPr>
          <cdr:cNvGrpSpPr/>
        </cdr:nvGrpSpPr>
        <cdr:grpSpPr>
          <a:xfrm xmlns:a="http://schemas.openxmlformats.org/drawingml/2006/main">
            <a:off x="11070423" y="2997936"/>
            <a:ext cx="722050" cy="740739"/>
            <a:chOff x="2872904" y="2"/>
            <a:chExt cx="722243" cy="766125"/>
          </a:xfrm>
        </cdr:grpSpPr>
        <cdr:grpSp>
          <cdr:nvGrpSpPr>
            <cdr:cNvPr id="37" name="Group 36">
              <a:extLst xmlns:a="http://schemas.openxmlformats.org/drawingml/2006/main">
                <a:ext uri="{FF2B5EF4-FFF2-40B4-BE49-F238E27FC236}">
                  <a16:creationId xmlns:a16="http://schemas.microsoft.com/office/drawing/2014/main" id="{A8C6A8B6-AF22-E4BE-75E8-F8198E08EF51}"/>
                </a:ext>
              </a:extLst>
            </cdr:cNvPr>
            <cdr:cNvGrpSpPr/>
          </cdr:nvGrpSpPr>
          <cdr:grpSpPr>
            <a:xfrm xmlns:a="http://schemas.openxmlformats.org/drawingml/2006/main">
              <a:off x="2892390" y="47043"/>
              <a:ext cx="631188" cy="671551"/>
              <a:chOff x="2892391" y="46383"/>
              <a:chExt cx="631188" cy="662126"/>
            </a:xfrm>
          </cdr:grpSpPr>
          <cdr:grpSp>
            <cdr:nvGrpSpPr>
              <cdr:cNvPr id="39" name="Group 38">
                <a:extLst xmlns:a="http://schemas.openxmlformats.org/drawingml/2006/main">
                  <a:ext uri="{FF2B5EF4-FFF2-40B4-BE49-F238E27FC236}">
                    <a16:creationId xmlns:a16="http://schemas.microsoft.com/office/drawing/2014/main" id="{F57719BA-7D64-0762-7C3A-E92366645577}"/>
                  </a:ext>
                </a:extLst>
              </cdr:cNvPr>
              <cdr:cNvGrpSpPr/>
            </cdr:nvGrpSpPr>
            <cdr:grpSpPr>
              <a:xfrm xmlns:a="http://schemas.openxmlformats.org/drawingml/2006/main">
                <a:off x="2892391" y="46383"/>
                <a:ext cx="624850" cy="475152"/>
                <a:chOff x="2892391" y="46383"/>
                <a:chExt cx="624850" cy="475152"/>
              </a:xfrm>
            </cdr:grpSpPr>
            <cdr:sp macro="" textlink="'Data-Vẽ -MoM'!$E$32">
              <cdr:nvSpPr>
                <cdr:cNvPr id="41" name="TextBox 37">
                  <a:extLst xmlns:a="http://schemas.openxmlformats.org/drawingml/2006/main">
                    <a:ext uri="{FF2B5EF4-FFF2-40B4-BE49-F238E27FC236}">
                      <a16:creationId xmlns:a16="http://schemas.microsoft.com/office/drawing/2014/main" id="{AFFD9877-BAB5-19F2-2D6D-A89C26BA5FDA}"/>
                    </a:ext>
                  </a:extLst>
                </cdr:cNvPr>
                <cdr:cNvSpPr txBox="1"/>
              </cdr:nvSpPr>
              <cdr:spPr>
                <a:xfrm xmlns:a="http://schemas.openxmlformats.org/drawingml/2006/main">
                  <a:off x="2892391" y="46383"/>
                  <a:ext cx="624850"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356BBDC-D0D8-41D3-BFFB-F60600B67A92}"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2">
              <cdr:nvSpPr>
                <cdr:cNvPr id="42" name="TextBox 38">
                  <a:extLst xmlns:a="http://schemas.openxmlformats.org/drawingml/2006/main">
                    <a:ext uri="{FF2B5EF4-FFF2-40B4-BE49-F238E27FC236}">
                      <a16:creationId xmlns:a16="http://schemas.microsoft.com/office/drawing/2014/main" id="{29261122-D5D8-A74A-A8B5-0EC245974F03}"/>
                    </a:ext>
                  </a:extLst>
                </cdr:cNvPr>
                <cdr:cNvSpPr txBox="1"/>
              </cdr:nvSpPr>
              <cdr:spPr>
                <a:xfrm xmlns:a="http://schemas.openxmlformats.org/drawingml/2006/main">
                  <a:off x="2939167" y="271671"/>
                  <a:ext cx="574812"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E322F379-0427-4A96-AEA9-FAF1310E2FE5}"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43" name="Straight Connector 42">
                  <a:extLst xmlns:a="http://schemas.openxmlformats.org/drawingml/2006/main">
                    <a:ext uri="{FF2B5EF4-FFF2-40B4-BE49-F238E27FC236}">
                      <a16:creationId xmlns:a16="http://schemas.microsoft.com/office/drawing/2014/main" id="{0017E1A3-E6B1-5833-BA0F-8288061C6F41}"/>
                    </a:ext>
                  </a:extLst>
                </cdr:cNvPr>
                <cdr:cNvCxnSpPr/>
              </cdr:nvCxnSpPr>
              <cdr:spPr>
                <a:xfrm xmlns:a="http://schemas.openxmlformats.org/drawingml/2006/main">
                  <a:off x="2939166"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0" name="TextBox 36">
                <a:extLst xmlns:a="http://schemas.openxmlformats.org/drawingml/2006/main">
                  <a:ext uri="{FF2B5EF4-FFF2-40B4-BE49-F238E27FC236}">
                    <a16:creationId xmlns:a16="http://schemas.microsoft.com/office/drawing/2014/main" id="{3FE140C1-87AF-2E76-CDF8-708A7385C0A3}"/>
                  </a:ext>
                </a:extLst>
              </cdr:cNvPr>
              <cdr:cNvSpPr txBox="1"/>
            </cdr:nvSpPr>
            <cdr:spPr>
              <a:xfrm xmlns:a="http://schemas.openxmlformats.org/drawingml/2006/main">
                <a:off x="2945792"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8" name="Rectangle: Rounded Corners 37">
              <a:extLst xmlns:a="http://schemas.openxmlformats.org/drawingml/2006/main">
                <a:ext uri="{FF2B5EF4-FFF2-40B4-BE49-F238E27FC236}">
                  <a16:creationId xmlns:a16="http://schemas.microsoft.com/office/drawing/2014/main" id="{6D3DACF6-0ABE-56D9-B8E0-137D8823D58C}"/>
                </a:ext>
              </a:extLst>
            </cdr:cNvPr>
            <cdr:cNvSpPr/>
          </cdr:nvSpPr>
          <cdr:spPr>
            <a:xfrm xmlns:a="http://schemas.openxmlformats.org/drawingml/2006/main">
              <a:off x="2872904"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3" name="Group 12">
            <a:extLst xmlns:a="http://schemas.openxmlformats.org/drawingml/2006/main">
              <a:ext uri="{FF2B5EF4-FFF2-40B4-BE49-F238E27FC236}">
                <a16:creationId xmlns:a16="http://schemas.microsoft.com/office/drawing/2014/main" id="{B2232AC8-BAAE-2460-5049-B2DF317BB203}"/>
              </a:ext>
            </a:extLst>
          </cdr:cNvPr>
          <cdr:cNvGrpSpPr/>
        </cdr:nvGrpSpPr>
        <cdr:grpSpPr>
          <a:xfrm xmlns:a="http://schemas.openxmlformats.org/drawingml/2006/main">
            <a:off x="12029556" y="2997936"/>
            <a:ext cx="726821" cy="740739"/>
            <a:chOff x="3830429" y="2"/>
            <a:chExt cx="727015" cy="766125"/>
          </a:xfrm>
        </cdr:grpSpPr>
        <cdr:grpSp>
          <cdr:nvGrpSpPr>
            <cdr:cNvPr id="30" name="Group 29">
              <a:extLst xmlns:a="http://schemas.openxmlformats.org/drawingml/2006/main">
                <a:ext uri="{FF2B5EF4-FFF2-40B4-BE49-F238E27FC236}">
                  <a16:creationId xmlns:a16="http://schemas.microsoft.com/office/drawing/2014/main" id="{F92F8499-149B-8BB1-8209-EAA1A220DC69}"/>
                </a:ext>
              </a:extLst>
            </cdr:cNvPr>
            <cdr:cNvGrpSpPr/>
          </cdr:nvGrpSpPr>
          <cdr:grpSpPr>
            <a:xfrm xmlns:a="http://schemas.openxmlformats.org/drawingml/2006/main">
              <a:off x="3852175" y="47043"/>
              <a:ext cx="705269" cy="674349"/>
              <a:chOff x="3852176" y="46383"/>
              <a:chExt cx="705269" cy="664885"/>
            </a:xfrm>
          </cdr:grpSpPr>
          <cdr:grpSp>
            <cdr:nvGrpSpPr>
              <cdr:cNvPr id="32" name="Group 31">
                <a:extLst xmlns:a="http://schemas.openxmlformats.org/drawingml/2006/main">
                  <a:ext uri="{FF2B5EF4-FFF2-40B4-BE49-F238E27FC236}">
                    <a16:creationId xmlns:a16="http://schemas.microsoft.com/office/drawing/2014/main" id="{99EB99A6-4AFB-F1FB-3815-F6C7ED9CBC9D}"/>
                  </a:ext>
                </a:extLst>
              </cdr:cNvPr>
              <cdr:cNvGrpSpPr/>
            </cdr:nvGrpSpPr>
            <cdr:grpSpPr>
              <a:xfrm xmlns:a="http://schemas.openxmlformats.org/drawingml/2006/main">
                <a:off x="3852176" y="46383"/>
                <a:ext cx="676677" cy="475154"/>
                <a:chOff x="3852176" y="46383"/>
                <a:chExt cx="676677" cy="475154"/>
              </a:xfrm>
            </cdr:grpSpPr>
            <cdr:sp macro="" textlink="'Data-Vẽ -MoM'!$E$33">
              <cdr:nvSpPr>
                <cdr:cNvPr id="34" name="TextBox 30">
                  <a:extLst xmlns:a="http://schemas.openxmlformats.org/drawingml/2006/main">
                    <a:ext uri="{FF2B5EF4-FFF2-40B4-BE49-F238E27FC236}">
                      <a16:creationId xmlns:a16="http://schemas.microsoft.com/office/drawing/2014/main" id="{E3E2918C-2138-6033-B90C-94851D270425}"/>
                    </a:ext>
                  </a:extLst>
                </cdr:cNvPr>
                <cdr:cNvSpPr txBox="1"/>
              </cdr:nvSpPr>
              <cdr:spPr>
                <a:xfrm xmlns:a="http://schemas.openxmlformats.org/drawingml/2006/main">
                  <a:off x="3852176" y="46383"/>
                  <a:ext cx="676677"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72F1D60-2A3C-475A-A471-37BD8E6D5546}"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3">
              <cdr:nvSpPr>
                <cdr:cNvPr id="35" name="TextBox 31">
                  <a:extLst xmlns:a="http://schemas.openxmlformats.org/drawingml/2006/main">
                    <a:ext uri="{FF2B5EF4-FFF2-40B4-BE49-F238E27FC236}">
                      <a16:creationId xmlns:a16="http://schemas.microsoft.com/office/drawing/2014/main" id="{593AA47B-34EA-9F61-BEE4-0D2EF2F6A53C}"/>
                    </a:ext>
                  </a:extLst>
                </cdr:cNvPr>
                <cdr:cNvSpPr txBox="1"/>
              </cdr:nvSpPr>
              <cdr:spPr>
                <a:xfrm xmlns:a="http://schemas.openxmlformats.org/drawingml/2006/main">
                  <a:off x="3896694" y="271673"/>
                  <a:ext cx="574811"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DEB5B05-13BE-48BC-9EB0-25A6D7B8A11A}"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36" name="Straight Connector 35">
                  <a:extLst xmlns:a="http://schemas.openxmlformats.org/drawingml/2006/main">
                    <a:ext uri="{FF2B5EF4-FFF2-40B4-BE49-F238E27FC236}">
                      <a16:creationId xmlns:a16="http://schemas.microsoft.com/office/drawing/2014/main" id="{D5551654-F029-B943-8EEA-5C7F5AB7CB54}"/>
                    </a:ext>
                  </a:extLst>
                </cdr:cNvPr>
                <cdr:cNvCxnSpPr/>
              </cdr:nvCxnSpPr>
              <cdr:spPr>
                <a:xfrm xmlns:a="http://schemas.openxmlformats.org/drawingml/2006/main">
                  <a:off x="3896691" y="281939"/>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33" name="TextBox 29">
                <a:extLst xmlns:a="http://schemas.openxmlformats.org/drawingml/2006/main">
                  <a:ext uri="{FF2B5EF4-FFF2-40B4-BE49-F238E27FC236}">
                    <a16:creationId xmlns:a16="http://schemas.microsoft.com/office/drawing/2014/main" id="{2DC3A15F-7FA2-1FF5-F3FF-E8243B6FFD0A}"/>
                  </a:ext>
                </a:extLst>
              </cdr:cNvPr>
              <cdr:cNvSpPr txBox="1"/>
            </cdr:nvSpPr>
            <cdr:spPr>
              <a:xfrm xmlns:a="http://schemas.openxmlformats.org/drawingml/2006/main">
                <a:off x="3903317" y="443948"/>
                <a:ext cx="654128" cy="26732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1" name="Rectangle: Rounded Corners 30">
              <a:extLst xmlns:a="http://schemas.openxmlformats.org/drawingml/2006/main">
                <a:ext uri="{FF2B5EF4-FFF2-40B4-BE49-F238E27FC236}">
                  <a16:creationId xmlns:a16="http://schemas.microsoft.com/office/drawing/2014/main" id="{D2B6D1AD-5364-AE99-EC09-85DAEE9AB8D9}"/>
                </a:ext>
              </a:extLst>
            </cdr:cNvPr>
            <cdr:cNvSpPr/>
          </cdr:nvSpPr>
          <cdr:spPr>
            <a:xfrm xmlns:a="http://schemas.openxmlformats.org/drawingml/2006/main">
              <a:off x="3830429"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4" name="Group 13">
            <a:extLst xmlns:a="http://schemas.openxmlformats.org/drawingml/2006/main">
              <a:ext uri="{FF2B5EF4-FFF2-40B4-BE49-F238E27FC236}">
                <a16:creationId xmlns:a16="http://schemas.microsoft.com/office/drawing/2014/main" id="{067A64E2-7FC3-A558-73F7-0D682F1D3503}"/>
              </a:ext>
            </a:extLst>
          </cdr:cNvPr>
          <cdr:cNvGrpSpPr/>
        </cdr:nvGrpSpPr>
        <cdr:grpSpPr>
          <a:xfrm xmlns:a="http://schemas.openxmlformats.org/drawingml/2006/main">
            <a:off x="12993460" y="2997936"/>
            <a:ext cx="722050" cy="740739"/>
            <a:chOff x="4787953" y="2"/>
            <a:chExt cx="722243" cy="766125"/>
          </a:xfrm>
        </cdr:grpSpPr>
        <cdr:grpSp>
          <cdr:nvGrpSpPr>
            <cdr:cNvPr id="23" name="Group 22">
              <a:extLst xmlns:a="http://schemas.openxmlformats.org/drawingml/2006/main">
                <a:ext uri="{FF2B5EF4-FFF2-40B4-BE49-F238E27FC236}">
                  <a16:creationId xmlns:a16="http://schemas.microsoft.com/office/drawing/2014/main" id="{DB8B1E6C-CD8B-51CC-4B57-F0B7010416B0}"/>
                </a:ext>
              </a:extLst>
            </cdr:cNvPr>
            <cdr:cNvGrpSpPr/>
          </cdr:nvGrpSpPr>
          <cdr:grpSpPr>
            <a:xfrm xmlns:a="http://schemas.openxmlformats.org/drawingml/2006/main">
              <a:off x="4840963" y="47044"/>
              <a:ext cx="645364" cy="671550"/>
              <a:chOff x="4840963" y="46384"/>
              <a:chExt cx="645364" cy="662125"/>
            </a:xfrm>
          </cdr:grpSpPr>
          <cdr:grpSp>
            <cdr:nvGrpSpPr>
              <cdr:cNvPr id="25" name="Group 24">
                <a:extLst xmlns:a="http://schemas.openxmlformats.org/drawingml/2006/main">
                  <a:ext uri="{FF2B5EF4-FFF2-40B4-BE49-F238E27FC236}">
                    <a16:creationId xmlns:a16="http://schemas.microsoft.com/office/drawing/2014/main" id="{680BA9D7-F02B-526C-64EE-855EE73F430E}"/>
                  </a:ext>
                </a:extLst>
              </cdr:cNvPr>
              <cdr:cNvGrpSpPr/>
            </cdr:nvGrpSpPr>
            <cdr:grpSpPr>
              <a:xfrm xmlns:a="http://schemas.openxmlformats.org/drawingml/2006/main">
                <a:off x="4840963" y="46384"/>
                <a:ext cx="645364" cy="475151"/>
                <a:chOff x="4840963" y="46384"/>
                <a:chExt cx="645364" cy="475151"/>
              </a:xfrm>
            </cdr:grpSpPr>
            <cdr:sp macro="" textlink="'Data-Vẽ -MoM'!$E$34">
              <cdr:nvSpPr>
                <cdr:cNvPr id="27" name="TextBox 23">
                  <a:extLst xmlns:a="http://schemas.openxmlformats.org/drawingml/2006/main">
                    <a:ext uri="{FF2B5EF4-FFF2-40B4-BE49-F238E27FC236}">
                      <a16:creationId xmlns:a16="http://schemas.microsoft.com/office/drawing/2014/main" id="{FF22205B-D9A7-2FB1-3D50-DA15250384DD}"/>
                    </a:ext>
                  </a:extLst>
                </cdr:cNvPr>
                <cdr:cNvSpPr txBox="1"/>
              </cdr:nvSpPr>
              <cdr:spPr>
                <a:xfrm xmlns:a="http://schemas.openxmlformats.org/drawingml/2006/main">
                  <a:off x="4840963" y="46384"/>
                  <a:ext cx="645364" cy="23367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1647A95-CB35-45E8-BC50-1CDFB4D671E2}"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4">
              <cdr:nvSpPr>
                <cdr:cNvPr id="28" name="TextBox 24">
                  <a:extLst xmlns:a="http://schemas.openxmlformats.org/drawingml/2006/main">
                    <a:ext uri="{FF2B5EF4-FFF2-40B4-BE49-F238E27FC236}">
                      <a16:creationId xmlns:a16="http://schemas.microsoft.com/office/drawing/2014/main" id="{32856DFC-4D40-04B4-0D73-B70EEA0EBF39}"/>
                    </a:ext>
                  </a:extLst>
                </cdr:cNvPr>
                <cdr:cNvSpPr txBox="1"/>
              </cdr:nvSpPr>
              <cdr:spPr>
                <a:xfrm xmlns:a="http://schemas.openxmlformats.org/drawingml/2006/main">
                  <a:off x="4854215" y="271671"/>
                  <a:ext cx="574812"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BE2AC51-381C-4795-AC05-F5998C64EBF3}"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29" name="Straight Connector 28">
                  <a:extLst xmlns:a="http://schemas.openxmlformats.org/drawingml/2006/main">
                    <a:ext uri="{FF2B5EF4-FFF2-40B4-BE49-F238E27FC236}">
                      <a16:creationId xmlns:a16="http://schemas.microsoft.com/office/drawing/2014/main" id="{CB9A90B2-05E3-EBA2-B6AF-7EA1DC9461E4}"/>
                    </a:ext>
                  </a:extLst>
                </cdr:cNvPr>
                <cdr:cNvCxnSpPr/>
              </cdr:nvCxnSpPr>
              <cdr:spPr>
                <a:xfrm xmlns:a="http://schemas.openxmlformats.org/drawingml/2006/main">
                  <a:off x="4854214"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6" name="TextBox 22">
                <a:extLst xmlns:a="http://schemas.openxmlformats.org/drawingml/2006/main">
                  <a:ext uri="{FF2B5EF4-FFF2-40B4-BE49-F238E27FC236}">
                    <a16:creationId xmlns:a16="http://schemas.microsoft.com/office/drawing/2014/main" id="{D4028E42-E82D-3A00-0B8F-9F909C583C22}"/>
                  </a:ext>
                </a:extLst>
              </cdr:cNvPr>
              <cdr:cNvSpPr txBox="1"/>
            </cdr:nvSpPr>
            <cdr:spPr>
              <a:xfrm xmlns:a="http://schemas.openxmlformats.org/drawingml/2006/main">
                <a:off x="4860840"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24" name="Rectangle: Rounded Corners 23">
              <a:extLst xmlns:a="http://schemas.openxmlformats.org/drawingml/2006/main">
                <a:ext uri="{FF2B5EF4-FFF2-40B4-BE49-F238E27FC236}">
                  <a16:creationId xmlns:a16="http://schemas.microsoft.com/office/drawing/2014/main" id="{EA0ED481-402B-592D-C0C7-FA812AEFB9DC}"/>
                </a:ext>
              </a:extLst>
            </cdr:cNvPr>
            <cdr:cNvSpPr/>
          </cdr:nvSpPr>
          <cdr:spPr>
            <a:xfrm xmlns:a="http://schemas.openxmlformats.org/drawingml/2006/main">
              <a:off x="4787953"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5" name="Group 14">
            <a:extLst xmlns:a="http://schemas.openxmlformats.org/drawingml/2006/main">
              <a:ext uri="{FF2B5EF4-FFF2-40B4-BE49-F238E27FC236}">
                <a16:creationId xmlns:a16="http://schemas.microsoft.com/office/drawing/2014/main" id="{2373E15B-34D1-2EB7-D2FE-5B0CE45B57A5}"/>
              </a:ext>
            </a:extLst>
          </cdr:cNvPr>
          <cdr:cNvGrpSpPr/>
        </cdr:nvGrpSpPr>
        <cdr:grpSpPr>
          <a:xfrm xmlns:a="http://schemas.openxmlformats.org/drawingml/2006/main">
            <a:off x="13952594" y="2997936"/>
            <a:ext cx="722050" cy="740739"/>
            <a:chOff x="5745476" y="1"/>
            <a:chExt cx="722243" cy="766125"/>
          </a:xfrm>
        </cdr:grpSpPr>
        <cdr:grpSp>
          <cdr:nvGrpSpPr>
            <cdr:cNvPr id="16" name="Group 15">
              <a:extLst xmlns:a="http://schemas.openxmlformats.org/drawingml/2006/main">
                <a:ext uri="{FF2B5EF4-FFF2-40B4-BE49-F238E27FC236}">
                  <a16:creationId xmlns:a16="http://schemas.microsoft.com/office/drawing/2014/main" id="{AA7B58D1-6411-B986-842A-CEE9D03E2598}"/>
                </a:ext>
              </a:extLst>
            </cdr:cNvPr>
            <cdr:cNvGrpSpPr/>
          </cdr:nvGrpSpPr>
          <cdr:grpSpPr>
            <a:xfrm xmlns:a="http://schemas.openxmlformats.org/drawingml/2006/main">
              <a:off x="5798486" y="47042"/>
              <a:ext cx="597664" cy="671551"/>
              <a:chOff x="5798486" y="46382"/>
              <a:chExt cx="597664" cy="662126"/>
            </a:xfrm>
          </cdr:grpSpPr>
          <cdr:grpSp>
            <cdr:nvGrpSpPr>
              <cdr:cNvPr id="18" name="Group 17">
                <a:extLst xmlns:a="http://schemas.openxmlformats.org/drawingml/2006/main">
                  <a:ext uri="{FF2B5EF4-FFF2-40B4-BE49-F238E27FC236}">
                    <a16:creationId xmlns:a16="http://schemas.microsoft.com/office/drawing/2014/main" id="{C544A99C-445F-24C1-94D6-5BF9C678D4AD}"/>
                  </a:ext>
                </a:extLst>
              </cdr:cNvPr>
              <cdr:cNvGrpSpPr/>
            </cdr:nvGrpSpPr>
            <cdr:grpSpPr>
              <a:xfrm xmlns:a="http://schemas.openxmlformats.org/drawingml/2006/main">
                <a:off x="5798486" y="46382"/>
                <a:ext cx="595684" cy="475152"/>
                <a:chOff x="5798486" y="46382"/>
                <a:chExt cx="595684" cy="475152"/>
              </a:xfrm>
            </cdr:grpSpPr>
            <cdr:sp macro="" textlink="'Data-Vẽ -MoM'!$E$35">
              <cdr:nvSpPr>
                <cdr:cNvPr id="20" name="TextBox 16">
                  <a:extLst xmlns:a="http://schemas.openxmlformats.org/drawingml/2006/main">
                    <a:ext uri="{FF2B5EF4-FFF2-40B4-BE49-F238E27FC236}">
                      <a16:creationId xmlns:a16="http://schemas.microsoft.com/office/drawing/2014/main" id="{1C5C5D85-C392-437F-768C-7DF1CF594C4B}"/>
                    </a:ext>
                  </a:extLst>
                </cdr:cNvPr>
                <cdr:cNvSpPr txBox="1"/>
              </cdr:nvSpPr>
              <cdr:spPr>
                <a:xfrm xmlns:a="http://schemas.openxmlformats.org/drawingml/2006/main">
                  <a:off x="5798486" y="46382"/>
                  <a:ext cx="595684" cy="27941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FB6E9AB-B6A4-47E5-902E-A6D6C304D3D2}" type="TxLink">
                    <a:rPr lang="en-US" sz="1300" b="1" i="0" u="none" strike="noStrike">
                      <a:solidFill>
                        <a:schemeClr val="accent4">
                          <a:lumMod val="60000"/>
                          <a:lumOff val="40000"/>
                        </a:schemeClr>
                      </a:solidFill>
                      <a:latin typeface="Aptos Narrow"/>
                      <a:ea typeface="+mn-ea"/>
                      <a:cs typeface="+mn-cs"/>
                    </a:rPr>
                    <a:pPr marL="0" indent="0" algn="ctr"/>
                    <a:t>#REF!</a:t>
                  </a:fld>
                  <a:endParaRPr lang="en-US" sz="1300" b="1" i="0" u="none" strike="noStrike">
                    <a:solidFill>
                      <a:schemeClr val="accent4">
                        <a:lumMod val="60000"/>
                        <a:lumOff val="40000"/>
                      </a:schemeClr>
                    </a:solidFill>
                    <a:latin typeface="Aptos Narrow"/>
                    <a:ea typeface="+mn-ea"/>
                    <a:cs typeface="+mn-cs"/>
                  </a:endParaRPr>
                </a:p>
              </cdr:txBody>
            </cdr:sp>
            <cdr:sp macro="" textlink="'Data-Vẽ -MoM'!$F$35">
              <cdr:nvSpPr>
                <cdr:cNvPr id="21" name="TextBox 17">
                  <a:extLst xmlns:a="http://schemas.openxmlformats.org/drawingml/2006/main">
                    <a:ext uri="{FF2B5EF4-FFF2-40B4-BE49-F238E27FC236}">
                      <a16:creationId xmlns:a16="http://schemas.microsoft.com/office/drawing/2014/main" id="{958601C7-E85E-0D31-008F-3E2CC1D118A8}"/>
                    </a:ext>
                  </a:extLst>
                </cdr:cNvPr>
                <cdr:cNvSpPr txBox="1"/>
              </cdr:nvSpPr>
              <cdr:spPr>
                <a:xfrm xmlns:a="http://schemas.openxmlformats.org/drawingml/2006/main">
                  <a:off x="5811738" y="271670"/>
                  <a:ext cx="574812" cy="24986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C87B15E-53DA-47BB-8A79-9352F962992D}" type="TxLink">
                    <a:rPr lang="en-US" sz="1100" b="0" i="0" u="none" strike="noStrike">
                      <a:solidFill>
                        <a:schemeClr val="bg1">
                          <a:lumMod val="50000"/>
                        </a:schemeClr>
                      </a:solidFill>
                      <a:latin typeface="Aptos Narrow"/>
                      <a:ea typeface="+mn-ea"/>
                      <a:cs typeface="+mn-cs"/>
                    </a:rPr>
                    <a:pPr marL="0" indent="0" algn="ctr"/>
                    <a:t>#REF!</a:t>
                  </a:fld>
                  <a:endParaRPr lang="en-US" sz="1100" b="0" i="0" u="none" strike="noStrike">
                    <a:solidFill>
                      <a:schemeClr val="bg1">
                        <a:lumMod val="50000"/>
                      </a:schemeClr>
                    </a:solidFill>
                    <a:latin typeface="Aptos Narrow"/>
                    <a:ea typeface="+mn-ea"/>
                    <a:cs typeface="+mn-cs"/>
                  </a:endParaRPr>
                </a:p>
              </cdr:txBody>
            </cdr:sp>
            <cdr:cxnSp macro="">
              <cdr:nvCxnSpPr>
                <cdr:cNvPr id="22" name="Straight Connector 21">
                  <a:extLst xmlns:a="http://schemas.openxmlformats.org/drawingml/2006/main">
                    <a:ext uri="{FF2B5EF4-FFF2-40B4-BE49-F238E27FC236}">
                      <a16:creationId xmlns:a16="http://schemas.microsoft.com/office/drawing/2014/main" id="{311A8B00-113E-DCC9-4202-5DA524C639B9}"/>
                    </a:ext>
                  </a:extLst>
                </cdr:cNvPr>
                <cdr:cNvCxnSpPr/>
              </cdr:nvCxnSpPr>
              <cdr:spPr>
                <a:xfrm xmlns:a="http://schemas.openxmlformats.org/drawingml/2006/main">
                  <a:off x="5811737"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19" name="TextBox 15">
                <a:extLst xmlns:a="http://schemas.openxmlformats.org/drawingml/2006/main">
                  <a:ext uri="{FF2B5EF4-FFF2-40B4-BE49-F238E27FC236}">
                    <a16:creationId xmlns:a16="http://schemas.microsoft.com/office/drawing/2014/main" id="{36AF2C74-C97D-6A0E-678F-B6375BA62A70}"/>
                  </a:ext>
                </a:extLst>
              </cdr:cNvPr>
              <cdr:cNvSpPr txBox="1"/>
            </cdr:nvSpPr>
            <cdr:spPr>
              <a:xfrm xmlns:a="http://schemas.openxmlformats.org/drawingml/2006/main">
                <a:off x="5818363"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17" name="Rectangle: Rounded Corners 16">
              <a:extLst xmlns:a="http://schemas.openxmlformats.org/drawingml/2006/main">
                <a:ext uri="{FF2B5EF4-FFF2-40B4-BE49-F238E27FC236}">
                  <a16:creationId xmlns:a16="http://schemas.microsoft.com/office/drawing/2014/main" id="{A8A62333-5D9E-C066-436D-53D9B82B69C8}"/>
                </a:ext>
              </a:extLst>
            </cdr:cNvPr>
            <cdr:cNvSpPr/>
          </cdr:nvSpPr>
          <cdr:spPr>
            <a:xfrm xmlns:a="http://schemas.openxmlformats.org/drawingml/2006/main">
              <a:off x="5745476" y="1"/>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relSizeAnchor>
  <cdr:relSizeAnchor xmlns:cdr="http://schemas.openxmlformats.org/drawingml/2006/chartDrawing">
    <cdr:from>
      <cdr:x>0.5473</cdr:x>
      <cdr:y>0.49391</cdr:y>
    </cdr:from>
    <cdr:to>
      <cdr:x>0.56781</cdr:x>
      <cdr:y>0.53127</cdr:y>
    </cdr:to>
    <cdr:sp macro="" textlink="">
      <cdr:nvSpPr>
        <cdr:cNvPr id="65" name="TextBox 1">
          <a:extLst xmlns:a="http://schemas.openxmlformats.org/drawingml/2006/main">
            <a:ext uri="{FF2B5EF4-FFF2-40B4-BE49-F238E27FC236}">
              <a16:creationId xmlns:a16="http://schemas.microsoft.com/office/drawing/2014/main" id="{4657AD8E-A309-BD4B-7F47-7B522B5E33E5}"/>
            </a:ext>
          </a:extLst>
        </cdr:cNvPr>
        <cdr:cNvSpPr txBox="1"/>
      </cdr:nvSpPr>
      <cdr:spPr>
        <a:xfrm xmlns:a="http://schemas.openxmlformats.org/drawingml/2006/main">
          <a:off x="8630920" y="3578860"/>
          <a:ext cx="323511" cy="27068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i="1">
              <a:solidFill>
                <a:schemeClr val="tx1">
                  <a:lumMod val="75000"/>
                  <a:lumOff val="25000"/>
                </a:schemeClr>
              </a:solidFill>
            </a:rPr>
            <a:t>(*)</a:t>
          </a:r>
        </a:p>
      </cdr:txBody>
    </cdr:sp>
  </cdr:relSizeAnchor>
  <cdr:relSizeAnchor xmlns:cdr="http://schemas.openxmlformats.org/drawingml/2006/chartDrawing">
    <cdr:from>
      <cdr:x>0.78005</cdr:x>
      <cdr:y>0.92297</cdr:y>
    </cdr:from>
    <cdr:to>
      <cdr:x>1</cdr:x>
      <cdr:y>0.99882</cdr:y>
    </cdr:to>
    <cdr:sp macro="" textlink="">
      <cdr:nvSpPr>
        <cdr:cNvPr id="66" name="TextBox 1">
          <a:extLst xmlns:a="http://schemas.openxmlformats.org/drawingml/2006/main">
            <a:ext uri="{FF2B5EF4-FFF2-40B4-BE49-F238E27FC236}">
              <a16:creationId xmlns:a16="http://schemas.microsoft.com/office/drawing/2014/main" id="{C2C87CD2-5322-384E-5D92-090B651CE436}"/>
            </a:ext>
          </a:extLst>
        </cdr:cNvPr>
        <cdr:cNvSpPr txBox="1"/>
      </cdr:nvSpPr>
      <cdr:spPr>
        <a:xfrm xmlns:a="http://schemas.openxmlformats.org/drawingml/2006/main">
          <a:off x="12291061" y="6687802"/>
          <a:ext cx="3465691" cy="54960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i="1">
              <a:solidFill>
                <a:schemeClr val="tx1">
                  <a:lumMod val="75000"/>
                  <a:lumOff val="25000"/>
                </a:schemeClr>
              </a:solidFill>
            </a:rPr>
            <a:t>(*): Ô</a:t>
          </a:r>
          <a:r>
            <a:rPr lang="en-US" sz="1100" i="1" baseline="0">
              <a:solidFill>
                <a:schemeClr val="tx1">
                  <a:lumMod val="75000"/>
                  <a:lumOff val="25000"/>
                </a:schemeClr>
              </a:solidFill>
            </a:rPr>
            <a:t> đang trình bày:</a:t>
          </a:r>
        </a:p>
        <a:p xmlns:a="http://schemas.openxmlformats.org/drawingml/2006/main">
          <a:r>
            <a:rPr lang="en-US" sz="1100" i="1" baseline="0">
              <a:solidFill>
                <a:schemeClr val="tx1">
                  <a:lumMod val="75000"/>
                  <a:lumOff val="25000"/>
                </a:schemeClr>
              </a:solidFill>
            </a:rPr>
            <a:t>- Phía trên: giá trị tuyệt đối khoản mục của tháng hiện tại</a:t>
          </a:r>
        </a:p>
        <a:p xmlns:a="http://schemas.openxmlformats.org/drawingml/2006/main">
          <a:r>
            <a:rPr lang="en-US" sz="1100" i="1" baseline="0">
              <a:solidFill>
                <a:schemeClr val="tx1">
                  <a:lumMod val="75000"/>
                  <a:lumOff val="25000"/>
                </a:schemeClr>
              </a:solidFill>
            </a:rPr>
            <a:t>- Phía dưới: giá trị tuyệt đối khoản mục của tháng trước</a:t>
          </a:r>
          <a:endParaRPr lang="en-US" sz="1100" i="1">
            <a:solidFill>
              <a:schemeClr val="tx1">
                <a:lumMod val="75000"/>
                <a:lumOff val="25000"/>
              </a:schemeClr>
            </a:solidFill>
          </a:endParaRPr>
        </a:p>
      </cdr:txBody>
    </cdr:sp>
  </cdr:relSizeAnchor>
  <cdr:relSizeAnchor xmlns:cdr="http://schemas.openxmlformats.org/drawingml/2006/chartDrawing">
    <cdr:from>
      <cdr:x>0.15221</cdr:x>
      <cdr:y>0.1753</cdr:y>
    </cdr:from>
    <cdr:to>
      <cdr:x>0.29306</cdr:x>
      <cdr:y>0.25639</cdr:y>
    </cdr:to>
    <cdr:sp macro="" textlink="">
      <cdr:nvSpPr>
        <cdr:cNvPr id="8" name="Speech Bubble: Rectangle with Corners Rounded 7">
          <a:extLst xmlns:a="http://schemas.openxmlformats.org/drawingml/2006/main">
            <a:ext uri="{FF2B5EF4-FFF2-40B4-BE49-F238E27FC236}">
              <a16:creationId xmlns:a16="http://schemas.microsoft.com/office/drawing/2014/main" id="{167D4917-EC81-DE7C-9B02-27DCCC5BF109}"/>
            </a:ext>
          </a:extLst>
        </cdr:cNvPr>
        <cdr:cNvSpPr/>
      </cdr:nvSpPr>
      <cdr:spPr>
        <a:xfrm xmlns:a="http://schemas.openxmlformats.org/drawingml/2006/main">
          <a:off x="2341152" y="1322294"/>
          <a:ext cx="2166401" cy="611670"/>
        </a:xfrm>
        <a:prstGeom xmlns:a="http://schemas.openxmlformats.org/drawingml/2006/main" prst="wedgeRoundRectCallout">
          <a:avLst>
            <a:gd name="adj1" fmla="val -28463"/>
            <a:gd name="adj2" fmla="val 114650"/>
            <a:gd name="adj3" fmla="val 16667"/>
          </a:avLst>
        </a:prstGeom>
        <a:noFill xmlns:a="http://schemas.openxmlformats.org/drawingml/2006/main"/>
        <a:ln xmlns:a="http://schemas.openxmlformats.org/drawingml/2006/main" w="12700">
          <a:solidFill>
            <a:schemeClr val="tx1">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300">
              <a:solidFill>
                <a:sysClr val="windowText" lastClr="000000"/>
              </a:solidFill>
            </a:rPr>
            <a:t>Tỷ</a:t>
          </a:r>
          <a:r>
            <a:rPr lang="en-US" sz="1300" baseline="0">
              <a:solidFill>
                <a:sysClr val="windowText" lastClr="000000"/>
              </a:solidFill>
            </a:rPr>
            <a:t> lệ hao hụt rPET tăng từ 21.2% lên 22.8%</a:t>
          </a:r>
          <a:endParaRPr lang="en-US" sz="1300">
            <a:solidFill>
              <a:sysClr val="windowText" lastClr="000000"/>
            </a:solidFill>
          </a:endParaRPr>
        </a:p>
      </cdr:txBody>
    </cdr:sp>
  </cdr:relSizeAnchor>
</c:userShapes>
</file>

<file path=xl/drawings/drawing14.xml><?xml version="1.0" encoding="utf-8"?>
<xdr:wsDr xmlns:xdr="http://schemas.openxmlformats.org/drawingml/2006/spreadsheetDrawing" xmlns:a="http://schemas.openxmlformats.org/drawingml/2006/main">
  <xdr:twoCellAnchor editAs="oneCell">
    <xdr:from>
      <xdr:col>0</xdr:col>
      <xdr:colOff>224118</xdr:colOff>
      <xdr:row>0</xdr:row>
      <xdr:rowOff>179294</xdr:rowOff>
    </xdr:from>
    <xdr:to>
      <xdr:col>11</xdr:col>
      <xdr:colOff>129664</xdr:colOff>
      <xdr:row>41</xdr:row>
      <xdr:rowOff>167751</xdr:rowOff>
    </xdr:to>
    <xdr:graphicFrame macro="">
      <xdr:nvGraphicFramePr>
        <xdr:cNvPr id="2" name="Chart 1">
          <a:extLst>
            <a:ext uri="{FF2B5EF4-FFF2-40B4-BE49-F238E27FC236}">
              <a16:creationId xmlns:a16="http://schemas.microsoft.com/office/drawing/2014/main" id="{E027FB61-7588-4F7A-B638-5131E6270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58164</xdr:colOff>
      <xdr:row>58</xdr:row>
      <xdr:rowOff>151335</xdr:rowOff>
    </xdr:from>
    <xdr:to>
      <xdr:col>11</xdr:col>
      <xdr:colOff>129668</xdr:colOff>
      <xdr:row>76</xdr:row>
      <xdr:rowOff>135751</xdr:rowOff>
    </xdr:to>
    <xdr:sp macro="" textlink="">
      <xdr:nvSpPr>
        <xdr:cNvPr id="3" name="Rectangle 2">
          <a:extLst>
            <a:ext uri="{FF2B5EF4-FFF2-40B4-BE49-F238E27FC236}">
              <a16:creationId xmlns:a16="http://schemas.microsoft.com/office/drawing/2014/main" id="{55CEDEB6-18D7-4714-85AA-8812C5BC8C56}"/>
            </a:ext>
          </a:extLst>
        </xdr:cNvPr>
        <xdr:cNvSpPr/>
      </xdr:nvSpPr>
      <xdr:spPr>
        <a:xfrm>
          <a:off x="12440664" y="14738192"/>
          <a:ext cx="2616040" cy="34678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CHỊ</a:t>
          </a:r>
          <a:r>
            <a:rPr lang="en-US" sz="1100" baseline="0"/>
            <a:t> DIỄM HỖ TRỢ</a:t>
          </a:r>
          <a:endParaRPr lang="en-US" sz="1100"/>
        </a:p>
      </xdr:txBody>
    </xdr:sp>
    <xdr:clientData/>
  </xdr:twoCellAnchor>
</xdr:wsDr>
</file>

<file path=xl/drawings/drawing15.xml><?xml version="1.0" encoding="utf-8"?>
<c:userShapes xmlns:c="http://schemas.openxmlformats.org/drawingml/2006/chart">
  <cdr:relSizeAnchor xmlns:cdr="http://schemas.openxmlformats.org/drawingml/2006/chartDrawing">
    <cdr:from>
      <cdr:x>0.0607</cdr:x>
      <cdr:y>0.48459</cdr:y>
    </cdr:from>
    <cdr:to>
      <cdr:x>0.42876</cdr:x>
      <cdr:y>0.7483</cdr:y>
    </cdr:to>
    <cdr:sp macro="" textlink="">
      <cdr:nvSpPr>
        <cdr:cNvPr id="2" name="Arrow: Left-Right 1">
          <a:extLst xmlns:a="http://schemas.openxmlformats.org/drawingml/2006/main">
            <a:ext uri="{FF2B5EF4-FFF2-40B4-BE49-F238E27FC236}">
              <a16:creationId xmlns:a16="http://schemas.microsoft.com/office/drawing/2014/main" id="{0DADA0CB-A4B6-D3A8-4432-FD71ACE10DDF}"/>
            </a:ext>
          </a:extLst>
        </cdr:cNvPr>
        <cdr:cNvSpPr/>
      </cdr:nvSpPr>
      <cdr:spPr>
        <a:xfrm xmlns:a="http://schemas.openxmlformats.org/drawingml/2006/main">
          <a:off x="921291" y="3587269"/>
          <a:ext cx="5586389" cy="1952170"/>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00B050"/>
              </a:solidFill>
              <a:latin typeface="Aptos Narrow" panose="020B0004020202020204" pitchFamily="34" charset="0"/>
            </a:rPr>
            <a:t>Tổng</a:t>
          </a:r>
          <a:r>
            <a:rPr lang="en-US" sz="2000" b="1" baseline="0">
              <a:solidFill>
                <a:srgbClr val="00B050"/>
              </a:solidFill>
              <a:latin typeface="Aptos Narrow" panose="020B0004020202020204" pitchFamily="34" charset="0"/>
            </a:rPr>
            <a:t> biến phí giảm: </a:t>
          </a:r>
          <a:r>
            <a:rPr lang="en-US" sz="2300" b="1" baseline="0">
              <a:solidFill>
                <a:srgbClr val="00B050"/>
              </a:solidFill>
              <a:latin typeface="Aptos Narrow" panose="020B0004020202020204" pitchFamily="34" charset="0"/>
            </a:rPr>
            <a:t>1.19 </a:t>
          </a:r>
          <a:r>
            <a:rPr lang="en-US" sz="2000" b="1" baseline="0">
              <a:solidFill>
                <a:srgbClr val="00B050"/>
              </a:solidFill>
              <a:latin typeface="Aptos Narrow" panose="020B0004020202020204" pitchFamily="34" charset="0"/>
            </a:rPr>
            <a:t>triệu/tấn </a:t>
          </a:r>
          <a:r>
            <a:rPr lang="en-US" sz="2000" b="1" i="1" baseline="0">
              <a:solidFill>
                <a:srgbClr val="00B050"/>
              </a:solidFill>
              <a:latin typeface="Aptos Narrow" panose="020B0004020202020204" pitchFamily="34" charset="0"/>
            </a:rPr>
            <a:t>(-5.3%)</a:t>
          </a:r>
        </a:p>
        <a:p xmlns:a="http://schemas.openxmlformats.org/drawingml/2006/main">
          <a:pPr algn="ctr"/>
          <a:r>
            <a:rPr lang="en-US" sz="1500" b="0" i="1" baseline="0">
              <a:solidFill>
                <a:srgbClr val="00B050"/>
              </a:solidFill>
              <a:latin typeface="Aptos Narrow" panose="020B0004020202020204" pitchFamily="34" charset="0"/>
            </a:rPr>
            <a:t>(từ 22.54 triệu/tấn còn 21.35 triệu/tấn)</a:t>
          </a:r>
          <a:endParaRPr lang="en-US" sz="1500" b="0" i="1">
            <a:solidFill>
              <a:srgbClr val="00B050"/>
            </a:solidFill>
            <a:latin typeface="Aptos Narrow" panose="020B0004020202020204" pitchFamily="34" charset="0"/>
          </a:endParaRPr>
        </a:p>
      </cdr:txBody>
    </cdr:sp>
  </cdr:relSizeAnchor>
  <cdr:relSizeAnchor xmlns:cdr="http://schemas.openxmlformats.org/drawingml/2006/chartDrawing">
    <cdr:from>
      <cdr:x>0.49713</cdr:x>
      <cdr:y>0.50773</cdr:y>
    </cdr:from>
    <cdr:to>
      <cdr:x>0.92242</cdr:x>
      <cdr:y>0.7467</cdr:y>
    </cdr:to>
    <cdr:sp macro="" textlink="">
      <cdr:nvSpPr>
        <cdr:cNvPr id="3" name="Arrow: Left-Right 2">
          <a:extLst xmlns:a="http://schemas.openxmlformats.org/drawingml/2006/main">
            <a:ext uri="{FF2B5EF4-FFF2-40B4-BE49-F238E27FC236}">
              <a16:creationId xmlns:a16="http://schemas.microsoft.com/office/drawing/2014/main" id="{0277A517-247E-0F75-A5E8-DCBED70AC6AD}"/>
            </a:ext>
          </a:extLst>
        </cdr:cNvPr>
        <cdr:cNvSpPr/>
      </cdr:nvSpPr>
      <cdr:spPr>
        <a:xfrm xmlns:a="http://schemas.openxmlformats.org/drawingml/2006/main">
          <a:off x="7545396" y="3758567"/>
          <a:ext cx="6455022" cy="1769028"/>
        </a:xfrm>
        <a:prstGeom xmlns:a="http://schemas.openxmlformats.org/drawingml/2006/main" prst="leftRightArrow">
          <a:avLst>
            <a:gd name="adj1" fmla="val 50000"/>
            <a:gd name="adj2" fmla="val 22632"/>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00B050"/>
              </a:solidFill>
              <a:latin typeface="Aptos Narrow" panose="020B0004020202020204" pitchFamily="34" charset="0"/>
            </a:rPr>
            <a:t>Tổng</a:t>
          </a:r>
          <a:r>
            <a:rPr lang="en-US" sz="2000" b="1" baseline="0">
              <a:solidFill>
                <a:srgbClr val="00B050"/>
              </a:solidFill>
              <a:latin typeface="Aptos Narrow" panose="020B0004020202020204" pitchFamily="34" charset="0"/>
            </a:rPr>
            <a:t> định phí giảm: 0.7 triệu/tấn</a:t>
          </a:r>
        </a:p>
        <a:p xmlns:a="http://schemas.openxmlformats.org/drawingml/2006/main">
          <a:pPr algn="ctr"/>
          <a:r>
            <a:rPr lang="en-US" sz="1500" b="0" i="1" baseline="0">
              <a:solidFill>
                <a:srgbClr val="00B050"/>
              </a:solidFill>
              <a:latin typeface="Aptos Narrow" panose="020B0004020202020204" pitchFamily="34" charset="0"/>
            </a:rPr>
            <a:t>(Tổng định phí BQ: năm nay là 31.3 tỷ, năm trước là 33.95 tỷ)</a:t>
          </a:r>
        </a:p>
      </cdr:txBody>
    </cdr:sp>
  </cdr:relSizeAnchor>
  <cdr:relSizeAnchor xmlns:cdr="http://schemas.openxmlformats.org/drawingml/2006/chartDrawing">
    <cdr:from>
      <cdr:x>0.00477</cdr:x>
      <cdr:y>0.06934</cdr:y>
    </cdr:from>
    <cdr:to>
      <cdr:x>0.08373</cdr:x>
      <cdr:y>0.1259</cdr:y>
    </cdr:to>
    <cdr:sp macro="" textlink="">
      <cdr:nvSpPr>
        <cdr:cNvPr id="4" name="TextBox 3">
          <a:extLst xmlns:a="http://schemas.openxmlformats.org/drawingml/2006/main">
            <a:ext uri="{FF2B5EF4-FFF2-40B4-BE49-F238E27FC236}">
              <a16:creationId xmlns:a16="http://schemas.microsoft.com/office/drawing/2014/main" id="{1DB20900-54D0-6E7C-901E-A130D498FDE5}"/>
            </a:ext>
          </a:extLst>
        </cdr:cNvPr>
        <cdr:cNvSpPr txBox="1"/>
      </cdr:nvSpPr>
      <cdr:spPr>
        <a:xfrm xmlns:a="http://schemas.openxmlformats.org/drawingml/2006/main">
          <a:off x="75166" y="502441"/>
          <a:ext cx="1245206" cy="4098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300" i="1"/>
            <a:t>Đvt:</a:t>
          </a:r>
          <a:r>
            <a:rPr lang="en-US" sz="1300" i="1" baseline="0"/>
            <a:t> triệu đồng/tấn</a:t>
          </a:r>
          <a:endParaRPr lang="en-US" sz="1300" i="1"/>
        </a:p>
      </cdr:txBody>
    </cdr:sp>
  </cdr:relSizeAnchor>
  <cdr:relSizeAnchor xmlns:cdr="http://schemas.openxmlformats.org/drawingml/2006/chartDrawing">
    <cdr:from>
      <cdr:x>0.8952</cdr:x>
      <cdr:y>0.07683</cdr:y>
    </cdr:from>
    <cdr:to>
      <cdr:x>1</cdr:x>
      <cdr:y>0.15425</cdr:y>
    </cdr:to>
    <cdr:sp macro="" textlink="">
      <cdr:nvSpPr>
        <cdr:cNvPr id="5" name="TextBox 4">
          <a:extLst xmlns:a="http://schemas.openxmlformats.org/drawingml/2006/main">
            <a:ext uri="{FF2B5EF4-FFF2-40B4-BE49-F238E27FC236}">
              <a16:creationId xmlns:a16="http://schemas.microsoft.com/office/drawing/2014/main" id="{FC3DE202-66B9-BD32-3556-4B254E7B4240}"/>
            </a:ext>
          </a:extLst>
        </cdr:cNvPr>
        <cdr:cNvSpPr txBox="1"/>
      </cdr:nvSpPr>
      <cdr:spPr>
        <a:xfrm xmlns:a="http://schemas.openxmlformats.org/drawingml/2006/main">
          <a:off x="14125836" y="551476"/>
          <a:ext cx="1653695" cy="55568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500" b="1" baseline="0">
              <a:solidFill>
                <a:schemeClr val="accent6">
                  <a:lumMod val="50000"/>
                </a:schemeClr>
              </a:solidFill>
            </a:rPr>
            <a:t>-0.84 </a:t>
          </a:r>
          <a:r>
            <a:rPr lang="en-US" sz="1300" b="1" baseline="0">
              <a:solidFill>
                <a:schemeClr val="accent6">
                  <a:lumMod val="50000"/>
                </a:schemeClr>
              </a:solidFill>
            </a:rPr>
            <a:t>triệu đồng/tấn</a:t>
          </a:r>
        </a:p>
        <a:p xmlns:a="http://schemas.openxmlformats.org/drawingml/2006/main">
          <a:pPr algn="ctr"/>
          <a:r>
            <a:rPr lang="en-US" sz="1300" b="0" i="1" baseline="0">
              <a:solidFill>
                <a:schemeClr val="accent6">
                  <a:lumMod val="50000"/>
                </a:schemeClr>
              </a:solidFill>
            </a:rPr>
            <a:t>(-2.7%)</a:t>
          </a:r>
          <a:endParaRPr lang="en-US" sz="1300" b="0" i="1">
            <a:solidFill>
              <a:schemeClr val="accent6">
                <a:lumMod val="50000"/>
              </a:schemeClr>
            </a:solidFill>
          </a:endParaRPr>
        </a:p>
      </cdr:txBody>
    </cdr:sp>
  </cdr:relSizeAnchor>
  <cdr:relSizeAnchor xmlns:cdr="http://schemas.openxmlformats.org/drawingml/2006/chartDrawing">
    <cdr:from>
      <cdr:x>0.43407</cdr:x>
      <cdr:y>0.34087</cdr:y>
    </cdr:from>
    <cdr:to>
      <cdr:x>0.49275</cdr:x>
      <cdr:y>0.55928</cdr:y>
    </cdr:to>
    <cdr:sp macro="" textlink="">
      <cdr:nvSpPr>
        <cdr:cNvPr id="7" name="Rectangle: Rounded Corners 6">
          <a:extLst xmlns:a="http://schemas.openxmlformats.org/drawingml/2006/main">
            <a:ext uri="{FF2B5EF4-FFF2-40B4-BE49-F238E27FC236}">
              <a16:creationId xmlns:a16="http://schemas.microsoft.com/office/drawing/2014/main" id="{E5E50293-A90A-518B-5278-BB2FAC1DBF88}"/>
            </a:ext>
          </a:extLst>
        </cdr:cNvPr>
        <cdr:cNvSpPr/>
      </cdr:nvSpPr>
      <cdr:spPr>
        <a:xfrm xmlns:a="http://schemas.openxmlformats.org/drawingml/2006/main">
          <a:off x="6588275" y="2523350"/>
          <a:ext cx="890641" cy="1616827"/>
        </a:xfrm>
        <a:prstGeom xmlns:a="http://schemas.openxmlformats.org/drawingml/2006/main" prst="roundRect">
          <a:avLst/>
        </a:prstGeom>
        <a:noFill xmlns:a="http://schemas.openxmlformats.org/drawingml/2006/main"/>
        <a:ln xmlns:a="http://schemas.openxmlformats.org/drawingml/2006/main">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100" b="1" baseline="0">
              <a:solidFill>
                <a:srgbClr val="FF0000"/>
              </a:solidFill>
              <a:effectLst/>
              <a:latin typeface="Aptos Narrow" panose="020B0004020202020204" pitchFamily="34" charset="0"/>
              <a:ea typeface="+mn-ea"/>
              <a:cs typeface="+mn-cs"/>
            </a:rPr>
            <a:t>Giảm từ:</a:t>
          </a:r>
          <a:endParaRPr lang="en-US" b="1">
            <a:solidFill>
              <a:srgbClr val="FF0000"/>
            </a:solidFill>
            <a:effectLst/>
            <a:latin typeface="Aptos Narrow" panose="020B0004020202020204" pitchFamily="34" charset="0"/>
          </a:endParaRPr>
        </a:p>
        <a:p xmlns:a="http://schemas.openxmlformats.org/drawingml/2006/main">
          <a:pPr algn="ctr"/>
          <a:r>
            <a:rPr lang="en-US" sz="1300" b="1" baseline="0">
              <a:solidFill>
                <a:srgbClr val="FF0000"/>
              </a:solidFill>
              <a:effectLst/>
              <a:latin typeface="Aptos Narrow" panose="020B0004020202020204" pitchFamily="34" charset="0"/>
              <a:ea typeface="+mn-ea"/>
              <a:cs typeface="+mn-cs"/>
            </a:rPr>
            <a:t>3,792 </a:t>
          </a:r>
          <a:r>
            <a:rPr lang="en-US" sz="1100" baseline="0">
              <a:solidFill>
                <a:srgbClr val="FF0000"/>
              </a:solidFill>
              <a:effectLst/>
              <a:latin typeface="Aptos Narrow" panose="020B0004020202020204" pitchFamily="34" charset="0"/>
              <a:ea typeface="+mn-ea"/>
              <a:cs typeface="+mn-cs"/>
            </a:rPr>
            <a:t>tấn → </a:t>
          </a:r>
          <a:r>
            <a:rPr lang="en-US" sz="1500" b="1" baseline="0">
              <a:solidFill>
                <a:srgbClr val="FF0000"/>
              </a:solidFill>
              <a:effectLst/>
              <a:latin typeface="Aptos Narrow" panose="020B0004020202020204" pitchFamily="34" charset="0"/>
              <a:ea typeface="+mn-ea"/>
              <a:cs typeface="+mn-cs"/>
            </a:rPr>
            <a:t>3,384 </a:t>
          </a:r>
          <a:r>
            <a:rPr lang="en-US" sz="1100" baseline="0">
              <a:solidFill>
                <a:srgbClr val="FF0000"/>
              </a:solidFill>
              <a:effectLst/>
              <a:latin typeface="Aptos Narrow" panose="020B0004020202020204" pitchFamily="34" charset="0"/>
              <a:ea typeface="+mn-ea"/>
              <a:cs typeface="+mn-cs"/>
            </a:rPr>
            <a:t>tấn</a:t>
          </a:r>
          <a:endParaRPr lang="vi-VN" sz="1100" baseline="0">
            <a:solidFill>
              <a:srgbClr val="FF0000"/>
            </a:solidFill>
            <a:effectLst/>
            <a:latin typeface="Aptos Narrow" panose="020B0004020202020204" pitchFamily="34" charset="0"/>
            <a:ea typeface="+mn-ea"/>
            <a:cs typeface="+mn-cs"/>
          </a:endParaRPr>
        </a:p>
        <a:p xmlns:a="http://schemas.openxmlformats.org/drawingml/2006/main">
          <a:pPr algn="ctr"/>
          <a:endParaRPr lang="en-US">
            <a:solidFill>
              <a:srgbClr val="FF0000"/>
            </a:solidFill>
            <a:effectLst/>
            <a:latin typeface="Aptos Narrow" panose="020B0004020202020204" pitchFamily="34" charset="0"/>
          </a:endParaRPr>
        </a:p>
        <a:p xmlns:a="http://schemas.openxmlformats.org/drawingml/2006/main">
          <a:pPr algn="ctr"/>
          <a:r>
            <a:rPr lang="en-US" sz="1100" i="1" baseline="0">
              <a:solidFill>
                <a:srgbClr val="FF0000"/>
              </a:solidFill>
              <a:effectLst/>
              <a:latin typeface="Aptos Narrow" panose="020B0004020202020204" pitchFamily="34" charset="0"/>
              <a:ea typeface="+mn-ea"/>
              <a:cs typeface="+mn-cs"/>
            </a:rPr>
            <a:t>(-408 tấn ~ -10.8%)</a:t>
          </a:r>
          <a:endParaRPr lang="en-US" i="1">
            <a:solidFill>
              <a:srgbClr val="FF0000"/>
            </a:solidFill>
            <a:effectLst/>
            <a:latin typeface="Aptos Narrow" panose="020B0004020202020204" pitchFamily="34" charset="0"/>
          </a:endParaRPr>
        </a:p>
      </cdr:txBody>
    </cdr:sp>
  </cdr:relSizeAnchor>
  <cdr:relSizeAnchor xmlns:cdr="http://schemas.openxmlformats.org/drawingml/2006/chartDrawing">
    <cdr:from>
      <cdr:x>0.07723</cdr:x>
      <cdr:y>0.31355</cdr:y>
    </cdr:from>
    <cdr:to>
      <cdr:x>0.20305</cdr:x>
      <cdr:y>0.4422</cdr:y>
    </cdr:to>
    <cdr:sp macro="" textlink="">
      <cdr:nvSpPr>
        <cdr:cNvPr id="6" name="Rectangle: Rounded Corners 5">
          <a:extLst xmlns:a="http://schemas.openxmlformats.org/drawingml/2006/main">
            <a:ext uri="{FF2B5EF4-FFF2-40B4-BE49-F238E27FC236}">
              <a16:creationId xmlns:a16="http://schemas.microsoft.com/office/drawing/2014/main" id="{C717C0FE-0471-889A-5A70-21923E528028}"/>
            </a:ext>
          </a:extLst>
        </cdr:cNvPr>
        <cdr:cNvSpPr/>
      </cdr:nvSpPr>
      <cdr:spPr>
        <a:xfrm xmlns:a="http://schemas.openxmlformats.org/drawingml/2006/main">
          <a:off x="1188166" y="2361156"/>
          <a:ext cx="1935713" cy="968780"/>
        </a:xfrm>
        <a:prstGeom xmlns:a="http://schemas.openxmlformats.org/drawingml/2006/main" prst="roundRect">
          <a:avLst/>
        </a:prstGeom>
        <a:noFill xmlns:a="http://schemas.openxmlformats.org/drawingml/2006/main"/>
        <a:ln xmlns:a="http://schemas.openxmlformats.org/drawingml/2006/main">
          <a:solidFill>
            <a:schemeClr val="bg1">
              <a:lumMod val="75000"/>
            </a:schemeClr>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300" b="1" i="0">
              <a:solidFill>
                <a:schemeClr val="accent6">
                  <a:lumMod val="50000"/>
                </a:schemeClr>
              </a:solidFill>
              <a:latin typeface="Aptos Narrow" panose="020B0004020202020204" pitchFamily="34" charset="0"/>
            </a:rPr>
            <a:t>Nguyên</a:t>
          </a:r>
          <a:r>
            <a:rPr lang="en-US" sz="1300" b="1" i="0" baseline="0">
              <a:solidFill>
                <a:schemeClr val="accent6">
                  <a:lumMod val="50000"/>
                </a:schemeClr>
              </a:solidFill>
              <a:latin typeface="Aptos Narrow" panose="020B0004020202020204" pitchFamily="34" charset="0"/>
            </a:rPr>
            <a:t> liệu nhựa: giảm</a:t>
          </a:r>
          <a:r>
            <a:rPr lang="en-US" sz="1300" b="0" i="0" baseline="0">
              <a:solidFill>
                <a:schemeClr val="accent6">
                  <a:lumMod val="50000"/>
                </a:schemeClr>
              </a:solidFill>
              <a:latin typeface="Aptos Narrow" panose="020B0004020202020204" pitchFamily="34" charset="0"/>
            </a:rPr>
            <a:t> </a:t>
          </a:r>
        </a:p>
        <a:p xmlns:a="http://schemas.openxmlformats.org/drawingml/2006/main">
          <a:pPr algn="ctr"/>
          <a:r>
            <a:rPr lang="en-US" sz="1300" b="0" i="0" baseline="0">
              <a:solidFill>
                <a:schemeClr val="accent6">
                  <a:lumMod val="50000"/>
                </a:schemeClr>
              </a:solidFill>
              <a:latin typeface="Aptos Narrow" panose="020B0004020202020204" pitchFamily="34" charset="0"/>
            </a:rPr>
            <a:t>từ 19.6 → 18.4 triệu/tấn</a:t>
          </a:r>
        </a:p>
        <a:p xmlns:a="http://schemas.openxmlformats.org/drawingml/2006/main">
          <a:pPr algn="ctr"/>
          <a:r>
            <a:rPr lang="en-US" sz="1300" b="0" i="0" baseline="0">
              <a:solidFill>
                <a:schemeClr val="accent6">
                  <a:lumMod val="50000"/>
                </a:schemeClr>
              </a:solidFill>
              <a:latin typeface="Aptos Narrow" panose="020B0004020202020204" pitchFamily="34" charset="0"/>
            </a:rPr>
            <a:t>(</a:t>
          </a:r>
          <a:r>
            <a:rPr lang="en-US" sz="1300" b="1" i="0" baseline="0">
              <a:solidFill>
                <a:schemeClr val="accent6">
                  <a:lumMod val="50000"/>
                </a:schemeClr>
              </a:solidFill>
              <a:latin typeface="Aptos Narrow" panose="020B0004020202020204" pitchFamily="34" charset="0"/>
            </a:rPr>
            <a:t>-</a:t>
          </a:r>
          <a:r>
            <a:rPr lang="en-US" sz="1300" b="1" i="1" baseline="0">
              <a:solidFill>
                <a:schemeClr val="accent6">
                  <a:lumMod val="50000"/>
                </a:schemeClr>
              </a:solidFill>
              <a:latin typeface="Aptos Narrow" panose="020B0004020202020204" pitchFamily="34" charset="0"/>
            </a:rPr>
            <a:t> 1.26 triệu/tấn </a:t>
          </a:r>
          <a:r>
            <a:rPr lang="en-US" sz="1300" b="0" i="1" baseline="0">
              <a:solidFill>
                <a:schemeClr val="accent6">
                  <a:lumMod val="50000"/>
                </a:schemeClr>
              </a:solidFill>
              <a:latin typeface="Aptos Narrow" panose="020B0004020202020204" pitchFamily="34" charset="0"/>
            </a:rPr>
            <a:t>~</a:t>
          </a:r>
        </a:p>
        <a:p xmlns:a="http://schemas.openxmlformats.org/drawingml/2006/main">
          <a:pPr algn="ctr"/>
          <a:r>
            <a:rPr lang="en-US" sz="1300" b="0" i="1" baseline="0">
              <a:solidFill>
                <a:schemeClr val="accent6">
                  <a:lumMod val="50000"/>
                </a:schemeClr>
              </a:solidFill>
              <a:latin typeface="Aptos Narrow" panose="020B0004020202020204" pitchFamily="34" charset="0"/>
            </a:rPr>
            <a:t>-  6.4%) </a:t>
          </a:r>
          <a:endParaRPr lang="en-US" sz="1300" b="0" i="1">
            <a:solidFill>
              <a:schemeClr val="accent6">
                <a:lumMod val="50000"/>
              </a:schemeClr>
            </a:solidFill>
            <a:latin typeface="Aptos Narrow" panose="020B0004020202020204" pitchFamily="34" charset="0"/>
          </a:endParaRPr>
        </a:p>
      </cdr:txBody>
    </cdr:sp>
  </cdr:relSizeAnchor>
  <cdr:relSizeAnchor xmlns:cdr="http://schemas.openxmlformats.org/drawingml/2006/chartDrawing">
    <cdr:from>
      <cdr:x>0.51413</cdr:x>
      <cdr:y>0.40465</cdr:y>
    </cdr:from>
    <cdr:to>
      <cdr:x>0.93195</cdr:x>
      <cdr:y>0.50392</cdr:y>
    </cdr:to>
    <cdr:grpSp>
      <cdr:nvGrpSpPr>
        <cdr:cNvPr id="8" name="Group 7">
          <a:extLst xmlns:a="http://schemas.openxmlformats.org/drawingml/2006/main">
            <a:ext uri="{FF2B5EF4-FFF2-40B4-BE49-F238E27FC236}">
              <a16:creationId xmlns:a16="http://schemas.microsoft.com/office/drawing/2014/main" id="{1B0C2087-B448-298A-8B87-D9CD453685C5}"/>
            </a:ext>
          </a:extLst>
        </cdr:cNvPr>
        <cdr:cNvGrpSpPr/>
      </cdr:nvGrpSpPr>
      <cdr:grpSpPr>
        <a:xfrm xmlns:a="http://schemas.openxmlformats.org/drawingml/2006/main">
          <a:off x="7936024" y="3005347"/>
          <a:ext cx="6449400" cy="737281"/>
          <a:chOff x="7909755" y="3158714"/>
          <a:chExt cx="6428133" cy="774903"/>
        </a:xfrm>
      </cdr:grpSpPr>
      <cdr:grpSp>
        <cdr:nvGrpSpPr>
          <cdr:cNvPr id="9" name="Group 8">
            <a:extLst xmlns:a="http://schemas.openxmlformats.org/drawingml/2006/main">
              <a:ext uri="{FF2B5EF4-FFF2-40B4-BE49-F238E27FC236}">
                <a16:creationId xmlns:a16="http://schemas.microsoft.com/office/drawing/2014/main" id="{BCC4BBED-BD45-94DE-46ED-F34B97E7C8DD}"/>
              </a:ext>
            </a:extLst>
          </cdr:cNvPr>
          <cdr:cNvGrpSpPr/>
        </cdr:nvGrpSpPr>
        <cdr:grpSpPr>
          <a:xfrm xmlns:a="http://schemas.openxmlformats.org/drawingml/2006/main">
            <a:off x="7909755" y="3158714"/>
            <a:ext cx="730271" cy="765671"/>
            <a:chOff x="0" y="2"/>
            <a:chExt cx="722242" cy="756997"/>
          </a:xfrm>
        </cdr:grpSpPr>
        <cdr:grpSp>
          <cdr:nvGrpSpPr>
            <cdr:cNvPr id="58" name="Group 57">
              <a:extLst xmlns:a="http://schemas.openxmlformats.org/drawingml/2006/main">
                <a:ext uri="{FF2B5EF4-FFF2-40B4-BE49-F238E27FC236}">
                  <a16:creationId xmlns:a16="http://schemas.microsoft.com/office/drawing/2014/main" id="{F7CF560B-CA7A-C8A3-62DF-BEA755F35EA3}"/>
                </a:ext>
              </a:extLst>
            </cdr:cNvPr>
            <cdr:cNvGrpSpPr/>
          </cdr:nvGrpSpPr>
          <cdr:grpSpPr>
            <a:xfrm xmlns:a="http://schemas.openxmlformats.org/drawingml/2006/main">
              <a:off x="19489" y="46481"/>
              <a:ext cx="631184" cy="663552"/>
              <a:chOff x="19489" y="45828"/>
              <a:chExt cx="631184" cy="654239"/>
            </a:xfrm>
          </cdr:grpSpPr>
          <cdr:grpSp>
            <cdr:nvGrpSpPr>
              <cdr:cNvPr id="60" name="Group 59">
                <a:extLst xmlns:a="http://schemas.openxmlformats.org/drawingml/2006/main">
                  <a:ext uri="{FF2B5EF4-FFF2-40B4-BE49-F238E27FC236}">
                    <a16:creationId xmlns:a16="http://schemas.microsoft.com/office/drawing/2014/main" id="{E049CABC-61C5-84A9-8BDF-5E793418E1E2}"/>
                  </a:ext>
                </a:extLst>
              </cdr:cNvPr>
              <cdr:cNvGrpSpPr/>
            </cdr:nvGrpSpPr>
            <cdr:grpSpPr>
              <a:xfrm xmlns:a="http://schemas.openxmlformats.org/drawingml/2006/main">
                <a:off x="19489" y="45828"/>
                <a:ext cx="624850" cy="501216"/>
                <a:chOff x="19489" y="45828"/>
                <a:chExt cx="624851" cy="501217"/>
              </a:xfrm>
            </cdr:grpSpPr>
            <cdr:sp macro="" textlink="'Data-Vẽ -CYvsPY'!$E$29">
              <cdr:nvSpPr>
                <cdr:cNvPr id="62" name="TextBox 58">
                  <a:extLst xmlns:a="http://schemas.openxmlformats.org/drawingml/2006/main">
                    <a:ext uri="{FF2B5EF4-FFF2-40B4-BE49-F238E27FC236}">
                      <a16:creationId xmlns:a16="http://schemas.microsoft.com/office/drawing/2014/main" id="{7DD71C48-D0B2-EA97-5E3C-555AD1BF1F60}"/>
                    </a:ext>
                  </a:extLst>
                </cdr:cNvPr>
                <cdr:cNvSpPr txBox="1"/>
              </cdr:nvSpPr>
              <cdr:spPr>
                <a:xfrm xmlns:a="http://schemas.openxmlformats.org/drawingml/2006/main">
                  <a:off x="19489" y="45828"/>
                  <a:ext cx="624851" cy="3115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CDB921B-CCBE-4FD9-B952-15797F5FEDD6}" type="TxLink">
                    <a:rPr lang="en-US" sz="1300" b="1" i="0" u="none" strike="noStrike">
                      <a:solidFill>
                        <a:schemeClr val="accent4">
                          <a:lumMod val="60000"/>
                          <a:lumOff val="40000"/>
                        </a:schemeClr>
                      </a:solidFill>
                      <a:latin typeface="Aptos Narrow"/>
                      <a:ea typeface="+mn-ea"/>
                      <a:cs typeface="+mn-cs"/>
                    </a:rPr>
                    <a:pPr marL="0" indent="0" algn="ctr"/>
                    <a:t> 9,337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29">
              <cdr:nvSpPr>
                <cdr:cNvPr id="63" name="TextBox 59">
                  <a:extLst xmlns:a="http://schemas.openxmlformats.org/drawingml/2006/main">
                    <a:ext uri="{FF2B5EF4-FFF2-40B4-BE49-F238E27FC236}">
                      <a16:creationId xmlns:a16="http://schemas.microsoft.com/office/drawing/2014/main" id="{F7C81509-46C2-CB61-2E90-E4898F6E36B3}"/>
                    </a:ext>
                  </a:extLst>
                </cdr:cNvPr>
                <cdr:cNvSpPr txBox="1"/>
              </cdr:nvSpPr>
              <cdr:spPr>
                <a:xfrm xmlns:a="http://schemas.openxmlformats.org/drawingml/2006/main">
                  <a:off x="66262" y="268435"/>
                  <a:ext cx="556972" cy="2786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8BE7A10E-0ADB-4F9C-9701-2B4533C60BEB}" type="TxLink">
                    <a:rPr lang="en-US" sz="1100" b="0" i="0" u="none" strike="noStrike">
                      <a:solidFill>
                        <a:schemeClr val="bg1">
                          <a:lumMod val="50000"/>
                        </a:schemeClr>
                      </a:solidFill>
                      <a:latin typeface="Aptos Narrow"/>
                      <a:ea typeface="+mn-ea"/>
                      <a:cs typeface="+mn-cs"/>
                    </a:rPr>
                    <a:pPr marL="0" indent="0" algn="ctr"/>
                    <a:t> 8,239 </a:t>
                  </a:fld>
                  <a:endParaRPr lang="en-US" sz="1100" b="0" i="0" u="none" strike="noStrike">
                    <a:solidFill>
                      <a:schemeClr val="bg1">
                        <a:lumMod val="50000"/>
                      </a:schemeClr>
                    </a:solidFill>
                    <a:latin typeface="Aptos Narrow"/>
                    <a:ea typeface="+mn-ea"/>
                    <a:cs typeface="+mn-cs"/>
                  </a:endParaRPr>
                </a:p>
              </cdr:txBody>
            </cdr:sp>
            <cdr:cxnSp macro="">
              <cdr:nvCxnSpPr>
                <cdr:cNvPr id="64" name="Straight Connector 63">
                  <a:extLst xmlns:a="http://schemas.openxmlformats.org/drawingml/2006/main">
                    <a:ext uri="{FF2B5EF4-FFF2-40B4-BE49-F238E27FC236}">
                      <a16:creationId xmlns:a16="http://schemas.microsoft.com/office/drawing/2014/main" id="{31286EA3-9DA1-BC70-854B-B598B84637B6}"/>
                    </a:ext>
                  </a:extLst>
                </cdr:cNvPr>
                <cdr:cNvCxnSpPr/>
              </cdr:nvCxnSpPr>
              <cdr:spPr>
                <a:xfrm xmlns:a="http://schemas.openxmlformats.org/drawingml/2006/main">
                  <a:off x="66261" y="30117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61" name="TextBox 57">
                <a:extLst xmlns:a="http://schemas.openxmlformats.org/drawingml/2006/main">
                  <a:ext uri="{FF2B5EF4-FFF2-40B4-BE49-F238E27FC236}">
                    <a16:creationId xmlns:a16="http://schemas.microsoft.com/office/drawing/2014/main" id="{602F9D1B-A636-89F0-2CD6-9DEC01B722C3}"/>
                  </a:ext>
                </a:extLst>
              </cdr:cNvPr>
              <cdr:cNvSpPr txBox="1"/>
            </cdr:nvSpPr>
            <cdr:spPr>
              <a:xfrm xmlns:a="http://schemas.openxmlformats.org/drawingml/2006/main">
                <a:off x="72887" y="438659"/>
                <a:ext cx="577786" cy="2614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9" name="Rectangle: Rounded Corners 58">
              <a:extLst xmlns:a="http://schemas.openxmlformats.org/drawingml/2006/main">
                <a:ext uri="{FF2B5EF4-FFF2-40B4-BE49-F238E27FC236}">
                  <a16:creationId xmlns:a16="http://schemas.microsoft.com/office/drawing/2014/main" id="{5F6F3959-4692-960B-CD0A-7BE9F86D1291}"/>
                </a:ext>
              </a:extLst>
            </cdr:cNvPr>
            <cdr:cNvSpPr/>
          </cdr:nvSpPr>
          <cdr:spPr>
            <a:xfrm xmlns:a="http://schemas.openxmlformats.org/drawingml/2006/main">
              <a:off x="0" y="2"/>
              <a:ext cx="722242" cy="756997"/>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0" name="Group 9">
            <a:extLst xmlns:a="http://schemas.openxmlformats.org/drawingml/2006/main">
              <a:ext uri="{FF2B5EF4-FFF2-40B4-BE49-F238E27FC236}">
                <a16:creationId xmlns:a16="http://schemas.microsoft.com/office/drawing/2014/main" id="{E39BF362-5314-72D9-589A-7BB11AC72265}"/>
              </a:ext>
            </a:extLst>
          </cdr:cNvPr>
          <cdr:cNvGrpSpPr/>
        </cdr:nvGrpSpPr>
        <cdr:grpSpPr>
          <a:xfrm xmlns:a="http://schemas.openxmlformats.org/drawingml/2006/main">
            <a:off x="8851795" y="3158714"/>
            <a:ext cx="771059" cy="774903"/>
            <a:chOff x="917517" y="0"/>
            <a:chExt cx="762578" cy="766125"/>
          </a:xfrm>
        </cdr:grpSpPr>
        <cdr:grpSp>
          <cdr:nvGrpSpPr>
            <cdr:cNvPr id="51" name="Group 50">
              <a:extLst xmlns:a="http://schemas.openxmlformats.org/drawingml/2006/main">
                <a:ext uri="{FF2B5EF4-FFF2-40B4-BE49-F238E27FC236}">
                  <a16:creationId xmlns:a16="http://schemas.microsoft.com/office/drawing/2014/main" id="{64ED876A-AB52-45F9-7AC0-2B79AC4B5A32}"/>
                </a:ext>
              </a:extLst>
            </cdr:cNvPr>
            <cdr:cNvGrpSpPr/>
          </cdr:nvGrpSpPr>
          <cdr:grpSpPr>
            <a:xfrm xmlns:a="http://schemas.openxmlformats.org/drawingml/2006/main">
              <a:off x="917517" y="47042"/>
              <a:ext cx="738175" cy="671551"/>
              <a:chOff x="917517" y="46382"/>
              <a:chExt cx="738176" cy="662126"/>
            </a:xfrm>
          </cdr:grpSpPr>
          <cdr:grpSp>
            <cdr:nvGrpSpPr>
              <cdr:cNvPr id="53" name="Group 52">
                <a:extLst xmlns:a="http://schemas.openxmlformats.org/drawingml/2006/main">
                  <a:ext uri="{FF2B5EF4-FFF2-40B4-BE49-F238E27FC236}">
                    <a16:creationId xmlns:a16="http://schemas.microsoft.com/office/drawing/2014/main" id="{FC3598DF-73E7-EC1F-4AA3-F441841DC32C}"/>
                  </a:ext>
                </a:extLst>
              </cdr:cNvPr>
              <cdr:cNvGrpSpPr/>
            </cdr:nvGrpSpPr>
            <cdr:grpSpPr>
              <a:xfrm xmlns:a="http://schemas.openxmlformats.org/drawingml/2006/main">
                <a:off x="917517" y="46382"/>
                <a:ext cx="738176" cy="503898"/>
                <a:chOff x="917517" y="46382"/>
                <a:chExt cx="738176" cy="503898"/>
              </a:xfrm>
            </cdr:grpSpPr>
            <cdr:sp macro="" textlink="'Data-Vẽ -CYvsPY'!$E$30">
              <cdr:nvSpPr>
                <cdr:cNvPr id="55" name="TextBox 51">
                  <a:extLst xmlns:a="http://schemas.openxmlformats.org/drawingml/2006/main">
                    <a:ext uri="{FF2B5EF4-FFF2-40B4-BE49-F238E27FC236}">
                      <a16:creationId xmlns:a16="http://schemas.microsoft.com/office/drawing/2014/main" id="{F9F787E8-5620-7D55-AA54-5C1AB2FC7FEB}"/>
                    </a:ext>
                  </a:extLst>
                </cdr:cNvPr>
                <cdr:cNvSpPr txBox="1"/>
              </cdr:nvSpPr>
              <cdr:spPr>
                <a:xfrm xmlns:a="http://schemas.openxmlformats.org/drawingml/2006/main">
                  <a:off x="917517" y="46382"/>
                  <a:ext cx="709014" cy="3115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E9AA5E7-F777-4A63-B4D6-70C4926DB3A9}" type="TxLink">
                    <a:rPr lang="en-US" sz="1300" b="1" i="0" u="none" strike="noStrike">
                      <a:solidFill>
                        <a:schemeClr val="accent4">
                          <a:lumMod val="60000"/>
                          <a:lumOff val="40000"/>
                        </a:schemeClr>
                      </a:solidFill>
                      <a:latin typeface="Aptos Narrow"/>
                      <a:ea typeface="+mn-ea"/>
                      <a:cs typeface="+mn-cs"/>
                    </a:rPr>
                    <a:pPr marL="0" indent="0" algn="ctr"/>
                    <a:t> 14,278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0">
              <cdr:nvSpPr>
                <cdr:cNvPr id="56" name="TextBox 52">
                  <a:extLst xmlns:a="http://schemas.openxmlformats.org/drawingml/2006/main">
                    <a:ext uri="{FF2B5EF4-FFF2-40B4-BE49-F238E27FC236}">
                      <a16:creationId xmlns:a16="http://schemas.microsoft.com/office/drawing/2014/main" id="{59FD2877-3585-D0E9-7017-3108046B4CB8}"/>
                    </a:ext>
                  </a:extLst>
                </cdr:cNvPr>
                <cdr:cNvSpPr txBox="1"/>
              </cdr:nvSpPr>
              <cdr:spPr>
                <a:xfrm xmlns:a="http://schemas.openxmlformats.org/drawingml/2006/main">
                  <a:off x="1024116" y="271670"/>
                  <a:ext cx="631577" cy="2786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61C8EB7-9F02-4107-9377-6D699929D285}" type="TxLink">
                    <a:rPr lang="en-US" sz="1100" b="0" i="0" u="none" strike="noStrike">
                      <a:solidFill>
                        <a:schemeClr val="bg1">
                          <a:lumMod val="50000"/>
                        </a:schemeClr>
                      </a:solidFill>
                      <a:latin typeface="Aptos Narrow"/>
                      <a:ea typeface="+mn-ea"/>
                      <a:cs typeface="+mn-cs"/>
                    </a:rPr>
                    <a:pPr marL="0" indent="0" algn="ctr"/>
                    <a:t> 14,477 </a:t>
                  </a:fld>
                  <a:endParaRPr lang="en-US" sz="1100" b="0" i="0" u="none" strike="noStrike">
                    <a:solidFill>
                      <a:schemeClr val="bg1">
                        <a:lumMod val="50000"/>
                      </a:schemeClr>
                    </a:solidFill>
                    <a:latin typeface="Aptos Narrow"/>
                    <a:ea typeface="+mn-ea"/>
                    <a:cs typeface="+mn-cs"/>
                  </a:endParaRPr>
                </a:p>
              </cdr:txBody>
            </cdr:sp>
            <cdr:cxnSp macro="">
              <cdr:nvCxnSpPr>
                <cdr:cNvPr id="57" name="Straight Connector 56">
                  <a:extLst xmlns:a="http://schemas.openxmlformats.org/drawingml/2006/main">
                    <a:ext uri="{FF2B5EF4-FFF2-40B4-BE49-F238E27FC236}">
                      <a16:creationId xmlns:a16="http://schemas.microsoft.com/office/drawing/2014/main" id="{A16691AD-EEDE-C2B8-A11C-AACABB175309}"/>
                    </a:ext>
                  </a:extLst>
                </cdr:cNvPr>
                <cdr:cNvCxnSpPr/>
              </cdr:nvCxnSpPr>
              <cdr:spPr>
                <a:xfrm xmlns:a="http://schemas.openxmlformats.org/drawingml/2006/main">
                  <a:off x="1024115"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54" name="TextBox 50">
                <a:extLst xmlns:a="http://schemas.openxmlformats.org/drawingml/2006/main">
                  <a:ext uri="{FF2B5EF4-FFF2-40B4-BE49-F238E27FC236}">
                    <a16:creationId xmlns:a16="http://schemas.microsoft.com/office/drawing/2014/main" id="{91DBB290-B795-AF7E-69C4-F2B8CD4052FA}"/>
                  </a:ext>
                </a:extLst>
              </cdr:cNvPr>
              <cdr:cNvSpPr txBox="1"/>
            </cdr:nvSpPr>
            <cdr:spPr>
              <a:xfrm xmlns:a="http://schemas.openxmlformats.org/drawingml/2006/main">
                <a:off x="1030741"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52" name="Rectangle: Rounded Corners 51">
              <a:extLst xmlns:a="http://schemas.openxmlformats.org/drawingml/2006/main">
                <a:ext uri="{FF2B5EF4-FFF2-40B4-BE49-F238E27FC236}">
                  <a16:creationId xmlns:a16="http://schemas.microsoft.com/office/drawing/2014/main" id="{FA4F4F47-0286-8F20-A524-0179A4409EC4}"/>
                </a:ext>
              </a:extLst>
            </cdr:cNvPr>
            <cdr:cNvSpPr/>
          </cdr:nvSpPr>
          <cdr:spPr>
            <a:xfrm xmlns:a="http://schemas.openxmlformats.org/drawingml/2006/main">
              <a:off x="957854" y="0"/>
              <a:ext cx="722241"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1" name="Group 10">
            <a:extLst xmlns:a="http://schemas.openxmlformats.org/drawingml/2006/main">
              <a:ext uri="{FF2B5EF4-FFF2-40B4-BE49-F238E27FC236}">
                <a16:creationId xmlns:a16="http://schemas.microsoft.com/office/drawing/2014/main" id="{87764569-A7CB-7A31-7D51-9E824B6B37FA}"/>
              </a:ext>
            </a:extLst>
          </cdr:cNvPr>
          <cdr:cNvGrpSpPr/>
        </cdr:nvGrpSpPr>
        <cdr:grpSpPr>
          <a:xfrm xmlns:a="http://schemas.openxmlformats.org/drawingml/2006/main">
            <a:off x="9834623" y="3158714"/>
            <a:ext cx="730273" cy="774903"/>
            <a:chOff x="1915380" y="2"/>
            <a:chExt cx="722243" cy="766125"/>
          </a:xfrm>
        </cdr:grpSpPr>
        <cdr:grpSp>
          <cdr:nvGrpSpPr>
            <cdr:cNvPr id="44" name="Group 43">
              <a:extLst xmlns:a="http://schemas.openxmlformats.org/drawingml/2006/main">
                <a:ext uri="{FF2B5EF4-FFF2-40B4-BE49-F238E27FC236}">
                  <a16:creationId xmlns:a16="http://schemas.microsoft.com/office/drawing/2014/main" id="{016C50B0-D5F5-3D9B-5315-FE6F770C3403}"/>
                </a:ext>
              </a:extLst>
            </cdr:cNvPr>
            <cdr:cNvGrpSpPr/>
          </cdr:nvGrpSpPr>
          <cdr:grpSpPr>
            <a:xfrm xmlns:a="http://schemas.openxmlformats.org/drawingml/2006/main">
              <a:off x="1934865" y="47043"/>
              <a:ext cx="631189" cy="671551"/>
              <a:chOff x="1934865" y="46383"/>
              <a:chExt cx="631189" cy="662126"/>
            </a:xfrm>
          </cdr:grpSpPr>
          <cdr:grpSp>
            <cdr:nvGrpSpPr>
              <cdr:cNvPr id="46" name="Group 45">
                <a:extLst xmlns:a="http://schemas.openxmlformats.org/drawingml/2006/main">
                  <a:ext uri="{FF2B5EF4-FFF2-40B4-BE49-F238E27FC236}">
                    <a16:creationId xmlns:a16="http://schemas.microsoft.com/office/drawing/2014/main" id="{D271D425-852A-0697-A072-FE854C1879B3}"/>
                  </a:ext>
                </a:extLst>
              </cdr:cNvPr>
              <cdr:cNvGrpSpPr/>
            </cdr:nvGrpSpPr>
            <cdr:grpSpPr>
              <a:xfrm xmlns:a="http://schemas.openxmlformats.org/drawingml/2006/main">
                <a:off x="1934865" y="46383"/>
                <a:ext cx="624851" cy="503898"/>
                <a:chOff x="1934865" y="46383"/>
                <a:chExt cx="624851" cy="503898"/>
              </a:xfrm>
            </cdr:grpSpPr>
            <cdr:sp macro="" textlink="'Data-Vẽ -CYvsPY'!$E$31">
              <cdr:nvSpPr>
                <cdr:cNvPr id="48" name="TextBox 44">
                  <a:extLst xmlns:a="http://schemas.openxmlformats.org/drawingml/2006/main">
                    <a:ext uri="{FF2B5EF4-FFF2-40B4-BE49-F238E27FC236}">
                      <a16:creationId xmlns:a16="http://schemas.microsoft.com/office/drawing/2014/main" id="{D1542A6C-8558-4948-C3FD-714B55DBAD95}"/>
                    </a:ext>
                  </a:extLst>
                </cdr:cNvPr>
                <cdr:cNvSpPr txBox="1"/>
              </cdr:nvSpPr>
              <cdr:spPr>
                <a:xfrm xmlns:a="http://schemas.openxmlformats.org/drawingml/2006/main">
                  <a:off x="1934865" y="46383"/>
                  <a:ext cx="624851" cy="3115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5048B8A-BEAA-4274-B322-18EB23C3203C}" type="TxLink">
                    <a:rPr lang="en-US" sz="1300" b="1" i="0" u="none" strike="noStrike">
                      <a:solidFill>
                        <a:schemeClr val="accent4">
                          <a:lumMod val="60000"/>
                          <a:lumOff val="40000"/>
                        </a:schemeClr>
                      </a:solidFill>
                      <a:latin typeface="Aptos Narrow"/>
                      <a:ea typeface="+mn-ea"/>
                      <a:cs typeface="+mn-cs"/>
                    </a:rPr>
                    <a:pPr marL="0" indent="0" algn="ctr"/>
                    <a:t> 2,193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1">
              <cdr:nvSpPr>
                <cdr:cNvPr id="49" name="TextBox 45">
                  <a:extLst xmlns:a="http://schemas.openxmlformats.org/drawingml/2006/main">
                    <a:ext uri="{FF2B5EF4-FFF2-40B4-BE49-F238E27FC236}">
                      <a16:creationId xmlns:a16="http://schemas.microsoft.com/office/drawing/2014/main" id="{AB548033-C406-23D3-4D60-7809708C435A}"/>
                    </a:ext>
                  </a:extLst>
                </cdr:cNvPr>
                <cdr:cNvSpPr txBox="1"/>
              </cdr:nvSpPr>
              <cdr:spPr>
                <a:xfrm xmlns:a="http://schemas.openxmlformats.org/drawingml/2006/main">
                  <a:off x="1981642" y="271671"/>
                  <a:ext cx="557345" cy="2786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97A6DAA0-8F46-4252-B3C3-8663BD703B4F}" type="TxLink">
                    <a:rPr lang="en-US" sz="1100" b="0" i="0" u="none" strike="noStrike">
                      <a:solidFill>
                        <a:schemeClr val="bg1">
                          <a:lumMod val="50000"/>
                        </a:schemeClr>
                      </a:solidFill>
                      <a:latin typeface="Aptos Narrow"/>
                      <a:ea typeface="+mn-ea"/>
                      <a:cs typeface="+mn-cs"/>
                    </a:rPr>
                    <a:pPr marL="0" indent="0" algn="ctr"/>
                    <a:t> 4,117 </a:t>
                  </a:fld>
                  <a:endParaRPr lang="en-US" sz="1100" b="0" i="0" u="none" strike="noStrike">
                    <a:solidFill>
                      <a:schemeClr val="bg1">
                        <a:lumMod val="50000"/>
                      </a:schemeClr>
                    </a:solidFill>
                    <a:latin typeface="Aptos Narrow"/>
                    <a:ea typeface="+mn-ea"/>
                    <a:cs typeface="+mn-cs"/>
                  </a:endParaRPr>
                </a:p>
              </cdr:txBody>
            </cdr:sp>
            <cdr:cxnSp macro="">
              <cdr:nvCxnSpPr>
                <cdr:cNvPr id="50" name="Straight Connector 49">
                  <a:extLst xmlns:a="http://schemas.openxmlformats.org/drawingml/2006/main">
                    <a:ext uri="{FF2B5EF4-FFF2-40B4-BE49-F238E27FC236}">
                      <a16:creationId xmlns:a16="http://schemas.microsoft.com/office/drawing/2014/main" id="{A84E9D1D-7E09-1CA8-5928-9BBCCAA06D2A}"/>
                    </a:ext>
                  </a:extLst>
                </cdr:cNvPr>
                <cdr:cNvCxnSpPr/>
              </cdr:nvCxnSpPr>
              <cdr:spPr>
                <a:xfrm xmlns:a="http://schemas.openxmlformats.org/drawingml/2006/main">
                  <a:off x="1981641"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7" name="TextBox 43">
                <a:extLst xmlns:a="http://schemas.openxmlformats.org/drawingml/2006/main">
                  <a:ext uri="{FF2B5EF4-FFF2-40B4-BE49-F238E27FC236}">
                    <a16:creationId xmlns:a16="http://schemas.microsoft.com/office/drawing/2014/main" id="{6F305E81-4CBA-3DFA-A964-9843ADC40187}"/>
                  </a:ext>
                </a:extLst>
              </cdr:cNvPr>
              <cdr:cNvSpPr txBox="1"/>
            </cdr:nvSpPr>
            <cdr:spPr>
              <a:xfrm xmlns:a="http://schemas.openxmlformats.org/drawingml/2006/main">
                <a:off x="1988267"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45" name="Rectangle: Rounded Corners 44">
              <a:extLst xmlns:a="http://schemas.openxmlformats.org/drawingml/2006/main">
                <a:ext uri="{FF2B5EF4-FFF2-40B4-BE49-F238E27FC236}">
                  <a16:creationId xmlns:a16="http://schemas.microsoft.com/office/drawing/2014/main" id="{F04FDE22-D6D9-2608-0A1F-9448591F20DA}"/>
                </a:ext>
              </a:extLst>
            </cdr:cNvPr>
            <cdr:cNvSpPr/>
          </cdr:nvSpPr>
          <cdr:spPr>
            <a:xfrm xmlns:a="http://schemas.openxmlformats.org/drawingml/2006/main">
              <a:off x="1915380"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2" name="Group 11">
            <a:extLst xmlns:a="http://schemas.openxmlformats.org/drawingml/2006/main">
              <a:ext uri="{FF2B5EF4-FFF2-40B4-BE49-F238E27FC236}">
                <a16:creationId xmlns:a16="http://schemas.microsoft.com/office/drawing/2014/main" id="{0975AD6F-5C7C-8280-C9E6-F33A15DB2C18}"/>
              </a:ext>
            </a:extLst>
          </cdr:cNvPr>
          <cdr:cNvGrpSpPr/>
        </cdr:nvGrpSpPr>
        <cdr:grpSpPr>
          <a:xfrm xmlns:a="http://schemas.openxmlformats.org/drawingml/2006/main">
            <a:off x="10776665" y="3158714"/>
            <a:ext cx="730273" cy="774903"/>
            <a:chOff x="2872904" y="2"/>
            <a:chExt cx="722243" cy="766125"/>
          </a:xfrm>
        </cdr:grpSpPr>
        <cdr:grpSp>
          <cdr:nvGrpSpPr>
            <cdr:cNvPr id="37" name="Group 36">
              <a:extLst xmlns:a="http://schemas.openxmlformats.org/drawingml/2006/main">
                <a:ext uri="{FF2B5EF4-FFF2-40B4-BE49-F238E27FC236}">
                  <a16:creationId xmlns:a16="http://schemas.microsoft.com/office/drawing/2014/main" id="{A8C6A8B6-AF22-E4BE-75E8-F8198E08EF51}"/>
                </a:ext>
              </a:extLst>
            </cdr:cNvPr>
            <cdr:cNvGrpSpPr/>
          </cdr:nvGrpSpPr>
          <cdr:grpSpPr>
            <a:xfrm xmlns:a="http://schemas.openxmlformats.org/drawingml/2006/main">
              <a:off x="2892390" y="47043"/>
              <a:ext cx="631188" cy="671551"/>
              <a:chOff x="2892391" y="46383"/>
              <a:chExt cx="631188" cy="662126"/>
            </a:xfrm>
          </cdr:grpSpPr>
          <cdr:grpSp>
            <cdr:nvGrpSpPr>
              <cdr:cNvPr id="39" name="Group 38">
                <a:extLst xmlns:a="http://schemas.openxmlformats.org/drawingml/2006/main">
                  <a:ext uri="{FF2B5EF4-FFF2-40B4-BE49-F238E27FC236}">
                    <a16:creationId xmlns:a16="http://schemas.microsoft.com/office/drawing/2014/main" id="{F57719BA-7D64-0762-7C3A-E92366645577}"/>
                  </a:ext>
                </a:extLst>
              </cdr:cNvPr>
              <cdr:cNvGrpSpPr/>
            </cdr:nvGrpSpPr>
            <cdr:grpSpPr>
              <a:xfrm xmlns:a="http://schemas.openxmlformats.org/drawingml/2006/main">
                <a:off x="2892391" y="46383"/>
                <a:ext cx="624850" cy="503898"/>
                <a:chOff x="2892391" y="46383"/>
                <a:chExt cx="624850" cy="503898"/>
              </a:xfrm>
            </cdr:grpSpPr>
            <cdr:sp macro="" textlink="'Data-Vẽ -CYvsPY'!$E$32">
              <cdr:nvSpPr>
                <cdr:cNvPr id="41" name="TextBox 37">
                  <a:extLst xmlns:a="http://schemas.openxmlformats.org/drawingml/2006/main">
                    <a:ext uri="{FF2B5EF4-FFF2-40B4-BE49-F238E27FC236}">
                      <a16:creationId xmlns:a16="http://schemas.microsoft.com/office/drawing/2014/main" id="{AFFD9877-BAB5-19F2-2D6D-A89C26BA5FDA}"/>
                    </a:ext>
                  </a:extLst>
                </cdr:cNvPr>
                <cdr:cNvSpPr txBox="1"/>
              </cdr:nvSpPr>
              <cdr:spPr>
                <a:xfrm xmlns:a="http://schemas.openxmlformats.org/drawingml/2006/main">
                  <a:off x="2892391" y="46383"/>
                  <a:ext cx="624850" cy="3115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356BBDC-D0D8-41D3-BFFB-F60600B67A92}" type="TxLink">
                    <a:rPr lang="en-US" sz="1300" b="1" i="0" u="none" strike="noStrike">
                      <a:solidFill>
                        <a:schemeClr val="accent4">
                          <a:lumMod val="60000"/>
                          <a:lumOff val="40000"/>
                        </a:schemeClr>
                      </a:solidFill>
                      <a:latin typeface="Aptos Narrow"/>
                      <a:ea typeface="+mn-ea"/>
                      <a:cs typeface="+mn-cs"/>
                    </a:rPr>
                    <a:pPr marL="0" indent="0" algn="ctr"/>
                    <a:t> 3,084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2">
              <cdr:nvSpPr>
                <cdr:cNvPr id="42" name="TextBox 38">
                  <a:extLst xmlns:a="http://schemas.openxmlformats.org/drawingml/2006/main">
                    <a:ext uri="{FF2B5EF4-FFF2-40B4-BE49-F238E27FC236}">
                      <a16:creationId xmlns:a16="http://schemas.microsoft.com/office/drawing/2014/main" id="{29261122-D5D8-A74A-A8B5-0EC245974F03}"/>
                    </a:ext>
                  </a:extLst>
                </cdr:cNvPr>
                <cdr:cNvSpPr txBox="1"/>
              </cdr:nvSpPr>
              <cdr:spPr>
                <a:xfrm xmlns:a="http://schemas.openxmlformats.org/drawingml/2006/main">
                  <a:off x="2939167" y="271671"/>
                  <a:ext cx="574812" cy="2786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E322F379-0427-4A96-AEA9-FAF1310E2FE5}" type="TxLink">
                    <a:rPr lang="en-US" sz="1100" b="0" i="0" u="none" strike="noStrike">
                      <a:solidFill>
                        <a:schemeClr val="bg1">
                          <a:lumMod val="50000"/>
                        </a:schemeClr>
                      </a:solidFill>
                      <a:latin typeface="Aptos Narrow"/>
                      <a:ea typeface="+mn-ea"/>
                      <a:cs typeface="+mn-cs"/>
                    </a:rPr>
                    <a:pPr marL="0" indent="0" algn="ctr"/>
                    <a:t> 3,809 </a:t>
                  </a:fld>
                  <a:endParaRPr lang="en-US" sz="1100" b="0" i="0" u="none" strike="noStrike">
                    <a:solidFill>
                      <a:schemeClr val="bg1">
                        <a:lumMod val="50000"/>
                      </a:schemeClr>
                    </a:solidFill>
                    <a:latin typeface="Aptos Narrow"/>
                    <a:ea typeface="+mn-ea"/>
                    <a:cs typeface="+mn-cs"/>
                  </a:endParaRPr>
                </a:p>
              </cdr:txBody>
            </cdr:sp>
            <cdr:cxnSp macro="">
              <cdr:nvCxnSpPr>
                <cdr:cNvPr id="43" name="Straight Connector 42">
                  <a:extLst xmlns:a="http://schemas.openxmlformats.org/drawingml/2006/main">
                    <a:ext uri="{FF2B5EF4-FFF2-40B4-BE49-F238E27FC236}">
                      <a16:creationId xmlns:a16="http://schemas.microsoft.com/office/drawing/2014/main" id="{0017E1A3-E6B1-5833-BA0F-8288061C6F41}"/>
                    </a:ext>
                  </a:extLst>
                </cdr:cNvPr>
                <cdr:cNvCxnSpPr/>
              </cdr:nvCxnSpPr>
              <cdr:spPr>
                <a:xfrm xmlns:a="http://schemas.openxmlformats.org/drawingml/2006/main">
                  <a:off x="2939166"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40" name="TextBox 36">
                <a:extLst xmlns:a="http://schemas.openxmlformats.org/drawingml/2006/main">
                  <a:ext uri="{FF2B5EF4-FFF2-40B4-BE49-F238E27FC236}">
                    <a16:creationId xmlns:a16="http://schemas.microsoft.com/office/drawing/2014/main" id="{3FE140C1-87AF-2E76-CDF8-708A7385C0A3}"/>
                  </a:ext>
                </a:extLst>
              </cdr:cNvPr>
              <cdr:cNvSpPr txBox="1"/>
            </cdr:nvSpPr>
            <cdr:spPr>
              <a:xfrm xmlns:a="http://schemas.openxmlformats.org/drawingml/2006/main">
                <a:off x="2945792"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8" name="Rectangle: Rounded Corners 37">
              <a:extLst xmlns:a="http://schemas.openxmlformats.org/drawingml/2006/main">
                <a:ext uri="{FF2B5EF4-FFF2-40B4-BE49-F238E27FC236}">
                  <a16:creationId xmlns:a16="http://schemas.microsoft.com/office/drawing/2014/main" id="{6D3DACF6-0ABE-56D9-B8E0-137D8823D58C}"/>
                </a:ext>
              </a:extLst>
            </cdr:cNvPr>
            <cdr:cNvSpPr/>
          </cdr:nvSpPr>
          <cdr:spPr>
            <a:xfrm xmlns:a="http://schemas.openxmlformats.org/drawingml/2006/main">
              <a:off x="2872904"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3" name="Group 12">
            <a:extLst xmlns:a="http://schemas.openxmlformats.org/drawingml/2006/main">
              <a:ext uri="{FF2B5EF4-FFF2-40B4-BE49-F238E27FC236}">
                <a16:creationId xmlns:a16="http://schemas.microsoft.com/office/drawing/2014/main" id="{B2232AC8-BAAE-2460-5049-B2DF317BB203}"/>
              </a:ext>
            </a:extLst>
          </cdr:cNvPr>
          <cdr:cNvGrpSpPr/>
        </cdr:nvGrpSpPr>
        <cdr:grpSpPr>
          <a:xfrm xmlns:a="http://schemas.openxmlformats.org/drawingml/2006/main">
            <a:off x="11718707" y="3158714"/>
            <a:ext cx="735097" cy="774903"/>
            <a:chOff x="3830429" y="2"/>
            <a:chExt cx="727015" cy="766125"/>
          </a:xfrm>
        </cdr:grpSpPr>
        <cdr:grpSp>
          <cdr:nvGrpSpPr>
            <cdr:cNvPr id="30" name="Group 29">
              <a:extLst xmlns:a="http://schemas.openxmlformats.org/drawingml/2006/main">
                <a:ext uri="{FF2B5EF4-FFF2-40B4-BE49-F238E27FC236}">
                  <a16:creationId xmlns:a16="http://schemas.microsoft.com/office/drawing/2014/main" id="{F92F8499-149B-8BB1-8209-EAA1A220DC69}"/>
                </a:ext>
              </a:extLst>
            </cdr:cNvPr>
            <cdr:cNvGrpSpPr/>
          </cdr:nvGrpSpPr>
          <cdr:grpSpPr>
            <a:xfrm xmlns:a="http://schemas.openxmlformats.org/drawingml/2006/main">
              <a:off x="3852175" y="47043"/>
              <a:ext cx="705269" cy="674349"/>
              <a:chOff x="3852176" y="46383"/>
              <a:chExt cx="705269" cy="664885"/>
            </a:xfrm>
          </cdr:grpSpPr>
          <cdr:grpSp>
            <cdr:nvGrpSpPr>
              <cdr:cNvPr id="32" name="Group 31">
                <a:extLst xmlns:a="http://schemas.openxmlformats.org/drawingml/2006/main">
                  <a:ext uri="{FF2B5EF4-FFF2-40B4-BE49-F238E27FC236}">
                    <a16:creationId xmlns:a16="http://schemas.microsoft.com/office/drawing/2014/main" id="{99EB99A6-4AFB-F1FB-3815-F6C7ED9CBC9D}"/>
                  </a:ext>
                </a:extLst>
              </cdr:cNvPr>
              <cdr:cNvGrpSpPr/>
            </cdr:nvGrpSpPr>
            <cdr:grpSpPr>
              <a:xfrm xmlns:a="http://schemas.openxmlformats.org/drawingml/2006/main">
                <a:off x="3852176" y="46383"/>
                <a:ext cx="676677" cy="503900"/>
                <a:chOff x="3852176" y="46383"/>
                <a:chExt cx="676677" cy="503900"/>
              </a:xfrm>
            </cdr:grpSpPr>
            <cdr:sp macro="" textlink="'Data-Vẽ -CYvsPY'!$E$33">
              <cdr:nvSpPr>
                <cdr:cNvPr id="34" name="TextBox 30">
                  <a:extLst xmlns:a="http://schemas.openxmlformats.org/drawingml/2006/main">
                    <a:ext uri="{FF2B5EF4-FFF2-40B4-BE49-F238E27FC236}">
                      <a16:creationId xmlns:a16="http://schemas.microsoft.com/office/drawing/2014/main" id="{E3E2918C-2138-6033-B90C-94851D270425}"/>
                    </a:ext>
                  </a:extLst>
                </cdr:cNvPr>
                <cdr:cNvSpPr txBox="1"/>
              </cdr:nvSpPr>
              <cdr:spPr>
                <a:xfrm xmlns:a="http://schemas.openxmlformats.org/drawingml/2006/main">
                  <a:off x="3852176" y="46383"/>
                  <a:ext cx="676677" cy="3115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72F1D60-2A3C-475A-A471-37BD8E6D5546}" type="TxLink">
                    <a:rPr lang="en-US" sz="1300" b="1" i="0" u="none" strike="noStrike">
                      <a:solidFill>
                        <a:schemeClr val="accent4">
                          <a:lumMod val="60000"/>
                          <a:lumOff val="40000"/>
                        </a:schemeClr>
                      </a:solidFill>
                      <a:latin typeface="Aptos Narrow"/>
                      <a:ea typeface="+mn-ea"/>
                      <a:cs typeface="+mn-cs"/>
                    </a:rPr>
                    <a:pPr marL="0" indent="0" algn="ctr"/>
                    <a:t> 583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3">
              <cdr:nvSpPr>
                <cdr:cNvPr id="35" name="TextBox 31">
                  <a:extLst xmlns:a="http://schemas.openxmlformats.org/drawingml/2006/main">
                    <a:ext uri="{FF2B5EF4-FFF2-40B4-BE49-F238E27FC236}">
                      <a16:creationId xmlns:a16="http://schemas.microsoft.com/office/drawing/2014/main" id="{593AA47B-34EA-9F61-BEE4-0D2EF2F6A53C}"/>
                    </a:ext>
                  </a:extLst>
                </cdr:cNvPr>
                <cdr:cNvSpPr txBox="1"/>
              </cdr:nvSpPr>
              <cdr:spPr>
                <a:xfrm xmlns:a="http://schemas.openxmlformats.org/drawingml/2006/main">
                  <a:off x="3896694" y="271673"/>
                  <a:ext cx="574811" cy="2786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DEB5B05-13BE-48BC-9EB0-25A6D7B8A11A}" type="TxLink">
                    <a:rPr lang="en-US" sz="1100" b="0" i="0" u="none" strike="noStrike">
                      <a:solidFill>
                        <a:schemeClr val="bg1">
                          <a:lumMod val="50000"/>
                        </a:schemeClr>
                      </a:solidFill>
                      <a:latin typeface="Aptos Narrow"/>
                      <a:ea typeface="+mn-ea"/>
                      <a:cs typeface="+mn-cs"/>
                    </a:rPr>
                    <a:pPr marL="0" indent="0" algn="ctr"/>
                    <a:t> 962 </a:t>
                  </a:fld>
                  <a:endParaRPr lang="en-US" sz="1100" b="0" i="0" u="none" strike="noStrike">
                    <a:solidFill>
                      <a:schemeClr val="bg1">
                        <a:lumMod val="50000"/>
                      </a:schemeClr>
                    </a:solidFill>
                    <a:latin typeface="Aptos Narrow"/>
                    <a:ea typeface="+mn-ea"/>
                    <a:cs typeface="+mn-cs"/>
                  </a:endParaRPr>
                </a:p>
              </cdr:txBody>
            </cdr:sp>
            <cdr:cxnSp macro="">
              <cdr:nvCxnSpPr>
                <cdr:cNvPr id="36" name="Straight Connector 35">
                  <a:extLst xmlns:a="http://schemas.openxmlformats.org/drawingml/2006/main">
                    <a:ext uri="{FF2B5EF4-FFF2-40B4-BE49-F238E27FC236}">
                      <a16:creationId xmlns:a16="http://schemas.microsoft.com/office/drawing/2014/main" id="{D5551654-F029-B943-8EEA-5C7F5AB7CB54}"/>
                    </a:ext>
                  </a:extLst>
                </cdr:cNvPr>
                <cdr:cNvCxnSpPr/>
              </cdr:nvCxnSpPr>
              <cdr:spPr>
                <a:xfrm xmlns:a="http://schemas.openxmlformats.org/drawingml/2006/main">
                  <a:off x="3896691" y="281939"/>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33" name="TextBox 29">
                <a:extLst xmlns:a="http://schemas.openxmlformats.org/drawingml/2006/main">
                  <a:ext uri="{FF2B5EF4-FFF2-40B4-BE49-F238E27FC236}">
                    <a16:creationId xmlns:a16="http://schemas.microsoft.com/office/drawing/2014/main" id="{2DC3A15F-7FA2-1FF5-F3FF-E8243B6FFD0A}"/>
                  </a:ext>
                </a:extLst>
              </cdr:cNvPr>
              <cdr:cNvSpPr txBox="1"/>
            </cdr:nvSpPr>
            <cdr:spPr>
              <a:xfrm xmlns:a="http://schemas.openxmlformats.org/drawingml/2006/main">
                <a:off x="3903317" y="443948"/>
                <a:ext cx="654128" cy="26732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31" name="Rectangle: Rounded Corners 30">
              <a:extLst xmlns:a="http://schemas.openxmlformats.org/drawingml/2006/main">
                <a:ext uri="{FF2B5EF4-FFF2-40B4-BE49-F238E27FC236}">
                  <a16:creationId xmlns:a16="http://schemas.microsoft.com/office/drawing/2014/main" id="{D2B6D1AD-5364-AE99-EC09-85DAEE9AB8D9}"/>
                </a:ext>
              </a:extLst>
            </cdr:cNvPr>
            <cdr:cNvSpPr/>
          </cdr:nvSpPr>
          <cdr:spPr>
            <a:xfrm xmlns:a="http://schemas.openxmlformats.org/drawingml/2006/main">
              <a:off x="3830429"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4" name="Group 13">
            <a:extLst xmlns:a="http://schemas.openxmlformats.org/drawingml/2006/main">
              <a:ext uri="{FF2B5EF4-FFF2-40B4-BE49-F238E27FC236}">
                <a16:creationId xmlns:a16="http://schemas.microsoft.com/office/drawing/2014/main" id="{067A64E2-7FC3-A558-73F7-0D682F1D3503}"/>
              </a:ext>
            </a:extLst>
          </cdr:cNvPr>
          <cdr:cNvGrpSpPr/>
        </cdr:nvGrpSpPr>
        <cdr:grpSpPr>
          <a:xfrm xmlns:a="http://schemas.openxmlformats.org/drawingml/2006/main">
            <a:off x="12665573" y="3158714"/>
            <a:ext cx="730273" cy="774903"/>
            <a:chOff x="4787953" y="2"/>
            <a:chExt cx="722243" cy="766125"/>
          </a:xfrm>
        </cdr:grpSpPr>
        <cdr:grpSp>
          <cdr:nvGrpSpPr>
            <cdr:cNvPr id="23" name="Group 22">
              <a:extLst xmlns:a="http://schemas.openxmlformats.org/drawingml/2006/main">
                <a:ext uri="{FF2B5EF4-FFF2-40B4-BE49-F238E27FC236}">
                  <a16:creationId xmlns:a16="http://schemas.microsoft.com/office/drawing/2014/main" id="{DB8B1E6C-CD8B-51CC-4B57-F0B7010416B0}"/>
                </a:ext>
              </a:extLst>
            </cdr:cNvPr>
            <cdr:cNvGrpSpPr/>
          </cdr:nvGrpSpPr>
          <cdr:grpSpPr>
            <a:xfrm xmlns:a="http://schemas.openxmlformats.org/drawingml/2006/main">
              <a:off x="4840963" y="47044"/>
              <a:ext cx="645364" cy="671550"/>
              <a:chOff x="4840963" y="46384"/>
              <a:chExt cx="645364" cy="662125"/>
            </a:xfrm>
          </cdr:grpSpPr>
          <cdr:grpSp>
            <cdr:nvGrpSpPr>
              <cdr:cNvPr id="25" name="Group 24">
                <a:extLst xmlns:a="http://schemas.openxmlformats.org/drawingml/2006/main">
                  <a:ext uri="{FF2B5EF4-FFF2-40B4-BE49-F238E27FC236}">
                    <a16:creationId xmlns:a16="http://schemas.microsoft.com/office/drawing/2014/main" id="{680BA9D7-F02B-526C-64EE-855EE73F430E}"/>
                  </a:ext>
                </a:extLst>
              </cdr:cNvPr>
              <cdr:cNvGrpSpPr/>
            </cdr:nvGrpSpPr>
            <cdr:grpSpPr>
              <a:xfrm xmlns:a="http://schemas.openxmlformats.org/drawingml/2006/main">
                <a:off x="4840963" y="46384"/>
                <a:ext cx="645364" cy="503897"/>
                <a:chOff x="4840963" y="46384"/>
                <a:chExt cx="645364" cy="503897"/>
              </a:xfrm>
            </cdr:grpSpPr>
            <cdr:sp macro="" textlink="'Data-Vẽ -CYvsPY'!$E$34">
              <cdr:nvSpPr>
                <cdr:cNvPr id="27" name="TextBox 23">
                  <a:extLst xmlns:a="http://schemas.openxmlformats.org/drawingml/2006/main">
                    <a:ext uri="{FF2B5EF4-FFF2-40B4-BE49-F238E27FC236}">
                      <a16:creationId xmlns:a16="http://schemas.microsoft.com/office/drawing/2014/main" id="{FF22205B-D9A7-2FB1-3D50-DA15250384DD}"/>
                    </a:ext>
                  </a:extLst>
                </cdr:cNvPr>
                <cdr:cNvSpPr txBox="1"/>
              </cdr:nvSpPr>
              <cdr:spPr>
                <a:xfrm xmlns:a="http://schemas.openxmlformats.org/drawingml/2006/main">
                  <a:off x="4840963" y="46384"/>
                  <a:ext cx="645364" cy="23367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A1647A95-CB35-45E8-BC50-1CDFB4D671E2}" type="TxLink">
                    <a:rPr lang="en-US" sz="1300" b="1" i="0" u="none" strike="noStrike">
                      <a:solidFill>
                        <a:schemeClr val="accent4">
                          <a:lumMod val="60000"/>
                          <a:lumOff val="40000"/>
                        </a:schemeClr>
                      </a:solidFill>
                      <a:latin typeface="Aptos Narrow"/>
                      <a:ea typeface="+mn-ea"/>
                      <a:cs typeface="+mn-cs"/>
                    </a:rPr>
                    <a:pPr marL="0" indent="0" algn="ctr"/>
                    <a:t> 959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4">
              <cdr:nvSpPr>
                <cdr:cNvPr id="28" name="TextBox 24">
                  <a:extLst xmlns:a="http://schemas.openxmlformats.org/drawingml/2006/main">
                    <a:ext uri="{FF2B5EF4-FFF2-40B4-BE49-F238E27FC236}">
                      <a16:creationId xmlns:a16="http://schemas.microsoft.com/office/drawing/2014/main" id="{32856DFC-4D40-04B4-0D73-B70EEA0EBF39}"/>
                    </a:ext>
                  </a:extLst>
                </cdr:cNvPr>
                <cdr:cNvSpPr txBox="1"/>
              </cdr:nvSpPr>
              <cdr:spPr>
                <a:xfrm xmlns:a="http://schemas.openxmlformats.org/drawingml/2006/main">
                  <a:off x="4854215" y="271671"/>
                  <a:ext cx="574812" cy="2786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5BE2AC51-381C-4795-AC05-F5998C64EBF3}" type="TxLink">
                    <a:rPr lang="en-US" sz="1100" b="0" i="0" u="none" strike="noStrike">
                      <a:solidFill>
                        <a:schemeClr val="bg1">
                          <a:lumMod val="50000"/>
                        </a:schemeClr>
                      </a:solidFill>
                      <a:latin typeface="Aptos Narrow"/>
                      <a:ea typeface="+mn-ea"/>
                      <a:cs typeface="+mn-cs"/>
                    </a:rPr>
                    <a:pPr marL="0" indent="0" algn="ctr"/>
                    <a:t> 1,161 </a:t>
                  </a:fld>
                  <a:endParaRPr lang="en-US" sz="1100" b="0" i="0" u="none" strike="noStrike">
                    <a:solidFill>
                      <a:schemeClr val="bg1">
                        <a:lumMod val="50000"/>
                      </a:schemeClr>
                    </a:solidFill>
                    <a:latin typeface="Aptos Narrow"/>
                    <a:ea typeface="+mn-ea"/>
                    <a:cs typeface="+mn-cs"/>
                  </a:endParaRPr>
                </a:p>
              </cdr:txBody>
            </cdr:sp>
            <cdr:cxnSp macro="">
              <cdr:nvCxnSpPr>
                <cdr:cNvPr id="29" name="Straight Connector 28">
                  <a:extLst xmlns:a="http://schemas.openxmlformats.org/drawingml/2006/main">
                    <a:ext uri="{FF2B5EF4-FFF2-40B4-BE49-F238E27FC236}">
                      <a16:creationId xmlns:a16="http://schemas.microsoft.com/office/drawing/2014/main" id="{CB9A90B2-05E3-EBA2-B6AF-7EA1DC9461E4}"/>
                    </a:ext>
                  </a:extLst>
                </cdr:cNvPr>
                <cdr:cNvCxnSpPr/>
              </cdr:nvCxnSpPr>
              <cdr:spPr>
                <a:xfrm xmlns:a="http://schemas.openxmlformats.org/drawingml/2006/main">
                  <a:off x="4854214" y="304801"/>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26" name="TextBox 22">
                <a:extLst xmlns:a="http://schemas.openxmlformats.org/drawingml/2006/main">
                  <a:ext uri="{FF2B5EF4-FFF2-40B4-BE49-F238E27FC236}">
                    <a16:creationId xmlns:a16="http://schemas.microsoft.com/office/drawing/2014/main" id="{D4028E42-E82D-3A00-0B8F-9F909C583C22}"/>
                  </a:ext>
                </a:extLst>
              </cdr:cNvPr>
              <cdr:cNvSpPr txBox="1"/>
            </cdr:nvSpPr>
            <cdr:spPr>
              <a:xfrm xmlns:a="http://schemas.openxmlformats.org/drawingml/2006/main">
                <a:off x="4860840" y="443949"/>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24" name="Rectangle: Rounded Corners 23">
              <a:extLst xmlns:a="http://schemas.openxmlformats.org/drawingml/2006/main">
                <a:ext uri="{FF2B5EF4-FFF2-40B4-BE49-F238E27FC236}">
                  <a16:creationId xmlns:a16="http://schemas.microsoft.com/office/drawing/2014/main" id="{EA0ED481-402B-592D-C0C7-FA812AEFB9DC}"/>
                </a:ext>
              </a:extLst>
            </cdr:cNvPr>
            <cdr:cNvSpPr/>
          </cdr:nvSpPr>
          <cdr:spPr>
            <a:xfrm xmlns:a="http://schemas.openxmlformats.org/drawingml/2006/main">
              <a:off x="4787953" y="2"/>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nvGrpSpPr>
          <cdr:cNvPr id="15" name="Group 14">
            <a:extLst xmlns:a="http://schemas.openxmlformats.org/drawingml/2006/main">
              <a:ext uri="{FF2B5EF4-FFF2-40B4-BE49-F238E27FC236}">
                <a16:creationId xmlns:a16="http://schemas.microsoft.com/office/drawing/2014/main" id="{2373E15B-34D1-2EB7-D2FE-5B0CE45B57A5}"/>
              </a:ext>
            </a:extLst>
          </cdr:cNvPr>
          <cdr:cNvGrpSpPr/>
        </cdr:nvGrpSpPr>
        <cdr:grpSpPr>
          <a:xfrm xmlns:a="http://schemas.openxmlformats.org/drawingml/2006/main">
            <a:off x="13607615" y="3158714"/>
            <a:ext cx="730273" cy="774903"/>
            <a:chOff x="5745476" y="1"/>
            <a:chExt cx="722243" cy="766125"/>
          </a:xfrm>
        </cdr:grpSpPr>
        <cdr:grpSp>
          <cdr:nvGrpSpPr>
            <cdr:cNvPr id="16" name="Group 15">
              <a:extLst xmlns:a="http://schemas.openxmlformats.org/drawingml/2006/main">
                <a:ext uri="{FF2B5EF4-FFF2-40B4-BE49-F238E27FC236}">
                  <a16:creationId xmlns:a16="http://schemas.microsoft.com/office/drawing/2014/main" id="{AA7B58D1-6411-B986-842A-CEE9D03E2598}"/>
                </a:ext>
              </a:extLst>
            </cdr:cNvPr>
            <cdr:cNvGrpSpPr/>
          </cdr:nvGrpSpPr>
          <cdr:grpSpPr>
            <a:xfrm xmlns:a="http://schemas.openxmlformats.org/drawingml/2006/main">
              <a:off x="5798486" y="47042"/>
              <a:ext cx="597664" cy="671551"/>
              <a:chOff x="5798486" y="46382"/>
              <a:chExt cx="597664" cy="662126"/>
            </a:xfrm>
          </cdr:grpSpPr>
          <cdr:grpSp>
            <cdr:nvGrpSpPr>
              <cdr:cNvPr id="18" name="Group 17">
                <a:extLst xmlns:a="http://schemas.openxmlformats.org/drawingml/2006/main">
                  <a:ext uri="{FF2B5EF4-FFF2-40B4-BE49-F238E27FC236}">
                    <a16:creationId xmlns:a16="http://schemas.microsoft.com/office/drawing/2014/main" id="{C544A99C-445F-24C1-94D6-5BF9C678D4AD}"/>
                  </a:ext>
                </a:extLst>
              </cdr:cNvPr>
              <cdr:cNvGrpSpPr/>
            </cdr:nvGrpSpPr>
            <cdr:grpSpPr>
              <a:xfrm xmlns:a="http://schemas.openxmlformats.org/drawingml/2006/main">
                <a:off x="5798486" y="46382"/>
                <a:ext cx="595684" cy="503898"/>
                <a:chOff x="5798486" y="46382"/>
                <a:chExt cx="595684" cy="503898"/>
              </a:xfrm>
            </cdr:grpSpPr>
            <cdr:sp macro="" textlink="'Data-Vẽ -CYvsPY'!$E$35">
              <cdr:nvSpPr>
                <cdr:cNvPr id="20" name="TextBox 16">
                  <a:extLst xmlns:a="http://schemas.openxmlformats.org/drawingml/2006/main">
                    <a:ext uri="{FF2B5EF4-FFF2-40B4-BE49-F238E27FC236}">
                      <a16:creationId xmlns:a16="http://schemas.microsoft.com/office/drawing/2014/main" id="{1C5C5D85-C392-437F-768C-7DF1CF594C4B}"/>
                    </a:ext>
                  </a:extLst>
                </cdr:cNvPr>
                <cdr:cNvSpPr txBox="1"/>
              </cdr:nvSpPr>
              <cdr:spPr>
                <a:xfrm xmlns:a="http://schemas.openxmlformats.org/drawingml/2006/main">
                  <a:off x="5798486" y="46382"/>
                  <a:ext cx="595684" cy="3115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3FB6E9AB-B6A4-47E5-902E-A6D6C304D3D2}" type="TxLink">
                    <a:rPr lang="en-US" sz="1300" b="1" i="0" u="none" strike="noStrike">
                      <a:solidFill>
                        <a:schemeClr val="accent4">
                          <a:lumMod val="60000"/>
                          <a:lumOff val="40000"/>
                        </a:schemeClr>
                      </a:solidFill>
                      <a:latin typeface="Aptos Narrow"/>
                      <a:ea typeface="+mn-ea"/>
                      <a:cs typeface="+mn-cs"/>
                    </a:rPr>
                    <a:pPr marL="0" indent="0" algn="ctr"/>
                    <a:t> 1,051 </a:t>
                  </a:fld>
                  <a:endParaRPr lang="en-US" sz="1300" b="1" i="0" u="none" strike="noStrike">
                    <a:solidFill>
                      <a:schemeClr val="accent4">
                        <a:lumMod val="60000"/>
                        <a:lumOff val="40000"/>
                      </a:schemeClr>
                    </a:solidFill>
                    <a:latin typeface="Aptos Narrow"/>
                    <a:ea typeface="+mn-ea"/>
                    <a:cs typeface="+mn-cs"/>
                  </a:endParaRPr>
                </a:p>
              </cdr:txBody>
            </cdr:sp>
            <cdr:sp macro="" textlink="'Data-Vẽ -CYvsPY'!$F$35">
              <cdr:nvSpPr>
                <cdr:cNvPr id="21" name="TextBox 17">
                  <a:extLst xmlns:a="http://schemas.openxmlformats.org/drawingml/2006/main">
                    <a:ext uri="{FF2B5EF4-FFF2-40B4-BE49-F238E27FC236}">
                      <a16:creationId xmlns:a16="http://schemas.microsoft.com/office/drawing/2014/main" id="{958601C7-E85E-0D31-008F-3E2CC1D118A8}"/>
                    </a:ext>
                  </a:extLst>
                </cdr:cNvPr>
                <cdr:cNvSpPr txBox="1"/>
              </cdr:nvSpPr>
              <cdr:spPr>
                <a:xfrm xmlns:a="http://schemas.openxmlformats.org/drawingml/2006/main">
                  <a:off x="5811738" y="271670"/>
                  <a:ext cx="574812" cy="27861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indent="0" algn="ctr"/>
                  <a:fld id="{DC87B15E-53DA-47BB-8A79-9352F962992D}" type="TxLink">
                    <a:rPr lang="en-US" sz="1100" b="0" i="0" u="none" strike="noStrike">
                      <a:solidFill>
                        <a:schemeClr val="bg1">
                          <a:lumMod val="50000"/>
                        </a:schemeClr>
                      </a:solidFill>
                      <a:latin typeface="Aptos Narrow"/>
                      <a:ea typeface="+mn-ea"/>
                      <a:cs typeface="+mn-cs"/>
                    </a:rPr>
                    <a:pPr marL="0" indent="0" algn="ctr"/>
                    <a:t> 1,189 </a:t>
                  </a:fld>
                  <a:endParaRPr lang="en-US" sz="1100" b="0" i="0" u="none" strike="noStrike">
                    <a:solidFill>
                      <a:schemeClr val="bg1">
                        <a:lumMod val="50000"/>
                      </a:schemeClr>
                    </a:solidFill>
                    <a:latin typeface="Aptos Narrow"/>
                    <a:ea typeface="+mn-ea"/>
                    <a:cs typeface="+mn-cs"/>
                  </a:endParaRPr>
                </a:p>
              </cdr:txBody>
            </cdr:sp>
            <cdr:cxnSp macro="">
              <cdr:nvCxnSpPr>
                <cdr:cNvPr id="22" name="Straight Connector 21">
                  <a:extLst xmlns:a="http://schemas.openxmlformats.org/drawingml/2006/main">
                    <a:ext uri="{FF2B5EF4-FFF2-40B4-BE49-F238E27FC236}">
                      <a16:creationId xmlns:a16="http://schemas.microsoft.com/office/drawing/2014/main" id="{311A8B00-113E-DCC9-4202-5DA524C639B9}"/>
                    </a:ext>
                  </a:extLst>
                </cdr:cNvPr>
                <cdr:cNvCxnSpPr/>
              </cdr:nvCxnSpPr>
              <cdr:spPr>
                <a:xfrm xmlns:a="http://schemas.openxmlformats.org/drawingml/2006/main">
                  <a:off x="5811737" y="304800"/>
                  <a:ext cx="569844" cy="0"/>
                </a:xfrm>
                <a:prstGeom xmlns:a="http://schemas.openxmlformats.org/drawingml/2006/main" prst="line">
                  <a:avLst/>
                </a:prstGeom>
                <a:ln xmlns:a="http://schemas.openxmlformats.org/drawingml/2006/main" w="12700">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grpSp>
          <cdr:sp macro="" textlink="">
            <cdr:nvSpPr>
              <cdr:cNvPr id="19" name="TextBox 15">
                <a:extLst xmlns:a="http://schemas.openxmlformats.org/drawingml/2006/main">
                  <a:ext uri="{FF2B5EF4-FFF2-40B4-BE49-F238E27FC236}">
                    <a16:creationId xmlns:a16="http://schemas.microsoft.com/office/drawing/2014/main" id="{36AF2C74-C97D-6A0E-678F-B6375BA62A70}"/>
                  </a:ext>
                </a:extLst>
              </cdr:cNvPr>
              <cdr:cNvSpPr txBox="1"/>
            </cdr:nvSpPr>
            <cdr:spPr>
              <a:xfrm xmlns:a="http://schemas.openxmlformats.org/drawingml/2006/main">
                <a:off x="5818363" y="443948"/>
                <a:ext cx="577787"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i="1">
                    <a:solidFill>
                      <a:schemeClr val="tx1">
                        <a:lumMod val="95000"/>
                        <a:lumOff val="5000"/>
                      </a:schemeClr>
                    </a:solidFill>
                  </a:rPr>
                  <a:t>triệu</a:t>
                </a:r>
                <a:r>
                  <a:rPr lang="en-US" sz="1100" i="1" baseline="0">
                    <a:solidFill>
                      <a:schemeClr val="tx1">
                        <a:lumMod val="95000"/>
                        <a:lumOff val="5000"/>
                      </a:schemeClr>
                    </a:solidFill>
                  </a:rPr>
                  <a:t> đ.</a:t>
                </a:r>
                <a:endParaRPr lang="en-US" sz="1100" i="1">
                  <a:solidFill>
                    <a:schemeClr val="tx1">
                      <a:lumMod val="95000"/>
                      <a:lumOff val="5000"/>
                    </a:schemeClr>
                  </a:solidFill>
                </a:endParaRPr>
              </a:p>
            </cdr:txBody>
          </cdr:sp>
        </cdr:grpSp>
        <cdr:sp macro="" textlink="">
          <cdr:nvSpPr>
            <cdr:cNvPr id="17" name="Rectangle: Rounded Corners 16">
              <a:extLst xmlns:a="http://schemas.openxmlformats.org/drawingml/2006/main">
                <a:ext uri="{FF2B5EF4-FFF2-40B4-BE49-F238E27FC236}">
                  <a16:creationId xmlns:a16="http://schemas.microsoft.com/office/drawing/2014/main" id="{A8A62333-5D9E-C066-436D-53D9B82B69C8}"/>
                </a:ext>
              </a:extLst>
            </cdr:cNvPr>
            <cdr:cNvSpPr/>
          </cdr:nvSpPr>
          <cdr:spPr>
            <a:xfrm xmlns:a="http://schemas.openxmlformats.org/drawingml/2006/main">
              <a:off x="5745476" y="1"/>
              <a:ext cx="722243" cy="76612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grpSp>
    </cdr:grpSp>
  </cdr:relSizeAnchor>
  <cdr:relSizeAnchor xmlns:cdr="http://schemas.openxmlformats.org/drawingml/2006/chartDrawing">
    <cdr:from>
      <cdr:x>0.54657</cdr:x>
      <cdr:y>0.44941</cdr:y>
    </cdr:from>
    <cdr:to>
      <cdr:x>0.56708</cdr:x>
      <cdr:y>0.48677</cdr:y>
    </cdr:to>
    <cdr:sp macro="" textlink="">
      <cdr:nvSpPr>
        <cdr:cNvPr id="65" name="TextBox 1">
          <a:extLst xmlns:a="http://schemas.openxmlformats.org/drawingml/2006/main">
            <a:ext uri="{FF2B5EF4-FFF2-40B4-BE49-F238E27FC236}">
              <a16:creationId xmlns:a16="http://schemas.microsoft.com/office/drawing/2014/main" id="{4657AD8E-A309-BD4B-7F47-7B522B5E33E5}"/>
            </a:ext>
          </a:extLst>
        </cdr:cNvPr>
        <cdr:cNvSpPr txBox="1"/>
      </cdr:nvSpPr>
      <cdr:spPr>
        <a:xfrm xmlns:a="http://schemas.openxmlformats.org/drawingml/2006/main">
          <a:off x="8408881" y="3508088"/>
          <a:ext cx="315542" cy="2916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i="1">
              <a:solidFill>
                <a:schemeClr val="tx1">
                  <a:lumMod val="75000"/>
                  <a:lumOff val="25000"/>
                </a:schemeClr>
              </a:solidFill>
            </a:rPr>
            <a:t>(*)</a:t>
          </a:r>
        </a:p>
      </cdr:txBody>
    </cdr:sp>
  </cdr:relSizeAnchor>
  <cdr:relSizeAnchor xmlns:cdr="http://schemas.openxmlformats.org/drawingml/2006/chartDrawing">
    <cdr:from>
      <cdr:x>0.76804</cdr:x>
      <cdr:y>0.92297</cdr:y>
    </cdr:from>
    <cdr:to>
      <cdr:x>1</cdr:x>
      <cdr:y>0.99882</cdr:y>
    </cdr:to>
    <cdr:sp macro="" textlink="">
      <cdr:nvSpPr>
        <cdr:cNvPr id="66" name="TextBox 1">
          <a:extLst xmlns:a="http://schemas.openxmlformats.org/drawingml/2006/main">
            <a:ext uri="{FF2B5EF4-FFF2-40B4-BE49-F238E27FC236}">
              <a16:creationId xmlns:a16="http://schemas.microsoft.com/office/drawing/2014/main" id="{C2C87CD2-5322-384E-5D92-090B651CE436}"/>
            </a:ext>
          </a:extLst>
        </cdr:cNvPr>
        <cdr:cNvSpPr txBox="1"/>
      </cdr:nvSpPr>
      <cdr:spPr>
        <a:xfrm xmlns:a="http://schemas.openxmlformats.org/drawingml/2006/main">
          <a:off x="12102353" y="6558725"/>
          <a:ext cx="3655071" cy="53899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i="1">
              <a:solidFill>
                <a:schemeClr val="tx1">
                  <a:lumMod val="75000"/>
                  <a:lumOff val="25000"/>
                </a:schemeClr>
              </a:solidFill>
              <a:latin typeface="Aptos Narrow" panose="020B0004020202020204" pitchFamily="34" charset="0"/>
            </a:rPr>
            <a:t>(*): Ô</a:t>
          </a:r>
          <a:r>
            <a:rPr lang="en-US" sz="1100" i="1" baseline="0">
              <a:solidFill>
                <a:schemeClr val="tx1">
                  <a:lumMod val="75000"/>
                  <a:lumOff val="25000"/>
                </a:schemeClr>
              </a:solidFill>
              <a:latin typeface="Aptos Narrow" panose="020B0004020202020204" pitchFamily="34" charset="0"/>
            </a:rPr>
            <a:t> đang trình bày:</a:t>
          </a:r>
        </a:p>
        <a:p xmlns:a="http://schemas.openxmlformats.org/drawingml/2006/main">
          <a:r>
            <a:rPr lang="en-US" sz="1100" i="1" baseline="0">
              <a:solidFill>
                <a:schemeClr val="tx1">
                  <a:lumMod val="75000"/>
                  <a:lumOff val="25000"/>
                </a:schemeClr>
              </a:solidFill>
              <a:latin typeface="Aptos Narrow" panose="020B0004020202020204" pitchFamily="34" charset="0"/>
            </a:rPr>
            <a:t>- Phía trên: giá trị tuyệt đối khoản mục của BQ năm hiện tại</a:t>
          </a:r>
        </a:p>
        <a:p xmlns:a="http://schemas.openxmlformats.org/drawingml/2006/main">
          <a:r>
            <a:rPr lang="en-US" sz="1100" i="1" baseline="0">
              <a:solidFill>
                <a:schemeClr val="tx1">
                  <a:lumMod val="75000"/>
                  <a:lumOff val="25000"/>
                </a:schemeClr>
              </a:solidFill>
              <a:latin typeface="Aptos Narrow" panose="020B0004020202020204" pitchFamily="34" charset="0"/>
            </a:rPr>
            <a:t>- Phía dưới: giá trị tuyệt đối khoản mục của BQ cả năm trước</a:t>
          </a:r>
          <a:endParaRPr lang="en-US" sz="1100" i="1">
            <a:solidFill>
              <a:schemeClr val="tx1">
                <a:lumMod val="75000"/>
                <a:lumOff val="25000"/>
              </a:schemeClr>
            </a:solidFill>
            <a:latin typeface="Aptos Narrow" panose="020B0004020202020204" pitchFamily="34" charset="0"/>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0</xdr:col>
      <xdr:colOff>16566</xdr:colOff>
      <xdr:row>35</xdr:row>
      <xdr:rowOff>74544</xdr:rowOff>
    </xdr:from>
    <xdr:to>
      <xdr:col>16</xdr:col>
      <xdr:colOff>265044</xdr:colOff>
      <xdr:row>65</xdr:row>
      <xdr:rowOff>182218</xdr:rowOff>
    </xdr:to>
    <xdr:sp macro="" textlink="">
      <xdr:nvSpPr>
        <xdr:cNvPr id="2" name="Rectangle 1">
          <a:extLst>
            <a:ext uri="{FF2B5EF4-FFF2-40B4-BE49-F238E27FC236}">
              <a16:creationId xmlns:a16="http://schemas.microsoft.com/office/drawing/2014/main" id="{B493DC18-F25F-BBB7-8179-70D45EF8530B}"/>
            </a:ext>
          </a:extLst>
        </xdr:cNvPr>
        <xdr:cNvSpPr/>
      </xdr:nvSpPr>
      <xdr:spPr>
        <a:xfrm>
          <a:off x="16566" y="6750327"/>
          <a:ext cx="12390782" cy="58226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389935</xdr:colOff>
      <xdr:row>0</xdr:row>
      <xdr:rowOff>115682</xdr:rowOff>
    </xdr:from>
    <xdr:to>
      <xdr:col>11</xdr:col>
      <xdr:colOff>300355</xdr:colOff>
      <xdr:row>22</xdr:row>
      <xdr:rowOff>19173</xdr:rowOff>
    </xdr:to>
    <xdr:pic>
      <xdr:nvPicPr>
        <xdr:cNvPr id="4" name="Picture 1">
          <a:extLst>
            <a:ext uri="{FF2B5EF4-FFF2-40B4-BE49-F238E27FC236}">
              <a16:creationId xmlns:a16="http://schemas.microsoft.com/office/drawing/2014/main" id="{788B5612-43AC-919A-342C-EC822D843CAC}"/>
            </a:ext>
          </a:extLst>
        </xdr:cNvPr>
        <xdr:cNvPicPr>
          <a:picLocks noChangeAspect="1"/>
        </xdr:cNvPicPr>
      </xdr:nvPicPr>
      <xdr:blipFill>
        <a:blip xmlns:r="http://schemas.openxmlformats.org/officeDocument/2006/relationships" r:embed="rId1"/>
        <a:stretch>
          <a:fillRect/>
        </a:stretch>
      </xdr:blipFill>
      <xdr:spPr>
        <a:xfrm>
          <a:off x="10245135" y="115682"/>
          <a:ext cx="4709115" cy="42278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366868</xdr:colOff>
      <xdr:row>2</xdr:row>
      <xdr:rowOff>123265</xdr:rowOff>
    </xdr:to>
    <xdr:pic>
      <xdr:nvPicPr>
        <xdr:cNvPr id="2" name="Content Placeholder 5">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90500"/>
          <a:ext cx="2186143" cy="3137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iễm, Nguyễn Thị Thanh" id="{39F9C202-AB18-4939-9B67-458FFDC58CFC}" userId="S::NguyenThiThanhDiem@duytanrecycling.com::a4911443-60e5-4065-81ee-41794ea83c8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9F652-EABA-43FA-93DA-2BC78E4AB164}" name="Table1" displayName="Table1" ref="A2:J458" totalsRowShown="0" headerRowDxfId="16" dataDxfId="15" dataCellStyle="Comma">
  <autoFilter ref="A2:J458" xr:uid="{91D9F652-EABA-43FA-93DA-2BC78E4AB164}"/>
  <sortState xmlns:xlrd2="http://schemas.microsoft.com/office/spreadsheetml/2017/richdata2" ref="A3:I38">
    <sortCondition ref="B2:B38"/>
  </sortState>
  <tableColumns count="10">
    <tableColumn id="1" xr3:uid="{A9065B7A-BFA3-44DE-8212-F1B77C83CE80}" name="Năm"/>
    <tableColumn id="2" xr3:uid="{A3AD5C71-C738-4E74-B04C-2C4C8046DB88}" name="Tháng"/>
    <tableColumn id="3" xr3:uid="{592F159B-761B-4134-A87B-0D3B94F40EE1}" name="Mã xuất"/>
    <tableColumn id="4" xr3:uid="{D7A7AF25-A598-433D-BC28-6E3D7A3CDF5D}" name="Tên mã xuất"/>
    <tableColumn id="5" xr3:uid="{9D108B96-113B-42D0-89EE-56D06F5EDDDA}" name="Xuất" dataDxfId="14" dataCellStyle="Comma"/>
    <tableColumn id="6" xr3:uid="{98C1ED14-6482-4992-A4C0-202DAFACD5A6}" name="Nhập-SPC" dataDxfId="13" dataCellStyle="Comma"/>
    <tableColumn id="7" xr3:uid="{D2651AD3-6011-47E1-AC94-768152D3D3C6}" name="Nhập-SPP" dataDxfId="12" dataCellStyle="Comma"/>
    <tableColumn id="8" xr3:uid="{B2C9B173-658B-41B6-B45D-89FE1A2780D2}" name="Nhập-PS" dataDxfId="11" dataCellStyle="Comma"/>
    <tableColumn id="9" xr3:uid="{B22BD6B1-9A6B-4ECE-B5DE-C8DCCFA950C0}" name="Hao hụt" dataDxfId="10" dataCellStyle="Comma"/>
    <tableColumn id="10" xr3:uid="{A345A315-920E-40DD-AA39-1C0B381263BB}" name="Loại vảy" dataDxfId="9" dataCellStyle="Comma">
      <calculatedColumnFormula>_xlfn.XLOOKUP(Table1[[#This Row],[Mã xuất]],$M$3:$M$72,$O$3:$O$72)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7" dT="2023-08-12T03:18:37.21" personId="{39F9C202-AB18-4939-9B67-458FFDC58CFC}" id="{CE85AFB6-E9E9-49DC-B6D1-15489C6BEA0D}">
    <text>Cơ cấu CP lương không tăng so với T1 nên % nhựa tăng so với tổng CP</text>
  </threadedComment>
</ThreadedComments>
</file>

<file path=xl/threadedComments/threadedComment2.xml><?xml version="1.0" encoding="utf-8"?>
<ThreadedComments xmlns="http://schemas.microsoft.com/office/spreadsheetml/2018/threadedcomments" xmlns:x="http://schemas.openxmlformats.org/spreadsheetml/2006/main">
  <threadedComment ref="K4" dT="2023-08-14T06:29:11.61" personId="{39F9C202-AB18-4939-9B67-458FFDC58CFC}" id="{CAFE688A-3F12-4E35-A3D3-1B31DE29CD99}">
    <text>Cộng 966tr phí hỗ trợ trạm</text>
  </threadedComment>
  <threadedComment ref="G33" dT="2023-07-26T08:13:28.90" personId="{39F9C202-AB18-4939-9B67-458FFDC58CFC}" id="{43F72585-CD3E-455A-8FBF-4B0DBE31C1DB}">
    <text>CP bảo hiểm cháy nổ thanh toán 2 lần, mỗi lần phân bổ 6 tháng ( lần 1 từ T11.22 đến T4.23, lần 2 từ T02.23 đến T7.23</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3" Type="http://schemas.openxmlformats.org/officeDocument/2006/relationships/hyperlink" Target="../../../../nguyentandat_duytanrecycling_com/Documents/15.%20Gi&#225;%20Tr&#7883;%20C&#7843;i%20Ti&#7871;n%20TK/03.%20KT/12&amp;%2013%20L&#432;&#7899;i%20l&#7885;c%20&amp;%20khu&#244;n%20Starlinger/12-13%20Ti&#7871;t%20ki&#7879;m%20l&#432;&#7899;i%20l&#7885;c.%20khu&#244;n%20Starlinger.xlsb" TargetMode="External"/><Relationship Id="rId18" Type="http://schemas.openxmlformats.org/officeDocument/2006/relationships/hyperlink" Target="../../../../nguyentandat_duytanrecycling_com/Documents/15.%20Gi&#225;%20Tr&#7883;%20C&#7843;i%20Ti&#7871;n%20TK/02.%20SX%20HDPE.PP/06-%20Th&#225;ng%206%20%20X&#7917;%20l&#253;%20Ph&#243;%20S&#7843;n%20HD%20Th&#7893;i%20Trong%20V&#7843;y%20L2%20QMT.xlsx" TargetMode="External"/><Relationship Id="rId26" Type="http://schemas.openxmlformats.org/officeDocument/2006/relationships/hyperlink" Target="../../../../nguyentandat_duytanrecycling_com/Documents/15.%20Gi&#225;%20Tr&#7883;%20C&#7843;i%20Ti&#7871;n%20TK/07.%20R&amp;D/RE%20Th&#7889;ng%20k&#234;%20x&#7917;%20l&#253;%20ph&#243;%20s&#7843;n_T1-T72024.msg" TargetMode="External"/><Relationship Id="rId39" Type="http://schemas.openxmlformats.org/officeDocument/2006/relationships/hyperlink" Target="../../../../nguyentandat_duytanrecycling_com/Documents/15.%20Gi&#225;%20Tr&#7883;%20C&#7843;i%20Ti&#7871;n%20TK/04.%20T&#272;H/B&#7843;ng%20t&#237;nh%20gi&#225;%20tr&#7883;%20ti&#7871;t%20ki&#7879;m%20TDH%202024%20(27-11-2024).xlsb" TargetMode="External"/><Relationship Id="rId21" Type="http://schemas.openxmlformats.org/officeDocument/2006/relationships/hyperlink" Target="../../../../nguyentandat_duytanrecycling_com/Documents/15.%20Gi&#225;%20Tr&#7883;%20C&#7843;i%20Ti&#7871;n%20TK/01.%20SX%20PET/01%20B&#7843;ng%20theo%20d&#245;i%20gi&#225;%20tr&#7883;%20c&#7843;i%20ti&#7871;n%20t&#7893;ng%20h&#7907;p%20SX%20PET%20n&#259;m%202024.xlsx" TargetMode="External"/><Relationship Id="rId34" Type="http://schemas.openxmlformats.org/officeDocument/2006/relationships/hyperlink" Target="../../../../nguyentandat_duytanrecycling_com/Documents/15.%20Gi&#225;%20Tr&#7883;%20C&#7843;i%20Ti&#7871;n%20TK/03.%20KT/25%20&#272;i&#7873;u%20ch&#7881;nh%20th&#244;ng%20s&#7889;%20m&#225;y%20khi%20s&#7843;n%20xu&#7845;t%20h&#7841;t%20iSS1084G/2024-CTST-289-%20K&#7928;%20THU&#7852;T%20-%20NG&#212;%20QU&#7888;C%20HUY%20-%20update%2010.12.xlsx" TargetMode="External"/><Relationship Id="rId42" Type="http://schemas.openxmlformats.org/officeDocument/2006/relationships/printerSettings" Target="../printerSettings/printerSettings1.bin"/><Relationship Id="rId7" Type="http://schemas.openxmlformats.org/officeDocument/2006/relationships/hyperlink" Target="../../../../nguyentandat_duytanrecycling_com/Documents/15.%20Gi&#225;%20Tr&#7883;%20C&#7843;i%20Ti&#7871;n%20TK/03.%20KT/22%20C&#7843;i%20ti&#7871;n%20cum%20dao%20c&#7855;t%20h&#7841;t/22%20CAI-TIEN-CUM-DAO-CAT-HAT_240313153708.xlsb" TargetMode="External"/><Relationship Id="rId2" Type="http://schemas.openxmlformats.org/officeDocument/2006/relationships/hyperlink" Target="../../../../nguyentandat_duytanrecycling_com/Documents/15.%20Gi&#225;%20Tr&#7883;%20C&#7843;i%20Ti&#7871;n%20TK/11.%20K&#7871;%20to&#225;n%20t&#224;i%20ch&#237;nh/Gi&#225;%20tr&#7883;%20ti&#7871;t%20ki&#7879;m%20-%20G&#7917;i%20ch&#7883;%20Nhi%20-%2009.08.24.xlsx" TargetMode="External"/><Relationship Id="rId16" Type="http://schemas.openxmlformats.org/officeDocument/2006/relationships/hyperlink" Target="../../../../nguyentandat_duytanrecycling_com/Documents/15.%20Gi&#225;%20Tr&#7883;%20C&#7843;i%20Ti&#7871;n%20TK/04.%20T&#272;H/B&#7843;ng%20t&#237;nh%20gi&#225;%20tr&#7883;%20ti&#7871;t%20ki&#7879;m%20TDH%202024%20(24-09-2024).xlsb" TargetMode="External"/><Relationship Id="rId20" Type="http://schemas.openxmlformats.org/officeDocument/2006/relationships/hyperlink" Target="../../../../nguyentandat_duytanrecycling_com/Documents/15.%20Gi&#225;%20Tr&#7883;%20C&#7843;i%20Ti&#7871;n%20TK/02.%20SX%20HDPE.PP/04-C&#7843;i%20ti&#7871;n%20t&#259;ng%20n&#259;ng%20su&#7845;t%20HD-PP.xlsx" TargetMode="External"/><Relationship Id="rId29" Type="http://schemas.openxmlformats.org/officeDocument/2006/relationships/hyperlink" Target="../../../../nguyentandat_duytanrecycling_com/Documents/15.%20Gi&#225;%20Tr&#7883;%20C&#7843;i%20Ti&#7871;n%20TK/02.%20SX%20HDPE.PP/C&#7843;i%20ti&#7871;n%20%20V&#7843;y%20HDPE%20MBF01%20Mixed%20b&#7887;%20TiO2%20(Danh_edited).xlsx" TargetMode="External"/><Relationship Id="rId41" Type="http://schemas.openxmlformats.org/officeDocument/2006/relationships/hyperlink" Target="../../../../nguyentandat_duytanrecycling_com/Documents/15.%20Gi&#225;%20Tr&#7883;%20C&#7843;i%20Ti&#7871;n%20TK/04.%20T&#272;H/B&#7843;ng%20t&#237;nh%20gi&#225;%20tr&#7883;%20ti&#7871;t%20ki&#7879;m%20TDH%202024%20(27-11-2024).xlsb" TargetMode="External"/><Relationship Id="rId1" Type="http://schemas.openxmlformats.org/officeDocument/2006/relationships/hyperlink" Target="../../../../nguyentandat_duytanrecycling_com/Documents/15.%20Gi&#225;%20Tr&#7883;%20C&#7843;i%20Ti&#7871;n%20TK/06.%20KTQT/Ti&#7871;t%20Ki&#7879;m%202024.xlsx" TargetMode="External"/><Relationship Id="rId6" Type="http://schemas.openxmlformats.org/officeDocument/2006/relationships/hyperlink" Target="../../../../nguyentandat_duytanrecycling_com/Documents/15.%20Gi&#225;%20Tr&#7883;%20C&#7843;i%20Ti&#7871;n%20TK/03.%20KT/23%20C&#7843;i%20ti&#7871;n%20l&#7885;c%20d&#7847;u/23%20Gi&#225;%20tr&#7883;%20c&#7843;i%20ti&#7871;n%20(l&#7885;c%20d&#7847;u).xlsx" TargetMode="External"/><Relationship Id="rId11" Type="http://schemas.openxmlformats.org/officeDocument/2006/relationships/hyperlink" Target="../../../../nguyentandat_duytanrecycling_com/Documents/15.%20Gi&#225;%20Tr&#7883;%20C&#7843;i%20Ti&#7871;n%20TK/03.%20KT/17.%20V&#7879;%20sinh%20sin%20h&#224;n%20gi&#7843;i%20nhi&#7879;t%20d&#7847;u/17%20%20V&#7878;%20SINH%20SIN%20H&#192;N%20GI&#7842;I%20NGHI&#7878;T%20D&#7846;U.xlsb" TargetMode="External"/><Relationship Id="rId24" Type="http://schemas.openxmlformats.org/officeDocument/2006/relationships/hyperlink" Target="../../../../nguyentandat_duytanrecycling_com/Documents/15.%20Gi&#225;%20Tr&#7883;%20C&#7843;i%20Ti&#7871;n%20TK/02.%20SX%20HDPE.PP/240628008%20-%20Thay%20th&#7871;%20NVL%20(h&#7841;t%20rPP%20th&#224;nh%20v&#7843;y%20rPP)%20&#273;&#7875;%20s&#7843;n%20xu&#7845;t%20Pallet%20oneway%20(Duy%20T&#226;n%20gia%20c&#244;ng).xlsx" TargetMode="External"/><Relationship Id="rId32" Type="http://schemas.openxmlformats.org/officeDocument/2006/relationships/hyperlink" Target="../../../../nguyentandat_duytanrecycling_com/Documents/15.%20Gi&#225;%20Tr&#7883;%20C&#7843;i%20Ti&#7871;n%20TK/07.%20R&amp;D/241014005%20-%20QC%20-%20HUY&#7872;N%20-%20S&#7846;M%20MINH%20TU&#7844;N.xlsx" TargetMode="External"/><Relationship Id="rId37" Type="http://schemas.openxmlformats.org/officeDocument/2006/relationships/hyperlink" Target="..\..\..\..\nguyentandat_duytanrecycling_com\Documents\15.%20Gi&#225;%20Tr&#7883;%20C&#7843;i%20Ti&#7871;n%20TK\03.%20KT\26%20Th&#432;&#417;ng%20th&#7843;o%20v&#7899;i%20ncc%20Starlinger%20-%20Hu&#7923;nh%20T&#7927;%20Ph&#250;\4.%20B&#7843;ng%20t&#237;nh%20gi&#225;%20tr&#7883;%20c&#7843;i%20ti&#7871;n%20ti&#7871;t%20ki&#7879;m.xlsb" TargetMode="External"/><Relationship Id="rId40" Type="http://schemas.openxmlformats.org/officeDocument/2006/relationships/hyperlink" Target="../../../../nguyentandat_duytanrecycling_com/Documents/15.%20Gi&#225;%20Tr&#7883;%20C&#7843;i%20Ti&#7871;n%20TK/04.%20T&#272;H/B&#7843;ng%20t&#237;nh%20gi&#225;%20tr&#7883;%20ti&#7871;t%20ki&#7879;m%20TDH%202024%20(27-11-2024).xlsb" TargetMode="External"/><Relationship Id="rId5" Type="http://schemas.openxmlformats.org/officeDocument/2006/relationships/hyperlink" Target="../../../../nguyentandat_duytanrecycling_com/Documents/15.%20Gi&#225;%20Tr&#7883;%20C&#7843;i%20Ti&#7871;n%20TK/03.%20KT/24%20Gi&#225;%20tr&#7883;%20ti&#7871;t%20ki&#7879;m%20s&#7917;%20d&#7909;ng%20d&#7847;u%20thay%20th&#7871;/24%20Gi&#225;%20tr&#7883;%20ti&#7871;t%20ki&#7879;m%20s&#7917;%20d&#7909;ng%20d&#7847;u%20thay%20th&#7871;.xlsx" TargetMode="External"/><Relationship Id="rId15" Type="http://schemas.openxmlformats.org/officeDocument/2006/relationships/hyperlink" Target="../../../../nguyentandat_duytanrecycling_com/Documents/15.%20Gi&#225;%20Tr&#7883;%20C&#7843;i%20Ti&#7871;n%20TK/04.%20T&#272;H/B&#7843;ng%20t&#237;nh%20gi&#225;%20tr&#7883;%20ti&#7871;t%20ki&#7879;m%20TDH%202024%20(24-09-2024).xlsb" TargetMode="External"/><Relationship Id="rId23" Type="http://schemas.openxmlformats.org/officeDocument/2006/relationships/hyperlink" Target="../../../../nguyentandat_duytanrecycling_com/Documents/15.%20Gi&#225;%20Tr&#7883;%20C&#7843;i%20Ti&#7871;n%20TK/01.%20SX%20PET/01%20B&#7843;ng%20theo%20d&#245;i%20gi&#225;%20tr&#7883;%20c&#7843;i%20ti&#7871;n%20t&#7893;ng%20h&#7907;p%20SX%20PET%20n&#259;m%202024.xlsx" TargetMode="External"/><Relationship Id="rId28" Type="http://schemas.openxmlformats.org/officeDocument/2006/relationships/hyperlink" Target="../../../../nguyentandat_duytanrecycling_com/Documents/15.%20Gi&#225;%20Tr&#7883;%20C&#7843;i%20Ti&#7871;n%20TK/05.%20QLCL/X&#225;c%20nh&#7853;n%20gi&#225;%20tr&#7883;%20c&#7843;i%20ti&#7871;n%20s&#7889;%20240624005%20-%20S&#7917;%20d&#7909;ng%20ph&#243;%20s&#7843;n%20&#273;&#7875;%20t&#7841;o%20h&#7841;t%20th&#224;nh%20ph&#7849;m.msg" TargetMode="External"/><Relationship Id="rId36" Type="http://schemas.openxmlformats.org/officeDocument/2006/relationships/hyperlink" Target="../../../../nguyentandat_duytanrecycling_com/Documents/15.%20Gi&#225;%20Tr&#7883;%20C&#7843;i%20Ti&#7871;n%20TK/03.%20KT/26%20Th&#432;&#417;ng%20th&#7843;o%20v&#7899;i%20ncc%20Starlinger%20-%20Hu&#7923;nh%20T&#7927;%20Ph&#250;/4.%20B&#7843;ng%20t&#237;nh%20gi&#225;%20tr&#7883;%20c&#7843;i%20ti&#7871;n%20ti&#7871;t%20ki&#7879;m.xlsb" TargetMode="External"/><Relationship Id="rId10" Type="http://schemas.openxmlformats.org/officeDocument/2006/relationships/hyperlink" Target="../../../../nguyentandat_duytanrecycling_com/Documents/15.%20Gi&#225;%20Tr&#7883;%20C&#7843;i%20Ti&#7871;n%20TK/03.%20KT/18%20C&#7843;i%20ti&#7871;n%20s&#7917;%20d&#7909;ng%20h&#7879;%20tr&#7897;n%20li&#7879;u/18%20C&#7843;i%20ti&#7871;n%20s&#7917;%20d&#7909;ng%20h&#7879;%20tr&#7897;n%20li&#7879;u.xlsb" TargetMode="External"/><Relationship Id="rId19" Type="http://schemas.openxmlformats.org/officeDocument/2006/relationships/hyperlink" Target="../../../../nguyentandat_duytanrecycling_com/Documents/15.%20Gi&#225;%20Tr&#7883;%20C&#7843;i%20Ti&#7871;n%20TK/02.%20SX%20HDPE.PP/05-%20D&#7919;%20li&#7879;u%20c&#7843;i%20ti&#7871;n%20gi&#7843;m%20c&#244;ng%20HD-PP.xlsx" TargetMode="External"/><Relationship Id="rId31" Type="http://schemas.openxmlformats.org/officeDocument/2006/relationships/hyperlink" Target="../../../../nguyentandat_duytanrecycling_com/Documents/15.%20Gi&#225;%20Tr&#7883;%20C&#7843;i%20Ti&#7871;n%20TK/05.%20QLCL/240829001%20-%20C&#7843;i%20ti&#7871;n%20gi&#7843;m%20thi&#7875;u%20h&#224;ng%20lo&#7841;i%202%20khi%20s&#7843;n%20xu&#7845;t%20iSS1084G/Cai%20tien%20240829001-v2.xlsb" TargetMode="External"/><Relationship Id="rId44" Type="http://schemas.openxmlformats.org/officeDocument/2006/relationships/comments" Target="../comments1.xml"/><Relationship Id="rId4" Type="http://schemas.openxmlformats.org/officeDocument/2006/relationships/hyperlink" Target="../../../../nguyentandat_duytanrecycling_com/Documents/15.%20Gi&#225;%20Tr&#7883;%20C&#7843;i%20Ti&#7871;n%20TK/11.%20K&#7871;%20to&#225;n%20t&#224;i%20ch&#237;nh/Gi&#225;%20tr&#7883;%20ti&#7871;t%20ki&#7879;m%20-%20G&#7917;i%20ch&#7883;%20Nhi%20-%2009.08.24.xlsx" TargetMode="External"/><Relationship Id="rId9" Type="http://schemas.openxmlformats.org/officeDocument/2006/relationships/hyperlink" Target="../../../../nguyentandat_duytanrecycling_com/Documents/15.%20Gi&#225;%20Tr&#7883;%20C&#7843;i%20Ti&#7871;n%20TK/03.%20KT/20.%20Thi&#7871;t%20b&#7883;%20v&#7879;%20sinh%20ch&#226;n%20kh&#244;ng/20.%20Ryan-V&#7879;%20sinh%20ch&#226;n%20kh&#244;ng.xlsb" TargetMode="External"/><Relationship Id="rId14" Type="http://schemas.openxmlformats.org/officeDocument/2006/relationships/hyperlink" Target="../../../../nguyentandat_duytanrecycling_com/Documents/15.%20Gi&#225;%20Tr&#7883;%20C&#7843;i%20Ti&#7871;n%20TK/09.%20Ph&#242;ng%20Mua/TI&#7870;T%20KI&#7878;M%20PH&#210;NG%20MUA.xlsx" TargetMode="External"/><Relationship Id="rId22" Type="http://schemas.openxmlformats.org/officeDocument/2006/relationships/hyperlink" Target="../../../../nguyentandat_duytanrecycling_com/Documents/15.%20Gi&#225;%20Tr&#7883;%20C&#7843;i%20Ti&#7871;n%20TK/01.%20SX%20PET/01%20B&#7843;ng%20theo%20d&#245;i%20gi&#225;%20tr&#7883;%20c&#7843;i%20ti&#7871;n%20t&#7893;ng%20h&#7907;p%20SX%20PET%20n&#259;m%202024.xlsx" TargetMode="External"/><Relationship Id="rId27" Type="http://schemas.openxmlformats.org/officeDocument/2006/relationships/hyperlink" Target="../../../../nguyentandat_duytanrecycling_com/Documents/15.%20Gi&#225;%20Tr&#7883;%20C&#7843;i%20Ti&#7871;n%20TK/04.%20T&#272;H/B&#7843;ng%20t&#237;nh%20gi&#225;%20tr&#7883;%20ti&#7871;t%20ki&#7879;m%20TDH%202024%20(27-11-2024).xlsb" TargetMode="External"/><Relationship Id="rId30" Type="http://schemas.openxmlformats.org/officeDocument/2006/relationships/hyperlink" Target="../../../../nguyentandat_duytanrecycling_com/Documents/15.%20Gi&#225;%20Tr&#7883;%20C&#7843;i%20Ti&#7871;n%20TK/06.%20KTQT/K&#7871;%20to&#225;n%20-%20Ho&#224;ng%20Th&#7883;%20Nh&#226;m%20-%20241024001.xlsx" TargetMode="External"/><Relationship Id="rId35" Type="http://schemas.openxmlformats.org/officeDocument/2006/relationships/hyperlink" Target="..\..\..\..\nguyentandat_duytanrecycling_com\Documents\15.%20Gi&#225;%20Tr&#7883;%20C&#7843;i%20Ti&#7871;n%20TK\03.%20KT\26%20Th&#432;&#417;ng%20th&#7843;o%20v&#7899;i%20ncc%20Starlinger%20-%20Hu&#7923;nh%20T&#7927;%20Ph&#250;\4.%20B&#7843;ng%20t&#237;nh%20gi&#225;%20tr&#7883;%20c&#7843;i%20ti&#7871;n%20ti&#7871;t%20ki&#7879;m.xlsb" TargetMode="External"/><Relationship Id="rId43" Type="http://schemas.openxmlformats.org/officeDocument/2006/relationships/vmlDrawing" Target="../drawings/vmlDrawing1.vml"/><Relationship Id="rId8" Type="http://schemas.openxmlformats.org/officeDocument/2006/relationships/hyperlink" Target="../../../../nguyentandat_duytanrecycling_com/Documents/15.%20Gi&#225;%20Tr&#7883;%20C&#7843;i%20Ti&#7871;n%20TK/03.%20KT/21%20Dao%20g&#7841;t,%20l&#7885;c%20Etllinger%20-%20Luansan/21%20Dao%20g&#7841;t,%20l&#7885;c%20Etllinger%20-%20Luansan.xlsx" TargetMode="External"/><Relationship Id="rId3" Type="http://schemas.openxmlformats.org/officeDocument/2006/relationships/hyperlink" Target="../../../../nguyentandat_duytanrecycling_com/Documents/15.%20Gi&#225;%20Tr&#7883;%20C&#7843;i%20Ti&#7871;n%20TK/11.%20K&#7871;%20to&#225;n%20t&#224;i%20ch&#237;nh/Gi&#225;%20tr&#7883;%20ti&#7871;t%20ki&#7879;m%20-%20G&#7917;i%20ch&#7883;%20Nhi%20-%2009.08.24.xlsx" TargetMode="External"/><Relationship Id="rId12" Type="http://schemas.openxmlformats.org/officeDocument/2006/relationships/hyperlink" Target="../../../../nguyentandat_duytanrecycling_com/Documents/15.%20Gi&#225;%20Tr&#7883;%20C&#7843;i%20Ti&#7871;n%20TK/03.%20KT/12&amp;%2013%20L&#432;&#7899;i%20l&#7885;c%20&amp;%20khu&#244;n%20Starlinger/12-13%20Ti&#7871;t%20ki&#7879;m%20l&#432;&#7899;i%20l&#7885;c.%20khu&#244;n%20Starlinger.xlsb" TargetMode="External"/><Relationship Id="rId17" Type="http://schemas.openxmlformats.org/officeDocument/2006/relationships/hyperlink" Target="../../../../nguyentandat_duytanrecycling_com/Documents/15.%20Gi&#225;%20Tr&#7883;%20C&#7843;i%20Ti&#7871;n%20TK/04.%20T&#272;H/B&#7843;ng%20t&#237;nh%20gi&#225;%20tr&#7883;%20ti&#7871;t%20ki&#7879;m%20TDH%202024%20(24-09-2024).xlsb" TargetMode="External"/><Relationship Id="rId25" Type="http://schemas.openxmlformats.org/officeDocument/2006/relationships/hyperlink" Target="../../../../nguyentandat_duytanrecycling_com/Documents/15.%20Gi&#225;%20Tr&#7883;%20C&#7843;i%20Ti&#7871;n%20TK/02.%20SX%20HDPE.PP/240824002%20-%20Ti&#7871;t%20ki&#7879;m%20bao%20b&#236;%20khi%20v&#7853;n%20chuy&#7875;n%20v&#7843;y%20rPP%20&#273;i%20l&#224;m%20Pallet%20oneway%20(Duy%20T&#226;n%20gia%20c&#244;ng).xlsx" TargetMode="External"/><Relationship Id="rId33" Type="http://schemas.openxmlformats.org/officeDocument/2006/relationships/hyperlink" Target="../../../../nguyentandat_duytanrecycling_com/Documents/15.%20Gi&#225;%20Tr&#7883;%20C&#7843;i%20Ti&#7871;n%20TK/07.%20R&amp;D/2023-QC-TK-261%20-%20QLCL%20-%20NH&#194;M%20-%20S&#7846;M%20MINH%20TU&#7844;N.xlsx" TargetMode="External"/><Relationship Id="rId38" Type="http://schemas.openxmlformats.org/officeDocument/2006/relationships/hyperlink" Target="..\..\..\..\nguyentandat_duytanrecycling_com\Documents\15.%20Gi&#225;%20Tr&#7883;%20C&#7843;i%20Ti&#7871;n%20TK\03.%20KT\26%20Th&#432;&#417;ng%20th&#7843;o%20v&#7899;i%20ncc%20Starlinger%20-%20Hu&#7923;nh%20T&#7927;%20Ph&#250;\4.%20B&#7843;ng%20t&#237;nh%20gi&#225;%20tr&#7883;%20c&#7843;i%20ti&#7871;n%20ti&#7871;t%20ki&#7879;m.xlsb"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E992B-37C2-486B-8769-A9FA9D0D50D7}">
  <sheetPr codeName="Sheet2">
    <tabColor rgb="FFC00000"/>
  </sheetPr>
  <dimension ref="A2:B2"/>
  <sheetViews>
    <sheetView showGridLines="0" zoomScale="175" zoomScaleNormal="175" workbookViewId="0">
      <selection activeCell="AQ3" sqref="AQ3"/>
    </sheetView>
  </sheetViews>
  <sheetFormatPr defaultRowHeight="14.5"/>
  <sheetData>
    <row r="2" spans="1:2">
      <c r="A2" s="201" t="s">
        <v>366</v>
      </c>
      <c r="B2" s="202">
        <v>12</v>
      </c>
    </row>
  </sheetData>
  <dataValidations count="1">
    <dataValidation type="list" allowBlank="1" showInputMessage="1" showErrorMessage="1" sqref="B2" xr:uid="{7E2F8305-5C57-449C-8613-6E4243F1E7B4}">
      <formula1>"1,2,3,4,5,6,7,8,9,10,11,12"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91EC-EF57-4170-832B-9A42706704C1}">
  <sheetPr codeName="Sheet15"/>
  <dimension ref="A1:D64"/>
  <sheetViews>
    <sheetView showGridLines="0" zoomScale="130" zoomScaleNormal="130" workbookViewId="0">
      <selection activeCell="AQ3" sqref="AQ3"/>
    </sheetView>
  </sheetViews>
  <sheetFormatPr defaultColWidth="8.54296875" defaultRowHeight="14"/>
  <cols>
    <col min="1" max="1" width="8" style="156" customWidth="1"/>
    <col min="2" max="2" width="34.54296875" style="156" customWidth="1"/>
    <col min="3" max="3" width="71.453125" style="156" customWidth="1"/>
    <col min="4" max="4" width="52.453125" style="156" customWidth="1"/>
    <col min="5" max="16384" width="8.54296875" style="156"/>
  </cols>
  <sheetData>
    <row r="1" spans="1:4" ht="20">
      <c r="A1" s="154" t="s">
        <v>208</v>
      </c>
      <c r="B1" s="155"/>
    </row>
    <row r="2" spans="1:4" ht="14.5" thickBot="1"/>
    <row r="3" spans="1:4" ht="16" thickBot="1">
      <c r="A3" s="157" t="s">
        <v>0</v>
      </c>
      <c r="B3" s="158" t="s">
        <v>162</v>
      </c>
      <c r="C3" s="158" t="s">
        <v>163</v>
      </c>
    </row>
    <row r="4" spans="1:4" ht="15.5">
      <c r="A4" s="159">
        <v>1</v>
      </c>
      <c r="B4" s="160" t="s">
        <v>164</v>
      </c>
      <c r="C4" s="161" t="s">
        <v>165</v>
      </c>
    </row>
    <row r="5" spans="1:4" ht="15.5">
      <c r="A5" s="162">
        <v>2</v>
      </c>
      <c r="B5" s="163" t="s">
        <v>31</v>
      </c>
      <c r="C5" s="164" t="s">
        <v>166</v>
      </c>
    </row>
    <row r="6" spans="1:4" ht="15.5">
      <c r="A6" s="162">
        <v>3</v>
      </c>
      <c r="B6" s="163" t="s">
        <v>167</v>
      </c>
      <c r="C6" s="164" t="s">
        <v>168</v>
      </c>
      <c r="D6" s="156" t="s">
        <v>416</v>
      </c>
    </row>
    <row r="7" spans="1:4" ht="15.5">
      <c r="A7" s="162">
        <v>4</v>
      </c>
      <c r="B7" s="163" t="s">
        <v>169</v>
      </c>
      <c r="C7" s="164" t="s">
        <v>170</v>
      </c>
    </row>
    <row r="8" spans="1:4" ht="15.5">
      <c r="A8" s="162">
        <v>5</v>
      </c>
      <c r="B8" s="163" t="s">
        <v>171</v>
      </c>
      <c r="C8" s="164" t="s">
        <v>172</v>
      </c>
      <c r="D8" s="156" t="s">
        <v>416</v>
      </c>
    </row>
    <row r="9" spans="1:4" ht="15.5">
      <c r="A9" s="162">
        <v>6</v>
      </c>
      <c r="B9" s="163" t="s">
        <v>173</v>
      </c>
      <c r="C9" s="164" t="s">
        <v>174</v>
      </c>
    </row>
    <row r="10" spans="1:4" ht="15.5">
      <c r="A10" s="165">
        <v>7</v>
      </c>
      <c r="B10" s="166" t="s">
        <v>361</v>
      </c>
      <c r="C10" s="167"/>
    </row>
    <row r="11" spans="1:4" ht="15.5">
      <c r="A11" s="165">
        <v>8</v>
      </c>
      <c r="B11" s="166" t="s">
        <v>175</v>
      </c>
      <c r="C11" s="167"/>
    </row>
    <row r="12" spans="1:4" ht="16" thickBot="1">
      <c r="A12" s="168"/>
      <c r="B12" s="169"/>
      <c r="C12" s="169"/>
    </row>
    <row r="15" spans="1:4" ht="20">
      <c r="A15" s="154" t="s">
        <v>1</v>
      </c>
    </row>
    <row r="16" spans="1:4" ht="14.5" thickBot="1"/>
    <row r="17" spans="1:3" ht="16" thickBot="1">
      <c r="A17" s="157" t="s">
        <v>0</v>
      </c>
      <c r="B17" s="158" t="s">
        <v>1</v>
      </c>
    </row>
    <row r="18" spans="1:3" ht="15.5">
      <c r="A18" s="159">
        <v>1</v>
      </c>
      <c r="B18" s="170" t="s">
        <v>18</v>
      </c>
    </row>
    <row r="19" spans="1:3" ht="15.5">
      <c r="A19" s="162">
        <v>2</v>
      </c>
      <c r="B19" s="171" t="s">
        <v>25</v>
      </c>
    </row>
    <row r="20" spans="1:3" ht="15.5">
      <c r="A20" s="162">
        <v>3</v>
      </c>
      <c r="B20" s="171" t="s">
        <v>31</v>
      </c>
    </row>
    <row r="21" spans="1:3" ht="15.5">
      <c r="A21" s="162">
        <v>4</v>
      </c>
      <c r="B21" s="171" t="s">
        <v>36</v>
      </c>
    </row>
    <row r="22" spans="1:3" ht="15.5">
      <c r="A22" s="162">
        <v>5</v>
      </c>
      <c r="B22" s="171" t="s">
        <v>38</v>
      </c>
    </row>
    <row r="23" spans="1:3" ht="15.5">
      <c r="A23" s="162">
        <v>6</v>
      </c>
      <c r="B23" s="171" t="s">
        <v>58</v>
      </c>
    </row>
    <row r="24" spans="1:3" ht="15.5">
      <c r="A24" s="165">
        <v>7</v>
      </c>
      <c r="B24" s="171" t="s">
        <v>181</v>
      </c>
    </row>
    <row r="25" spans="1:3" ht="15.5">
      <c r="A25" s="165">
        <v>8</v>
      </c>
      <c r="B25" s="171" t="s">
        <v>182</v>
      </c>
    </row>
    <row r="26" spans="1:3" ht="15.5">
      <c r="A26" s="162">
        <v>9</v>
      </c>
      <c r="B26" s="171" t="s">
        <v>580</v>
      </c>
    </row>
    <row r="27" spans="1:3" ht="15.5">
      <c r="A27" s="162">
        <v>10</v>
      </c>
      <c r="B27" s="171" t="s">
        <v>572</v>
      </c>
      <c r="C27"/>
    </row>
    <row r="28" spans="1:3" ht="15.5">
      <c r="A28" s="165">
        <v>11</v>
      </c>
      <c r="B28" s="778" t="s">
        <v>354</v>
      </c>
    </row>
    <row r="29" spans="1:3" ht="15.5">
      <c r="A29" s="165">
        <v>12</v>
      </c>
      <c r="B29" s="778" t="s">
        <v>331</v>
      </c>
    </row>
    <row r="30" spans="1:3" ht="15.5">
      <c r="A30" s="165">
        <v>13</v>
      </c>
      <c r="B30" s="778" t="s">
        <v>693</v>
      </c>
    </row>
    <row r="31" spans="1:3" ht="15.5">
      <c r="A31" s="165">
        <v>14</v>
      </c>
      <c r="B31" s="778" t="s">
        <v>717</v>
      </c>
    </row>
    <row r="32" spans="1:3" ht="15.5">
      <c r="A32" s="165">
        <v>15</v>
      </c>
      <c r="B32" s="778" t="s">
        <v>716</v>
      </c>
    </row>
    <row r="33" spans="1:2" ht="15.5">
      <c r="A33" s="165">
        <v>16</v>
      </c>
      <c r="B33" s="778" t="s">
        <v>75</v>
      </c>
    </row>
    <row r="34" spans="1:2" ht="16" thickBot="1">
      <c r="A34" s="168">
        <v>17</v>
      </c>
      <c r="B34" s="172" t="s">
        <v>718</v>
      </c>
    </row>
    <row r="39" spans="1:2" ht="14.5">
      <c r="B39"/>
    </row>
    <row r="40" spans="1:2" ht="14.5">
      <c r="B40"/>
    </row>
    <row r="41" spans="1:2" ht="14.5">
      <c r="B41"/>
    </row>
    <row r="42" spans="1:2" ht="14.5">
      <c r="B42"/>
    </row>
    <row r="43" spans="1:2" ht="14.5">
      <c r="B43"/>
    </row>
    <row r="44" spans="1:2" ht="14.5">
      <c r="B44"/>
    </row>
    <row r="45" spans="1:2" ht="14.5">
      <c r="B45"/>
    </row>
    <row r="46" spans="1:2" ht="14.5">
      <c r="B46"/>
    </row>
    <row r="47" spans="1:2" ht="14.5">
      <c r="B47"/>
    </row>
    <row r="48" spans="1:2" ht="14.5">
      <c r="B48"/>
    </row>
    <row r="49" spans="2:2" ht="14.5">
      <c r="B49"/>
    </row>
    <row r="50" spans="2:2" ht="14.5">
      <c r="B50"/>
    </row>
    <row r="51" spans="2:2" ht="14.5">
      <c r="B51"/>
    </row>
    <row r="52" spans="2:2" ht="14.5">
      <c r="B52"/>
    </row>
    <row r="53" spans="2:2" ht="14.5">
      <c r="B53"/>
    </row>
    <row r="54" spans="2:2" ht="14.5">
      <c r="B54"/>
    </row>
    <row r="55" spans="2:2" ht="14.5">
      <c r="B55"/>
    </row>
    <row r="56" spans="2:2" ht="14.5">
      <c r="B56"/>
    </row>
    <row r="57" spans="2:2" ht="14.5">
      <c r="B57"/>
    </row>
    <row r="58" spans="2:2" ht="14.5">
      <c r="B58"/>
    </row>
    <row r="59" spans="2:2" ht="14.5">
      <c r="B59"/>
    </row>
    <row r="60" spans="2:2" ht="14.5">
      <c r="B60"/>
    </row>
    <row r="61" spans="2:2" ht="14.5">
      <c r="B61"/>
    </row>
    <row r="62" spans="2:2" ht="14.5">
      <c r="B62"/>
    </row>
    <row r="63" spans="2:2" ht="14.5">
      <c r="B63"/>
    </row>
    <row r="64" spans="2:2" ht="14.5">
      <c r="B6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6B9A4-0D9C-4A8E-802C-568FCAABD7E2}">
  <sheetPr codeName="Sheet16"/>
  <dimension ref="B4:C12"/>
  <sheetViews>
    <sheetView showGridLines="0" zoomScale="70" zoomScaleNormal="70" workbookViewId="0">
      <selection activeCell="AQ3" sqref="AQ3"/>
    </sheetView>
  </sheetViews>
  <sheetFormatPr defaultColWidth="8.54296875" defaultRowHeight="14"/>
  <cols>
    <col min="1" max="1" width="8.54296875" style="156"/>
    <col min="2" max="2" width="8.54296875" style="156" customWidth="1"/>
    <col min="3" max="3" width="119.54296875" style="156" customWidth="1"/>
    <col min="4" max="16384" width="8.54296875" style="156"/>
  </cols>
  <sheetData>
    <row r="4" spans="2:3" ht="35">
      <c r="B4" s="197"/>
      <c r="C4" s="198" t="s">
        <v>362</v>
      </c>
    </row>
    <row r="6" spans="2:3" ht="35">
      <c r="B6" s="197"/>
      <c r="C6" s="198" t="s">
        <v>363</v>
      </c>
    </row>
    <row r="8" spans="2:3" ht="35">
      <c r="B8" s="197"/>
      <c r="C8" s="198" t="s">
        <v>364</v>
      </c>
    </row>
    <row r="10" spans="2:3" ht="35">
      <c r="B10" s="197"/>
      <c r="C10" s="198" t="s">
        <v>365</v>
      </c>
    </row>
    <row r="12" spans="2:3" ht="35">
      <c r="B12" s="197"/>
      <c r="C12" s="19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13A1-BFE2-45A8-9E5E-AD9D6AD694DA}">
  <sheetPr codeName="Sheet17">
    <tabColor rgb="FF119303"/>
  </sheetPr>
  <dimension ref="A2:H448"/>
  <sheetViews>
    <sheetView showGridLines="0" topLeftCell="A181" zoomScale="70" zoomScaleNormal="70" workbookViewId="0">
      <selection activeCell="G345" sqref="G345"/>
    </sheetView>
  </sheetViews>
  <sheetFormatPr defaultColWidth="8.54296875" defaultRowHeight="16.5"/>
  <cols>
    <col min="1" max="1" width="27.54296875" style="179" customWidth="1"/>
    <col min="2" max="2" width="14.453125" style="179" customWidth="1"/>
    <col min="3" max="3" width="83.453125" style="179" customWidth="1"/>
    <col min="4" max="4" width="2.453125" style="179" customWidth="1"/>
    <col min="5" max="5" width="90.453125" style="179" customWidth="1"/>
    <col min="6" max="6" width="4.54296875" style="179" customWidth="1"/>
    <col min="7" max="7" width="67" style="179" customWidth="1"/>
    <col min="8" max="16384" width="8.54296875" style="179"/>
  </cols>
  <sheetData>
    <row r="2" spans="1:5">
      <c r="A2" s="178" t="s">
        <v>209</v>
      </c>
    </row>
    <row r="3" spans="1:5" ht="23">
      <c r="A3" s="180" t="s">
        <v>193</v>
      </c>
      <c r="B3" s="181" t="s">
        <v>233</v>
      </c>
      <c r="C3" s="1535" t="s">
        <v>234</v>
      </c>
      <c r="D3" s="1535"/>
      <c r="E3" s="1535"/>
    </row>
    <row r="4" spans="1:5" ht="7.5" customHeight="1">
      <c r="C4" s="1539"/>
      <c r="D4" s="1539"/>
      <c r="E4" s="1539"/>
    </row>
    <row r="5" spans="1:5" ht="18">
      <c r="C5" s="182" t="s">
        <v>235</v>
      </c>
      <c r="D5" s="183"/>
      <c r="E5" s="182" t="s">
        <v>236</v>
      </c>
    </row>
    <row r="6" spans="1:5" ht="61.5" customHeight="1">
      <c r="C6" s="184" t="s">
        <v>237</v>
      </c>
      <c r="D6" s="185"/>
      <c r="E6" s="184" t="s">
        <v>238</v>
      </c>
    </row>
    <row r="7" spans="1:5" ht="8.9" customHeight="1">
      <c r="C7" s="183"/>
      <c r="D7" s="183"/>
      <c r="E7" s="183"/>
    </row>
    <row r="8" spans="1:5" ht="32.9" customHeight="1">
      <c r="C8" s="1536" t="s">
        <v>239</v>
      </c>
      <c r="D8" s="1536"/>
      <c r="E8" s="1536"/>
    </row>
    <row r="22" spans="1:7" ht="23">
      <c r="A22" s="180" t="s">
        <v>194</v>
      </c>
      <c r="B22" s="181" t="s">
        <v>233</v>
      </c>
      <c r="C22" s="1535" t="s">
        <v>240</v>
      </c>
      <c r="D22" s="1535"/>
      <c r="E22" s="1535"/>
    </row>
    <row r="23" spans="1:7" ht="18">
      <c r="C23" s="182" t="s">
        <v>235</v>
      </c>
      <c r="D23" s="183"/>
      <c r="E23" s="182" t="s">
        <v>236</v>
      </c>
    </row>
    <row r="24" spans="1:7" ht="76.400000000000006" customHeight="1">
      <c r="C24" s="184" t="s">
        <v>241</v>
      </c>
      <c r="D24" s="185"/>
      <c r="E24" s="184" t="s">
        <v>242</v>
      </c>
    </row>
    <row r="25" spans="1:7" ht="17.5">
      <c r="C25" s="1536" t="s">
        <v>243</v>
      </c>
      <c r="D25" s="1536"/>
      <c r="E25" s="1536"/>
    </row>
    <row r="28" spans="1:7" ht="23">
      <c r="A28" s="180" t="s">
        <v>199</v>
      </c>
      <c r="B28" s="181" t="s">
        <v>31</v>
      </c>
      <c r="C28" s="1535" t="s">
        <v>244</v>
      </c>
      <c r="D28" s="1535"/>
      <c r="E28" s="1535"/>
      <c r="G28" s="186"/>
    </row>
    <row r="29" spans="1:7" ht="10.4" customHeight="1"/>
    <row r="30" spans="1:7" ht="18">
      <c r="C30" s="182" t="s">
        <v>235</v>
      </c>
      <c r="D30" s="183"/>
      <c r="E30" s="182" t="s">
        <v>236</v>
      </c>
    </row>
    <row r="31" spans="1:7" ht="103.5" customHeight="1">
      <c r="C31" s="184" t="s">
        <v>245</v>
      </c>
      <c r="D31" s="185"/>
      <c r="E31" s="184" t="s">
        <v>246</v>
      </c>
    </row>
    <row r="32" spans="1:7" ht="18" customHeight="1">
      <c r="C32" s="1536" t="s">
        <v>247</v>
      </c>
      <c r="D32" s="1536"/>
      <c r="E32" s="1536"/>
    </row>
    <row r="46" spans="1:5" ht="23">
      <c r="A46" s="180" t="s">
        <v>200</v>
      </c>
      <c r="B46" s="181" t="s">
        <v>31</v>
      </c>
      <c r="C46" s="1535" t="s">
        <v>248</v>
      </c>
      <c r="D46" s="1535"/>
      <c r="E46" s="1535"/>
    </row>
    <row r="47" spans="1:5" ht="10.4" customHeight="1"/>
    <row r="48" spans="1:5" ht="18">
      <c r="C48" s="182" t="s">
        <v>235</v>
      </c>
      <c r="D48" s="183"/>
      <c r="E48" s="182" t="s">
        <v>236</v>
      </c>
    </row>
    <row r="49" spans="3:7" ht="84" customHeight="1">
      <c r="C49" s="184" t="s">
        <v>249</v>
      </c>
      <c r="D49" s="185"/>
      <c r="E49" s="184" t="s">
        <v>250</v>
      </c>
      <c r="G49" s="187" t="s">
        <v>251</v>
      </c>
    </row>
    <row r="50" spans="3:7" ht="18" customHeight="1">
      <c r="C50" s="1538"/>
      <c r="D50" s="1538"/>
      <c r="E50" s="1538"/>
      <c r="G50" s="187" t="s">
        <v>252</v>
      </c>
    </row>
    <row r="51" spans="3:7">
      <c r="G51" s="187" t="s">
        <v>253</v>
      </c>
    </row>
    <row r="52" spans="3:7">
      <c r="G52" s="187" t="s">
        <v>254</v>
      </c>
    </row>
    <row r="53" spans="3:7">
      <c r="G53" s="187" t="s">
        <v>255</v>
      </c>
    </row>
    <row r="54" spans="3:7">
      <c r="G54" s="187" t="s">
        <v>256</v>
      </c>
    </row>
    <row r="55" spans="3:7">
      <c r="G55" s="179" t="s">
        <v>257</v>
      </c>
    </row>
    <row r="66" spans="1:8" ht="23">
      <c r="A66" s="180" t="s">
        <v>195</v>
      </c>
      <c r="B66" s="181" t="s">
        <v>233</v>
      </c>
      <c r="C66" s="1535" t="s">
        <v>258</v>
      </c>
      <c r="D66" s="1535"/>
      <c r="E66" s="1535"/>
    </row>
    <row r="67" spans="1:8" ht="7.4" customHeight="1"/>
    <row r="68" spans="1:8" ht="18">
      <c r="C68" s="182" t="s">
        <v>235</v>
      </c>
      <c r="D68" s="183"/>
      <c r="E68" s="182" t="s">
        <v>236</v>
      </c>
    </row>
    <row r="69" spans="1:8" ht="105">
      <c r="C69" s="184" t="s">
        <v>259</v>
      </c>
      <c r="D69" s="185"/>
      <c r="E69" s="184" t="s">
        <v>260</v>
      </c>
      <c r="G69" s="188" t="s">
        <v>261</v>
      </c>
    </row>
    <row r="70" spans="1:8" ht="17.5">
      <c r="C70" s="1536" t="s">
        <v>262</v>
      </c>
      <c r="D70" s="1536"/>
      <c r="E70" s="1536"/>
    </row>
    <row r="71" spans="1:8">
      <c r="H71" s="179" t="s">
        <v>263</v>
      </c>
    </row>
    <row r="89" spans="1:7" ht="23">
      <c r="A89" s="180" t="s">
        <v>223</v>
      </c>
      <c r="B89" s="181" t="s">
        <v>31</v>
      </c>
      <c r="C89" s="1535" t="s">
        <v>264</v>
      </c>
      <c r="D89" s="1535"/>
      <c r="E89" s="1535"/>
      <c r="G89" s="186" t="s">
        <v>31</v>
      </c>
    </row>
    <row r="90" spans="1:7" ht="10.4" customHeight="1"/>
    <row r="91" spans="1:7" ht="18">
      <c r="C91" s="182" t="s">
        <v>235</v>
      </c>
      <c r="D91" s="183"/>
      <c r="E91" s="182" t="s">
        <v>236</v>
      </c>
    </row>
    <row r="92" spans="1:7" ht="97.5" customHeight="1">
      <c r="C92" s="184" t="s">
        <v>265</v>
      </c>
      <c r="D92" s="185"/>
      <c r="E92" s="184" t="s">
        <v>266</v>
      </c>
    </row>
    <row r="93" spans="1:7" ht="18" customHeight="1">
      <c r="C93" s="1536" t="s">
        <v>267</v>
      </c>
      <c r="D93" s="1536"/>
      <c r="E93" s="1536"/>
    </row>
    <row r="110" spans="1:7" ht="23">
      <c r="A110" s="180" t="s">
        <v>195</v>
      </c>
      <c r="B110" s="181" t="s">
        <v>233</v>
      </c>
      <c r="C110" s="1535" t="s">
        <v>268</v>
      </c>
      <c r="D110" s="1535"/>
      <c r="E110" s="1535"/>
    </row>
    <row r="111" spans="1:7" ht="4.5" customHeight="1"/>
    <row r="112" spans="1:7" ht="18">
      <c r="C112" s="182" t="s">
        <v>235</v>
      </c>
      <c r="D112" s="183"/>
      <c r="E112" s="182" t="s">
        <v>236</v>
      </c>
      <c r="G112" s="188" t="s">
        <v>261</v>
      </c>
    </row>
    <row r="113" spans="3:7" ht="59.9" customHeight="1">
      <c r="C113" s="184" t="s">
        <v>269</v>
      </c>
      <c r="D113" s="185"/>
      <c r="E113" s="184" t="s">
        <v>270</v>
      </c>
      <c r="G113" s="179" t="s">
        <v>271</v>
      </c>
    </row>
    <row r="114" spans="3:7" ht="17.5">
      <c r="C114" s="1536" t="s">
        <v>272</v>
      </c>
      <c r="D114" s="1536"/>
      <c r="E114" s="1536"/>
    </row>
    <row r="135" spans="1:8" ht="23">
      <c r="A135" s="180" t="s">
        <v>198</v>
      </c>
      <c r="B135" s="189" t="s">
        <v>233</v>
      </c>
      <c r="C135" s="1535" t="s">
        <v>288</v>
      </c>
      <c r="D135" s="1535"/>
      <c r="E135" s="1535"/>
      <c r="G135" s="179" t="s">
        <v>273</v>
      </c>
    </row>
    <row r="136" spans="1:8" ht="4.5" customHeight="1"/>
    <row r="137" spans="1:8" ht="18">
      <c r="C137" s="182" t="s">
        <v>235</v>
      </c>
      <c r="D137" s="183"/>
      <c r="E137" s="182" t="s">
        <v>236</v>
      </c>
    </row>
    <row r="138" spans="1:8" ht="35">
      <c r="C138" s="184" t="s">
        <v>286</v>
      </c>
      <c r="D138" s="185"/>
      <c r="E138" s="184" t="s">
        <v>289</v>
      </c>
      <c r="G138" s="179" t="s">
        <v>275</v>
      </c>
      <c r="H138" s="179" t="s">
        <v>276</v>
      </c>
    </row>
    <row r="139" spans="1:8" ht="17.5">
      <c r="C139" s="1536" t="s">
        <v>287</v>
      </c>
      <c r="D139" s="1536"/>
      <c r="E139" s="1536"/>
      <c r="G139" s="179" t="s">
        <v>277</v>
      </c>
      <c r="H139" s="179" t="s">
        <v>278</v>
      </c>
    </row>
    <row r="141" spans="1:8">
      <c r="G141" s="179" t="s">
        <v>279</v>
      </c>
      <c r="H141" s="179" t="s">
        <v>280</v>
      </c>
    </row>
    <row r="160" spans="1:5" ht="23">
      <c r="A160" s="180" t="s">
        <v>201</v>
      </c>
      <c r="B160" s="186" t="s">
        <v>51</v>
      </c>
      <c r="C160" s="1535" t="s">
        <v>274</v>
      </c>
      <c r="D160" s="1535"/>
      <c r="E160" s="1535"/>
    </row>
    <row r="161" spans="2:5" ht="4.5" customHeight="1"/>
    <row r="162" spans="2:5" ht="18">
      <c r="C162" s="182" t="s">
        <v>235</v>
      </c>
      <c r="D162" s="183"/>
      <c r="E162" s="182" t="s">
        <v>236</v>
      </c>
    </row>
    <row r="163" spans="2:5" ht="74.900000000000006" customHeight="1">
      <c r="B163" s="190" t="s">
        <v>293</v>
      </c>
      <c r="C163" s="184" t="s">
        <v>290</v>
      </c>
      <c r="D163" s="185"/>
      <c r="E163" s="184" t="s">
        <v>292</v>
      </c>
    </row>
    <row r="164" spans="2:5" ht="17.5">
      <c r="C164" s="1536" t="s">
        <v>291</v>
      </c>
      <c r="D164" s="1536"/>
      <c r="E164" s="1536"/>
    </row>
    <row r="168" spans="2:5">
      <c r="C168" s="156"/>
    </row>
    <row r="171" spans="2:5">
      <c r="E171" s="156"/>
    </row>
    <row r="189" spans="1:7" ht="23">
      <c r="A189" s="180" t="s">
        <v>202</v>
      </c>
      <c r="B189" s="191" t="s">
        <v>51</v>
      </c>
      <c r="C189" s="1535" t="s">
        <v>281</v>
      </c>
      <c r="D189" s="1535"/>
      <c r="E189" s="1535"/>
    </row>
    <row r="190" spans="1:7" ht="4.5" customHeight="1"/>
    <row r="191" spans="1:7" ht="18">
      <c r="C191" s="182" t="s">
        <v>235</v>
      </c>
      <c r="D191" s="183"/>
      <c r="E191" s="182" t="s">
        <v>236</v>
      </c>
    </row>
    <row r="192" spans="1:7" ht="54.65" customHeight="1">
      <c r="C192" s="184" t="s">
        <v>294</v>
      </c>
      <c r="D192" s="185"/>
      <c r="E192" s="184" t="s">
        <v>295</v>
      </c>
      <c r="G192" s="179" t="s">
        <v>297</v>
      </c>
    </row>
    <row r="193" spans="3:5" ht="4.5" customHeight="1"/>
    <row r="194" spans="3:5" ht="17.5">
      <c r="C194" s="1536" t="s">
        <v>296</v>
      </c>
      <c r="D194" s="1536"/>
      <c r="E194" s="1536"/>
    </row>
    <row r="218" spans="1:5" ht="23">
      <c r="A218" s="180" t="s">
        <v>203</v>
      </c>
      <c r="B218" s="181" t="s">
        <v>51</v>
      </c>
      <c r="C218" s="1535" t="s">
        <v>298</v>
      </c>
      <c r="D218" s="1535"/>
      <c r="E218" s="1535"/>
    </row>
    <row r="219" spans="1:5" ht="4.5" customHeight="1"/>
    <row r="220" spans="1:5" ht="18">
      <c r="B220" s="179" t="s">
        <v>118</v>
      </c>
      <c r="C220" s="182" t="s">
        <v>235</v>
      </c>
      <c r="D220" s="183"/>
      <c r="E220" s="182" t="s">
        <v>236</v>
      </c>
    </row>
    <row r="221" spans="1:5" ht="54.65" customHeight="1">
      <c r="C221" s="184" t="s">
        <v>299</v>
      </c>
      <c r="D221" s="185"/>
      <c r="E221" s="184" t="s">
        <v>304</v>
      </c>
    </row>
    <row r="222" spans="1:5" ht="17.5">
      <c r="C222" s="1536" t="s">
        <v>303</v>
      </c>
      <c r="D222" s="1536"/>
      <c r="E222" s="1536"/>
    </row>
    <row r="246" spans="1:7" ht="23">
      <c r="A246" s="180" t="s">
        <v>205</v>
      </c>
      <c r="B246" s="181" t="s">
        <v>51</v>
      </c>
      <c r="C246" s="1535" t="s">
        <v>305</v>
      </c>
      <c r="D246" s="1535"/>
      <c r="E246" s="1535"/>
    </row>
    <row r="247" spans="1:7" ht="4.5" customHeight="1"/>
    <row r="248" spans="1:7" ht="18">
      <c r="C248" s="182" t="s">
        <v>235</v>
      </c>
      <c r="D248" s="183"/>
      <c r="E248" s="182" t="s">
        <v>236</v>
      </c>
    </row>
    <row r="249" spans="1:7" ht="137.15" customHeight="1">
      <c r="C249" s="184" t="s">
        <v>308</v>
      </c>
      <c r="D249" s="185"/>
      <c r="E249" s="184" t="s">
        <v>307</v>
      </c>
      <c r="G249" s="192" t="s">
        <v>306</v>
      </c>
    </row>
    <row r="250" spans="1:7" ht="17.5">
      <c r="C250" s="1536" t="s">
        <v>300</v>
      </c>
      <c r="D250" s="1536"/>
      <c r="E250" s="1536"/>
    </row>
    <row r="273" spans="1:7" ht="23">
      <c r="A273" s="180" t="s">
        <v>206</v>
      </c>
      <c r="B273" s="193" t="s">
        <v>51</v>
      </c>
      <c r="C273" s="1535" t="s">
        <v>282</v>
      </c>
      <c r="D273" s="1535"/>
      <c r="E273" s="1535"/>
    </row>
    <row r="274" spans="1:7" ht="4.5" customHeight="1"/>
    <row r="275" spans="1:7" ht="18">
      <c r="C275" s="182" t="s">
        <v>235</v>
      </c>
      <c r="D275" s="183"/>
      <c r="E275" s="182" t="s">
        <v>236</v>
      </c>
    </row>
    <row r="276" spans="1:7" ht="54.65" customHeight="1">
      <c r="C276" s="184" t="s">
        <v>301</v>
      </c>
      <c r="D276" s="185"/>
      <c r="E276" s="184" t="s">
        <v>325</v>
      </c>
      <c r="G276" s="194" t="s">
        <v>326</v>
      </c>
    </row>
    <row r="277" spans="1:7" ht="17.5">
      <c r="C277" s="1536" t="s">
        <v>302</v>
      </c>
      <c r="D277" s="1536"/>
      <c r="E277" s="1536"/>
    </row>
    <row r="280" spans="1:7">
      <c r="C280" s="156"/>
    </row>
    <row r="300" spans="1:5" ht="23">
      <c r="A300" s="180" t="s">
        <v>207</v>
      </c>
      <c r="C300" s="1535" t="s">
        <v>283</v>
      </c>
      <c r="D300" s="1535"/>
      <c r="E300" s="1535"/>
    </row>
    <row r="301" spans="1:5" ht="4.5" customHeight="1"/>
    <row r="302" spans="1:5" ht="18">
      <c r="C302" s="182" t="s">
        <v>235</v>
      </c>
      <c r="D302" s="183"/>
      <c r="E302" s="182" t="s">
        <v>236</v>
      </c>
    </row>
    <row r="303" spans="1:5" ht="54.65" customHeight="1">
      <c r="C303" s="184" t="s">
        <v>309</v>
      </c>
      <c r="D303" s="185"/>
      <c r="E303" s="184" t="s">
        <v>310</v>
      </c>
    </row>
    <row r="304" spans="1:5" ht="17.5">
      <c r="C304" s="1536" t="s">
        <v>302</v>
      </c>
      <c r="D304" s="1536"/>
      <c r="E304" s="1536"/>
    </row>
    <row r="307" spans="1:7">
      <c r="G307" s="179" t="s">
        <v>311</v>
      </c>
    </row>
    <row r="318" spans="1:7" ht="23">
      <c r="A318" s="180" t="s">
        <v>204</v>
      </c>
      <c r="C318" s="1535" t="s">
        <v>284</v>
      </c>
      <c r="D318" s="1535"/>
      <c r="E318" s="1535"/>
    </row>
    <row r="319" spans="1:7" ht="4.5" customHeight="1"/>
    <row r="320" spans="1:7" ht="18">
      <c r="C320" s="182" t="s">
        <v>235</v>
      </c>
      <c r="D320" s="183"/>
      <c r="E320" s="182" t="s">
        <v>236</v>
      </c>
    </row>
    <row r="321" spans="1:5" ht="54.65" customHeight="1">
      <c r="C321" s="184" t="s">
        <v>322</v>
      </c>
      <c r="D321" s="185"/>
      <c r="E321" s="184" t="s">
        <v>323</v>
      </c>
    </row>
    <row r="322" spans="1:5" ht="17.5">
      <c r="C322" s="1536" t="s">
        <v>324</v>
      </c>
      <c r="D322" s="1536"/>
      <c r="E322" s="1536"/>
    </row>
    <row r="335" spans="1:5" ht="23">
      <c r="A335" s="195">
        <v>240624005</v>
      </c>
      <c r="B335" s="179" t="s">
        <v>182</v>
      </c>
      <c r="C335" s="1535" t="s">
        <v>312</v>
      </c>
      <c r="D335" s="1535"/>
      <c r="E335" s="1535"/>
    </row>
    <row r="336" spans="1:5" ht="4.5" customHeight="1"/>
    <row r="337" spans="1:5" ht="18">
      <c r="A337" s="179">
        <v>24</v>
      </c>
      <c r="C337" s="182" t="s">
        <v>235</v>
      </c>
      <c r="D337" s="183"/>
      <c r="E337" s="182" t="s">
        <v>236</v>
      </c>
    </row>
    <row r="338" spans="1:5" ht="84.65" customHeight="1">
      <c r="C338" s="184" t="s">
        <v>313</v>
      </c>
      <c r="D338" s="185"/>
      <c r="E338" s="184" t="s">
        <v>314</v>
      </c>
    </row>
    <row r="339" spans="1:5" s="196" customFormat="1" ht="26.9" customHeight="1">
      <c r="C339" s="1537" t="s">
        <v>287</v>
      </c>
      <c r="D339" s="1537"/>
      <c r="E339" s="1537"/>
    </row>
    <row r="361" spans="1:5" ht="23">
      <c r="A361" s="180" t="s">
        <v>196</v>
      </c>
      <c r="C361" s="1535" t="s">
        <v>321</v>
      </c>
      <c r="D361" s="1535"/>
      <c r="E361" s="1535"/>
    </row>
    <row r="363" spans="1:5" ht="18">
      <c r="C363" s="182" t="s">
        <v>235</v>
      </c>
      <c r="D363" s="183"/>
      <c r="E363" s="182" t="s">
        <v>236</v>
      </c>
    </row>
    <row r="364" spans="1:5" ht="87.5">
      <c r="C364" s="184" t="s">
        <v>315</v>
      </c>
      <c r="D364" s="185"/>
      <c r="E364" s="184" t="s">
        <v>319</v>
      </c>
    </row>
    <row r="365" spans="1:5" ht="17.5">
      <c r="C365" s="1536" t="s">
        <v>316</v>
      </c>
      <c r="D365" s="1536"/>
      <c r="E365" s="1536"/>
    </row>
    <row r="372" spans="1:5" ht="23">
      <c r="C372" s="1534"/>
      <c r="D372" s="1534"/>
      <c r="E372" s="1534"/>
    </row>
    <row r="373" spans="1:5" ht="23">
      <c r="C373" s="1535" t="s">
        <v>320</v>
      </c>
      <c r="D373" s="1535"/>
      <c r="E373" s="1535"/>
    </row>
    <row r="374" spans="1:5" ht="18">
      <c r="C374" s="182" t="s">
        <v>235</v>
      </c>
      <c r="D374" s="183"/>
      <c r="E374" s="182" t="s">
        <v>236</v>
      </c>
    </row>
    <row r="375" spans="1:5" ht="105">
      <c r="A375" s="180" t="s">
        <v>197</v>
      </c>
      <c r="C375" s="184" t="s">
        <v>317</v>
      </c>
      <c r="D375" s="185"/>
      <c r="E375" s="184" t="s">
        <v>318</v>
      </c>
    </row>
    <row r="376" spans="1:5" ht="17.5">
      <c r="C376" s="1536" t="s">
        <v>316</v>
      </c>
      <c r="D376" s="1536"/>
      <c r="E376" s="1536"/>
    </row>
    <row r="383" spans="1:5" ht="23">
      <c r="C383" s="1534"/>
      <c r="D383" s="1534"/>
      <c r="E383" s="1534"/>
    </row>
    <row r="384" spans="1:5" ht="23">
      <c r="A384" s="195">
        <v>240628008</v>
      </c>
      <c r="C384" s="1535" t="s">
        <v>348</v>
      </c>
      <c r="D384" s="1535"/>
      <c r="E384" s="1535"/>
    </row>
    <row r="385" spans="3:5" ht="18">
      <c r="C385" s="182" t="s">
        <v>235</v>
      </c>
      <c r="D385" s="183"/>
      <c r="E385" s="182" t="s">
        <v>236</v>
      </c>
    </row>
    <row r="386" spans="3:5" ht="53.9" customHeight="1">
      <c r="C386" s="184" t="s">
        <v>349</v>
      </c>
      <c r="D386" s="185"/>
      <c r="E386" s="184" t="s">
        <v>350</v>
      </c>
    </row>
    <row r="387" spans="3:5" ht="17.5">
      <c r="C387" s="1536" t="s">
        <v>316</v>
      </c>
      <c r="D387" s="1536"/>
      <c r="E387" s="1536"/>
    </row>
    <row r="394" spans="3:5" ht="23">
      <c r="C394" s="1534"/>
      <c r="D394" s="1534"/>
      <c r="E394" s="1534"/>
    </row>
    <row r="410" spans="1:5" ht="23">
      <c r="A410" s="195">
        <v>240824002</v>
      </c>
      <c r="C410" s="1535" t="s">
        <v>351</v>
      </c>
      <c r="D410" s="1535"/>
      <c r="E410" s="1535"/>
    </row>
    <row r="411" spans="1:5" ht="18">
      <c r="C411" s="182" t="s">
        <v>235</v>
      </c>
      <c r="D411" s="183"/>
      <c r="E411" s="182" t="s">
        <v>236</v>
      </c>
    </row>
    <row r="412" spans="1:5" ht="53.9" customHeight="1">
      <c r="C412" s="184" t="s">
        <v>352</v>
      </c>
      <c r="D412" s="185"/>
      <c r="E412" s="184" t="s">
        <v>353</v>
      </c>
    </row>
    <row r="413" spans="1:5" ht="17.5">
      <c r="C413" s="1536" t="s">
        <v>316</v>
      </c>
      <c r="D413" s="1536"/>
      <c r="E413" s="1536"/>
    </row>
    <row r="420" spans="3:5" ht="23">
      <c r="C420" s="1534"/>
      <c r="D420" s="1534"/>
      <c r="E420" s="1534"/>
    </row>
    <row r="438" spans="1:5" ht="23">
      <c r="A438" s="195">
        <v>240523002</v>
      </c>
      <c r="C438" s="1535">
        <v>21</v>
      </c>
      <c r="D438" s="1535"/>
      <c r="E438" s="1535"/>
    </row>
    <row r="439" spans="1:5" ht="18">
      <c r="C439" s="182" t="s">
        <v>235</v>
      </c>
      <c r="D439" s="183"/>
      <c r="E439" s="182" t="s">
        <v>236</v>
      </c>
    </row>
    <row r="440" spans="1:5" ht="53.9" customHeight="1">
      <c r="C440" s="184"/>
      <c r="D440" s="185"/>
      <c r="E440" s="184"/>
    </row>
    <row r="441" spans="1:5" ht="17.5">
      <c r="C441" s="1536" t="s">
        <v>316</v>
      </c>
      <c r="D441" s="1536"/>
      <c r="E441" s="1536"/>
    </row>
    <row r="448" spans="1:5" ht="23">
      <c r="C448" s="1534"/>
      <c r="D448" s="1534"/>
      <c r="E448" s="1534"/>
    </row>
  </sheetData>
  <mergeCells count="48">
    <mergeCell ref="C383:E383"/>
    <mergeCell ref="C384:E384"/>
    <mergeCell ref="C387:E387"/>
    <mergeCell ref="C394:E394"/>
    <mergeCell ref="C93:E93"/>
    <mergeCell ref="C110:E110"/>
    <mergeCell ref="C114:E114"/>
    <mergeCell ref="C273:E273"/>
    <mergeCell ref="C300:E300"/>
    <mergeCell ref="C135:E135"/>
    <mergeCell ref="C160:E160"/>
    <mergeCell ref="C218:E218"/>
    <mergeCell ref="C246:E246"/>
    <mergeCell ref="C189:E189"/>
    <mergeCell ref="C139:E139"/>
    <mergeCell ref="C164:E164"/>
    <mergeCell ref="C3:E3"/>
    <mergeCell ref="C4:E4"/>
    <mergeCell ref="C8:E8"/>
    <mergeCell ref="C22:E22"/>
    <mergeCell ref="C25:E25"/>
    <mergeCell ref="C28:E28"/>
    <mergeCell ref="C32:E32"/>
    <mergeCell ref="C46:E46"/>
    <mergeCell ref="C50:E50"/>
    <mergeCell ref="C66:E66"/>
    <mergeCell ref="C70:E70"/>
    <mergeCell ref="C372:E372"/>
    <mergeCell ref="C373:E373"/>
    <mergeCell ref="C365:E365"/>
    <mergeCell ref="C376:E376"/>
    <mergeCell ref="C304:E304"/>
    <mergeCell ref="C335:E335"/>
    <mergeCell ref="C322:E322"/>
    <mergeCell ref="C339:E339"/>
    <mergeCell ref="C361:E361"/>
    <mergeCell ref="C318:E318"/>
    <mergeCell ref="C194:E194"/>
    <mergeCell ref="C222:E222"/>
    <mergeCell ref="C250:E250"/>
    <mergeCell ref="C277:E277"/>
    <mergeCell ref="C89:E89"/>
    <mergeCell ref="C448:E448"/>
    <mergeCell ref="C410:E410"/>
    <mergeCell ref="C413:E413"/>
    <mergeCell ref="C420:E420"/>
    <mergeCell ref="C438:E438"/>
    <mergeCell ref="C441:E441"/>
  </mergeCells>
  <hyperlinks>
    <hyperlink ref="A3" location="'GTTK chung'!A9" display="2023-SANXUAT-TK-303 " xr:uid="{279BEB7C-DBB1-4899-B7EC-2847F79092BD}"/>
    <hyperlink ref="A22" location="'GTTK chung'!A10" display="2023-SANXUAT-TK-706 " xr:uid="{A7DD523B-0FFF-40F2-8ECA-C9CE7700EB32}"/>
    <hyperlink ref="A28" location="'GTTK chung'!A15" display="2023-VANPHONG-TK-466 " xr:uid="{23ABA998-CFD0-46AF-BC7B-EC663B01E200}"/>
    <hyperlink ref="A46" location="'GTTK chung'!A16" display="RECKT-23.182.045" xr:uid="{9B88BEB9-DA0F-44E6-9835-E32860DAB6E4}"/>
    <hyperlink ref="A66" location="'GTTK chung'!A11" display="2023-SANXUAT-TK-705 " xr:uid="{978A3C41-22F6-4847-8EB9-CB17AFA801CF}"/>
    <hyperlink ref="A89" location="'GTTK chung'!A17" display="2023-VANPHONG-TK-560" xr:uid="{DBEA7723-8E0F-4357-93F8-9B1BF17E74DA}"/>
    <hyperlink ref="A110" location="'GTTK chung'!A11" display="2023-SANXUAT-TK-705 " xr:uid="{E5BC52B8-7ECE-4902-9C87-95F87ACB24F3}"/>
    <hyperlink ref="A135" location="'GTTK chung'!A14" display="2024-SANXUAT-TK-186" xr:uid="{F016A2C3-927C-497E-8169-6DB1D1634382}"/>
    <hyperlink ref="A160" location="'GTTK chung'!A21" display="2024-KT-CTST-64" xr:uid="{43FE2DFC-7CC7-4543-99AA-ECB949726175}"/>
    <hyperlink ref="A189" location="'GTTK chung'!A22" display="2024-KT-CTST-56" xr:uid="{20C6D060-EBD8-437C-8981-C08A7D0A35BA}"/>
    <hyperlink ref="A218" location="'GTTK chung'!A15" display="2024-NL-CTST-63" xr:uid="{611DC5B0-5151-4E88-9F83-C83B1024C06E}"/>
    <hyperlink ref="A246" location="'GTTK chung'!A25" display="2024-DTR-TK-206" xr:uid="{CEA050B2-E923-4B7D-AF7B-C41ED065E45C}"/>
    <hyperlink ref="A273" location="'GTTK chung'!A26" display="2024-KT-TK-182" xr:uid="{EFDA5B18-7914-437E-9A22-FDEE31BD1FB8}"/>
    <hyperlink ref="A300" location="'GTTK chung'!A27" display="2024-KT-TK-290" xr:uid="{CA7053F6-2865-423A-9593-D55C9B3FCCBE}"/>
    <hyperlink ref="A318" location="'GTTK chung'!A24" display="2024-KT-TK-39" xr:uid="{5C8D2010-FD79-479B-A844-1890CBC4E759}"/>
    <hyperlink ref="A335" location="'GTTK chung'!B32" display="'GTTK chung'!B32" xr:uid="{3ACEA514-5CB0-4F2E-9B72-EE8DD540A9D1}"/>
    <hyperlink ref="A361" location="'GTTK chung'!A12" display="2024-SANXUAT-TK-180" xr:uid="{AD4E83DF-6EA5-45C2-935E-7D945792E64D}"/>
    <hyperlink ref="A375" location="'GTTK chung'!A13" display="2024-SANXUAT-TK-183" xr:uid="{E235CE20-302C-4C80-A5D7-E296AF8BF005}"/>
    <hyperlink ref="A384" location="'GTTK chung'!A37" display="'GTTK chung'!A37" xr:uid="{2423C5FA-390F-4214-BF62-EEB83A7E670E}"/>
    <hyperlink ref="A410" location="'GTTK chung'!A36" display="'GTTK chung'!A36" xr:uid="{D157BE87-9C0C-4D87-A9B0-4DBE8405D182}"/>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5D81D-7ECA-4708-ADC4-5A50EF43100E}">
  <sheetPr codeName="Sheet18">
    <tabColor rgb="FF119303"/>
  </sheetPr>
  <dimension ref="A1:AE29"/>
  <sheetViews>
    <sheetView showGridLines="0" zoomScaleNormal="100" workbookViewId="0">
      <pane xSplit="17" ySplit="11" topLeftCell="R12" activePane="bottomRight" state="frozen"/>
      <selection activeCell="AQ3" sqref="AQ3"/>
      <selection pane="topRight" activeCell="AQ3" sqref="AQ3"/>
      <selection pane="bottomLeft" activeCell="AQ3" sqref="AQ3"/>
      <selection pane="bottomRight" activeCell="AQ3" sqref="AQ3"/>
    </sheetView>
  </sheetViews>
  <sheetFormatPr defaultColWidth="8.54296875" defaultRowHeight="14" outlineLevelCol="1"/>
  <cols>
    <col min="1" max="1" width="5.54296875" style="156" customWidth="1"/>
    <col min="2" max="2" width="62" style="156" customWidth="1"/>
    <col min="3" max="3" width="11.453125" style="156" customWidth="1"/>
    <col min="4" max="15" width="11.453125" style="156" hidden="1" customWidth="1" outlineLevel="1"/>
    <col min="16" max="16" width="11.90625" style="156" customWidth="1" collapsed="1"/>
    <col min="17" max="17" width="11.90625" style="156" customWidth="1"/>
    <col min="18" max="18" width="13" style="156" customWidth="1"/>
    <col min="19" max="28" width="11.453125" style="156" customWidth="1"/>
    <col min="29" max="29" width="11" style="156" customWidth="1"/>
    <col min="30" max="30" width="8.54296875" style="156"/>
    <col min="31" max="31" width="11.54296875" style="156" customWidth="1"/>
    <col min="32" max="16384" width="8.54296875" style="156"/>
  </cols>
  <sheetData>
    <row r="1" spans="1:31" s="200" customFormat="1" ht="16.5">
      <c r="A1" s="199" t="s">
        <v>355</v>
      </c>
      <c r="B1" s="199" t="str">
        <f>"TÌNH HÌNH THỰC HIỆN CẢI TIẾN ĐẾN THÁNG "&amp;TEXT(Mth_PP,"00")&amp;" /2025"</f>
        <v>TÌNH HÌNH THỰC HIỆN CẢI TIẾN ĐẾN THÁNG 12 /2025</v>
      </c>
      <c r="S1" s="353"/>
      <c r="Y1" s="353"/>
      <c r="AE1" s="353"/>
    </row>
    <row r="3" spans="1:31">
      <c r="A3" s="222" t="s">
        <v>0</v>
      </c>
      <c r="B3" s="223" t="s">
        <v>356</v>
      </c>
      <c r="C3" s="222" t="s">
        <v>700</v>
      </c>
    </row>
    <row r="4" spans="1:31">
      <c r="A4" s="226">
        <v>1</v>
      </c>
      <c r="B4" s="227" t="s">
        <v>699</v>
      </c>
      <c r="C4" s="971">
        <f>Q21</f>
        <v>50000</v>
      </c>
    </row>
    <row r="5" spans="1:31">
      <c r="A5" s="228">
        <v>2</v>
      </c>
      <c r="B5" s="229" t="s">
        <v>702</v>
      </c>
      <c r="C5" s="967">
        <f>C4/Q24</f>
        <v>2.4225368367420546E-2</v>
      </c>
    </row>
    <row r="6" spans="1:31">
      <c r="A6" s="228">
        <v>3</v>
      </c>
      <c r="B6" s="229" t="str">
        <f>"Giá trị tiết kiệm thực hiện lũy kế đến T"&amp;Mth_PP&amp;"/2025 (tỷ)"</f>
        <v>Giá trị tiết kiệm thực hiện lũy kế đến T12/2025 (tỷ)</v>
      </c>
      <c r="C6" s="968">
        <f>Q14</f>
        <v>38926.054211246483</v>
      </c>
    </row>
    <row r="7" spans="1:31">
      <c r="A7" s="228">
        <v>4</v>
      </c>
      <c r="B7" s="229" t="s">
        <v>539</v>
      </c>
      <c r="C7" s="969">
        <f>Q18</f>
        <v>2.5289750375767448E-2</v>
      </c>
    </row>
    <row r="8" spans="1:31">
      <c r="A8" s="230">
        <v>5</v>
      </c>
      <c r="B8" s="231" t="str">
        <f>"Đến tháng "&amp;Mth_PP&amp;" tỷ lệ % hoàn thành mục tiêu giá trị tiết kiệm 2025:"</f>
        <v>Đến tháng 12 tỷ lệ % hoàn thành mục tiêu giá trị tiết kiệm 2025:</v>
      </c>
      <c r="C8" s="970">
        <f>C6/C4</f>
        <v>0.7785210842249296</v>
      </c>
      <c r="Q8" s="1351"/>
    </row>
    <row r="9" spans="1:31">
      <c r="A9" s="232"/>
      <c r="Q9" s="218"/>
    </row>
    <row r="10" spans="1:31">
      <c r="E10" s="232"/>
      <c r="R10" s="207">
        <v>1</v>
      </c>
      <c r="S10" s="207">
        <v>2</v>
      </c>
      <c r="T10" s="207">
        <v>3</v>
      </c>
      <c r="U10" s="207">
        <v>4</v>
      </c>
      <c r="V10" s="207">
        <v>5</v>
      </c>
      <c r="W10" s="207">
        <v>6</v>
      </c>
      <c r="X10" s="207">
        <v>7</v>
      </c>
      <c r="Y10" s="207">
        <v>8</v>
      </c>
      <c r="Z10" s="207">
        <v>9</v>
      </c>
      <c r="AA10" s="207">
        <v>10</v>
      </c>
      <c r="AB10" s="207">
        <v>11</v>
      </c>
      <c r="AC10" s="207">
        <v>12</v>
      </c>
    </row>
    <row r="11" spans="1:31">
      <c r="A11" s="203" t="s">
        <v>0</v>
      </c>
      <c r="B11" s="204" t="s">
        <v>211</v>
      </c>
      <c r="C11" s="785">
        <v>2023</v>
      </c>
      <c r="D11" s="782" t="s">
        <v>357</v>
      </c>
      <c r="E11" s="782" t="s">
        <v>7</v>
      </c>
      <c r="F11" s="782" t="s">
        <v>8</v>
      </c>
      <c r="G11" s="782" t="s">
        <v>9</v>
      </c>
      <c r="H11" s="782" t="s">
        <v>10</v>
      </c>
      <c r="I11" s="782" t="s">
        <v>11</v>
      </c>
      <c r="J11" s="782" t="s">
        <v>12</v>
      </c>
      <c r="K11" s="782" t="s">
        <v>13</v>
      </c>
      <c r="L11" s="782" t="s">
        <v>14</v>
      </c>
      <c r="M11" s="782" t="s">
        <v>15</v>
      </c>
      <c r="N11" s="782" t="s">
        <v>16</v>
      </c>
      <c r="O11" s="782" t="s">
        <v>17</v>
      </c>
      <c r="P11" s="785">
        <v>2024</v>
      </c>
      <c r="Q11" s="205" t="s">
        <v>697</v>
      </c>
      <c r="R11" s="779" t="s">
        <v>698</v>
      </c>
      <c r="S11" s="779" t="s">
        <v>7</v>
      </c>
      <c r="T11" s="779" t="s">
        <v>8</v>
      </c>
      <c r="U11" s="779" t="s">
        <v>9</v>
      </c>
      <c r="V11" s="779" t="s">
        <v>10</v>
      </c>
      <c r="W11" s="779" t="s">
        <v>11</v>
      </c>
      <c r="X11" s="779" t="s">
        <v>12</v>
      </c>
      <c r="Y11" s="779" t="s">
        <v>13</v>
      </c>
      <c r="Z11" s="779" t="s">
        <v>14</v>
      </c>
      <c r="AA11" s="779" t="s">
        <v>15</v>
      </c>
      <c r="AB11" s="779" t="s">
        <v>16</v>
      </c>
      <c r="AC11" s="780" t="s">
        <v>17</v>
      </c>
    </row>
    <row r="12" spans="1:31">
      <c r="A12" s="173">
        <v>1</v>
      </c>
      <c r="B12" s="174" t="s">
        <v>212</v>
      </c>
      <c r="C12" s="555">
        <v>15</v>
      </c>
      <c r="D12" s="555">
        <v>16</v>
      </c>
      <c r="E12" s="555">
        <v>2</v>
      </c>
      <c r="F12" s="555">
        <v>14</v>
      </c>
      <c r="G12" s="555">
        <v>13</v>
      </c>
      <c r="H12" s="555">
        <v>15</v>
      </c>
      <c r="I12" s="555">
        <v>37</v>
      </c>
      <c r="J12" s="555">
        <v>27</v>
      </c>
      <c r="K12" s="555">
        <v>27</v>
      </c>
      <c r="L12" s="555">
        <v>29</v>
      </c>
      <c r="M12" s="555">
        <v>25</v>
      </c>
      <c r="N12" s="555">
        <v>41</v>
      </c>
      <c r="O12" s="555">
        <v>21</v>
      </c>
      <c r="P12" s="555">
        <f>SUM(D12:O12)</f>
        <v>267</v>
      </c>
      <c r="Q12" s="556">
        <f>SUM(R12:AC12)</f>
        <v>250</v>
      </c>
      <c r="R12" s="554">
        <v>3</v>
      </c>
      <c r="S12" s="554">
        <v>3</v>
      </c>
      <c r="T12" s="554">
        <v>22</v>
      </c>
      <c r="U12" s="554">
        <v>42</v>
      </c>
      <c r="V12" s="554">
        <v>44</v>
      </c>
      <c r="W12" s="554">
        <v>24</v>
      </c>
      <c r="X12" s="554">
        <v>20</v>
      </c>
      <c r="Y12" s="554">
        <v>17</v>
      </c>
      <c r="Z12" s="557">
        <v>15</v>
      </c>
      <c r="AA12" s="557">
        <v>10</v>
      </c>
      <c r="AB12" s="557">
        <v>25</v>
      </c>
      <c r="AC12" s="557">
        <v>25</v>
      </c>
    </row>
    <row r="13" spans="1:31" s="206" customFormat="1" ht="18.649999999999999" customHeight="1">
      <c r="A13" s="216">
        <v>2</v>
      </c>
      <c r="B13" s="217" t="s">
        <v>358</v>
      </c>
      <c r="C13" s="558">
        <v>15</v>
      </c>
      <c r="D13" s="558">
        <v>8</v>
      </c>
      <c r="E13" s="558">
        <v>2</v>
      </c>
      <c r="F13" s="558">
        <v>2</v>
      </c>
      <c r="G13" s="558">
        <v>2</v>
      </c>
      <c r="H13" s="558">
        <v>4</v>
      </c>
      <c r="I13" s="558">
        <v>1</v>
      </c>
      <c r="J13" s="558">
        <v>4</v>
      </c>
      <c r="K13" s="558">
        <v>2</v>
      </c>
      <c r="L13" s="558">
        <v>4</v>
      </c>
      <c r="M13" s="558">
        <v>2</v>
      </c>
      <c r="N13" s="558">
        <v>9</v>
      </c>
      <c r="O13" s="558">
        <v>5</v>
      </c>
      <c r="P13" s="558">
        <f>SUM(D13:O13)</f>
        <v>45</v>
      </c>
      <c r="Q13" s="783">
        <f>SUM(R13:AC13)</f>
        <v>78</v>
      </c>
      <c r="R13" s="558">
        <v>3</v>
      </c>
      <c r="S13" s="558">
        <v>3</v>
      </c>
      <c r="T13" s="558">
        <v>8</v>
      </c>
      <c r="U13" s="558">
        <v>9</v>
      </c>
      <c r="V13" s="558">
        <v>9</v>
      </c>
      <c r="W13" s="558">
        <v>9</v>
      </c>
      <c r="X13" s="558">
        <v>6</v>
      </c>
      <c r="Y13" s="558">
        <v>7</v>
      </c>
      <c r="Z13" s="559">
        <v>7</v>
      </c>
      <c r="AA13" s="559">
        <v>4</v>
      </c>
      <c r="AB13" s="559">
        <v>6</v>
      </c>
      <c r="AC13" s="559">
        <v>7</v>
      </c>
    </row>
    <row r="14" spans="1:31" ht="18.649999999999999" customHeight="1">
      <c r="A14" s="175">
        <v>3</v>
      </c>
      <c r="B14" s="176" t="s">
        <v>213</v>
      </c>
      <c r="C14" s="560">
        <v>8910</v>
      </c>
      <c r="D14" s="560">
        <f>'GTTK chung'!AX143/10^6</f>
        <v>1373.0045449180741</v>
      </c>
      <c r="E14" s="560">
        <f>'GTTK chung'!AY143/10^6</f>
        <v>800.0397298938243</v>
      </c>
      <c r="F14" s="560">
        <f>'GTTK chung'!AZ143/10^6</f>
        <v>1588.4741873301414</v>
      </c>
      <c r="G14" s="560">
        <f>'GTTK chung'!BA143/10^6</f>
        <v>1473.7038815787707</v>
      </c>
      <c r="H14" s="560">
        <f>'GTTK chung'!BB143/10^6</f>
        <v>1692.352298450118</v>
      </c>
      <c r="I14" s="560">
        <f>'GTTK chung'!BC143/10^6</f>
        <v>1461.3108600632602</v>
      </c>
      <c r="J14" s="560">
        <f>'GTTK chung'!BD143/10^6</f>
        <v>2024.4785582500501</v>
      </c>
      <c r="K14" s="560">
        <f>'GTTK chung'!BE143/10^6</f>
        <v>5210.0132612825073</v>
      </c>
      <c r="L14" s="560">
        <f>'GTTK chung'!BF143/10^6</f>
        <v>8720.2272588109554</v>
      </c>
      <c r="M14" s="560">
        <f>'GTTK chung'!BG143/10^6</f>
        <v>2940.1261205922979</v>
      </c>
      <c r="N14" s="560">
        <f>'GTTK chung'!BH143/10^6</f>
        <v>4517.3693241431811</v>
      </c>
      <c r="O14" s="560">
        <f>'GTTK chung'!BI143/10^6</f>
        <v>3832.2541598875473</v>
      </c>
      <c r="P14" s="560">
        <f>SUM(D14:O14)</f>
        <v>35633.354185200726</v>
      </c>
      <c r="Q14" s="561">
        <f>SUM(R14:AC14)</f>
        <v>38926.054211246483</v>
      </c>
      <c r="R14" s="562">
        <f>IF(Mth_PP&gt;=R$10,'GTTK chung'!AJ143/10^6,0)</f>
        <v>2819.4198219999998</v>
      </c>
      <c r="S14" s="562">
        <f>IF(Mth_PP&gt;=S$10,'GTTK chung'!AK143/10^6,0)</f>
        <v>3540.6355283649859</v>
      </c>
      <c r="T14" s="562">
        <f>IF(Mth_PP&gt;=T$10,'GTTK chung'!AL143/10^6,0)</f>
        <v>1384.2882353750001</v>
      </c>
      <c r="U14" s="562">
        <f>IF(Mth_PP&gt;=U$10,'GTTK chung'!AM143/10^6,0)</f>
        <v>2451.4173852199997</v>
      </c>
      <c r="V14" s="562">
        <f>IF(Mth_PP&gt;=V$10,'GTTK chung'!AN143/10^6,0)</f>
        <v>6343.040555999999</v>
      </c>
      <c r="W14" s="562">
        <f>IF(Mth_PP&gt;=W$10,'GTTK chung'!AO143/10^6,0)</f>
        <v>3559.9330220799998</v>
      </c>
      <c r="X14" s="562">
        <f>IF(Mth_PP&gt;=X$10,'GTTK chung'!AP143/10^6,0)</f>
        <v>3634.5070939999987</v>
      </c>
      <c r="Y14" s="562">
        <f>IF(Mth_PP&gt;=Y$10,'GTTK chung'!AQ143/10^6,0)</f>
        <v>5611.785194206499</v>
      </c>
      <c r="Z14" s="562">
        <f>IF(Mth_PP&gt;=Z$10,'GTTK chung'!AR143/10^6,0)</f>
        <v>2951.3403479999997</v>
      </c>
      <c r="AA14" s="562">
        <f>IF(Mth_PP&gt;=AA$10,'GTTK chung'!AS143/10^6,0)</f>
        <v>2936.5570029999994</v>
      </c>
      <c r="AB14" s="562">
        <f>IF(Mth_PP&gt;=AB$10,'GTTK chung'!AT143/10^6,0)</f>
        <v>2089.5899810000001</v>
      </c>
      <c r="AC14" s="562">
        <f>IF(Mth_PP&gt;=AC$10,'GTTK chung'!AU143/10^6,0)</f>
        <v>1603.5400420000001</v>
      </c>
    </row>
    <row r="15" spans="1:31" ht="18.649999999999999" customHeight="1">
      <c r="A15" s="175">
        <v>4</v>
      </c>
      <c r="B15" s="176" t="s">
        <v>214</v>
      </c>
      <c r="C15" s="563"/>
      <c r="D15" s="560">
        <f>'GTTK chung'!AX147/10^6</f>
        <v>1133.6666663333333</v>
      </c>
      <c r="E15" s="560">
        <f>'GTTK chung'!AY147/10^6</f>
        <v>1173.6666663333333</v>
      </c>
      <c r="F15" s="560">
        <f>'GTTK chung'!AZ147/10^6</f>
        <v>1283.6666663333333</v>
      </c>
      <c r="G15" s="560">
        <f>'GTTK chung'!BA147/10^6</f>
        <v>1283.6666663333333</v>
      </c>
      <c r="H15" s="560">
        <f>'GTTK chung'!BB147/10^6</f>
        <v>1283.6666663333333</v>
      </c>
      <c r="I15" s="560">
        <f>'GTTK chung'!BC147/10^6</f>
        <v>2535.095237333333</v>
      </c>
      <c r="J15" s="560">
        <f>'GTTK chung'!BD147/10^6</f>
        <v>1825.0952373333332</v>
      </c>
      <c r="K15" s="560">
        <f>'GTTK chung'!BE147/10^6</f>
        <v>1825.0952373333332</v>
      </c>
      <c r="L15" s="560">
        <f>'GTTK chung'!BF147/10^6</f>
        <v>1825.0952373333332</v>
      </c>
      <c r="M15" s="560">
        <f>'GTTK chung'!BG147/10^6</f>
        <v>1625.0952373333332</v>
      </c>
      <c r="N15" s="560">
        <f>'GTTK chung'!BH147/10^6</f>
        <v>1625.0952373333332</v>
      </c>
      <c r="O15" s="560">
        <f>'GTTK chung'!BI147/10^6</f>
        <v>5385.095237333333</v>
      </c>
      <c r="P15" s="560">
        <f>SUM(D15:O15)</f>
        <v>22803.999992999998</v>
      </c>
      <c r="Q15" s="561">
        <f>SUM(R15:AC15)</f>
        <v>50000</v>
      </c>
      <c r="R15" s="562">
        <f>IF(Mth_PP&gt;=R$10,'GTTK chung'!AJ147/10^6,0)</f>
        <v>2980</v>
      </c>
      <c r="S15" s="562">
        <f>IF(Mth_PP&gt;=S$10,'GTTK chung'!AK147/10^6,0)</f>
        <v>2990</v>
      </c>
      <c r="T15" s="562">
        <f>IF(Mth_PP&gt;=T$10,'GTTK chung'!AL147/10^6,0)</f>
        <v>4459</v>
      </c>
      <c r="U15" s="562">
        <f>IF(Mth_PP&gt;=U$10,'GTTK chung'!AM147/10^6,0)</f>
        <v>3365</v>
      </c>
      <c r="V15" s="562">
        <f>IF(Mth_PP&gt;=V$10,'GTTK chung'!AN147/10^6,0)</f>
        <v>3355</v>
      </c>
      <c r="W15" s="562">
        <f>IF(Mth_PP&gt;=W$10,'GTTK chung'!AO147/10^6,0)</f>
        <v>6159</v>
      </c>
      <c r="X15" s="562">
        <f>IF(Mth_PP&gt;=X$10,'GTTK chung'!AP147/10^6,0)</f>
        <v>3415</v>
      </c>
      <c r="Y15" s="562">
        <f>IF(Mth_PP&gt;=Y$10,'GTTK chung'!AQ147/10^6,0)</f>
        <v>3510</v>
      </c>
      <c r="Z15" s="562">
        <f>IF(Mth_PP&gt;=Z$10,'GTTK chung'!AR147/10^6,0)</f>
        <v>4614</v>
      </c>
      <c r="AA15" s="562">
        <f>IF(Mth_PP&gt;=AA$10,'GTTK chung'!AS147/10^6,0)</f>
        <v>3365</v>
      </c>
      <c r="AB15" s="562">
        <f>IF(Mth_PP&gt;=AB$10,'GTTK chung'!AT147/10^6,0)</f>
        <v>3420</v>
      </c>
      <c r="AC15" s="562">
        <f>IF(Mth_PP&gt;=AC$10,'GTTK chung'!AU147/10^6,0)</f>
        <v>8368</v>
      </c>
    </row>
    <row r="16" spans="1:31" ht="18.649999999999999" customHeight="1">
      <c r="A16" s="208">
        <v>5</v>
      </c>
      <c r="B16" s="209" t="s">
        <v>359</v>
      </c>
      <c r="C16" s="210"/>
      <c r="D16" s="210">
        <f t="shared" ref="D16:O16" si="0">IFERROR(D14/D15,0)</f>
        <v>1.2111183875228877</v>
      </c>
      <c r="E16" s="210">
        <f t="shared" si="0"/>
        <v>0.6816583897651608</v>
      </c>
      <c r="F16" s="210">
        <f t="shared" si="0"/>
        <v>1.2374506785842314</v>
      </c>
      <c r="G16" s="210">
        <f t="shared" si="0"/>
        <v>1.1480424943870047</v>
      </c>
      <c r="H16" s="210">
        <f t="shared" si="0"/>
        <v>1.3183736423445152</v>
      </c>
      <c r="I16" s="210">
        <f t="shared" si="0"/>
        <v>0.57643233222291612</v>
      </c>
      <c r="J16" s="210">
        <f t="shared" si="0"/>
        <v>1.1092454337933828</v>
      </c>
      <c r="K16" s="210">
        <f t="shared" si="0"/>
        <v>2.8546528174030605</v>
      </c>
      <c r="L16" s="210">
        <f t="shared" si="0"/>
        <v>4.777957380214402</v>
      </c>
      <c r="M16" s="210">
        <f t="shared" si="0"/>
        <v>1.8092023489139244</v>
      </c>
      <c r="N16" s="210">
        <f t="shared" si="0"/>
        <v>2.7797566692496534</v>
      </c>
      <c r="O16" s="210">
        <f t="shared" si="0"/>
        <v>0.71164092573880955</v>
      </c>
      <c r="P16" s="210">
        <f>IFERROR(P14/P15,0)</f>
        <v>1.5625922731160706</v>
      </c>
      <c r="Q16" s="211">
        <f t="shared" ref="Q16" si="1">IFERROR(Q14/Q15,0)</f>
        <v>0.7785210842249296</v>
      </c>
      <c r="R16" s="210">
        <f>IFERROR(R14/R15,0)</f>
        <v>0.94611403422818785</v>
      </c>
      <c r="S16" s="210">
        <f t="shared" ref="S16:Z16" si="2">IFERROR(S14/S15,0)</f>
        <v>1.1841590395869519</v>
      </c>
      <c r="T16" s="210">
        <f t="shared" si="2"/>
        <v>0.3104481353162144</v>
      </c>
      <c r="U16" s="210">
        <f t="shared" si="2"/>
        <v>0.72850442354234757</v>
      </c>
      <c r="V16" s="210">
        <f t="shared" si="2"/>
        <v>1.8906231165424736</v>
      </c>
      <c r="W16" s="210">
        <f t="shared" si="2"/>
        <v>0.57800503686962168</v>
      </c>
      <c r="X16" s="210">
        <f t="shared" si="2"/>
        <v>1.06427733352855</v>
      </c>
      <c r="Y16" s="210">
        <f t="shared" si="2"/>
        <v>1.5987992006286322</v>
      </c>
      <c r="Z16" s="210">
        <f t="shared" si="2"/>
        <v>0.63964897009102728</v>
      </c>
      <c r="AA16" s="210">
        <f t="shared" ref="AA16:AB16" si="3">IFERROR(AA14/AA15,0)</f>
        <v>0.872676672511144</v>
      </c>
      <c r="AB16" s="210">
        <f t="shared" si="3"/>
        <v>0.6109912225146199</v>
      </c>
      <c r="AC16" s="210">
        <f>IFERROR(AC14/AC15,0)</f>
        <v>0.19162763408221797</v>
      </c>
    </row>
    <row r="17" spans="1:31" ht="18.649999999999999" customHeight="1">
      <c r="A17" s="175">
        <v>6</v>
      </c>
      <c r="B17" s="176" t="s">
        <v>360</v>
      </c>
      <c r="C17" s="560">
        <v>685519.21568599995</v>
      </c>
      <c r="D17" s="560">
        <v>95961.616735999996</v>
      </c>
      <c r="E17" s="560">
        <v>68939.746996000002</v>
      </c>
      <c r="F17" s="560">
        <v>92109.508132999996</v>
      </c>
      <c r="G17" s="560">
        <v>97489.092894000001</v>
      </c>
      <c r="H17" s="560">
        <v>102364.99834400001</v>
      </c>
      <c r="I17" s="560">
        <v>68093.170108999999</v>
      </c>
      <c r="J17" s="560">
        <v>56451.269692000002</v>
      </c>
      <c r="K17" s="560">
        <v>154027.86817199999</v>
      </c>
      <c r="L17" s="560">
        <v>156829.896725</v>
      </c>
      <c r="M17" s="560">
        <v>116812.598746</v>
      </c>
      <c r="N17" s="560">
        <v>76126.139834000001</v>
      </c>
      <c r="O17" s="560">
        <v>105815.33868</v>
      </c>
      <c r="P17" s="560">
        <f>SUM(D17:O17)</f>
        <v>1191021.2450610001</v>
      </c>
      <c r="Q17" s="561">
        <f>SUM(R17:AC17)</f>
        <v>1539202.785036</v>
      </c>
      <c r="R17" s="562">
        <v>114462.510402</v>
      </c>
      <c r="S17" s="562">
        <v>187999.46105899999</v>
      </c>
      <c r="T17" s="562">
        <v>150253.33267999999</v>
      </c>
      <c r="U17" s="562">
        <v>125429.649855</v>
      </c>
      <c r="V17" s="562">
        <v>152067.14285199999</v>
      </c>
      <c r="W17" s="562">
        <v>119134.67279700001</v>
      </c>
      <c r="X17" s="562">
        <v>137991.40689799999</v>
      </c>
      <c r="Y17" s="562">
        <v>168442.653383</v>
      </c>
      <c r="Z17" s="562">
        <v>84710.435066999999</v>
      </c>
      <c r="AA17" s="562">
        <v>108928.55666</v>
      </c>
      <c r="AB17" s="562">
        <v>88347.880802</v>
      </c>
      <c r="AC17" s="562">
        <v>101435.082581</v>
      </c>
      <c r="AD17" s="156" t="s">
        <v>545</v>
      </c>
      <c r="AE17" s="232"/>
    </row>
    <row r="18" spans="1:31" ht="18.649999999999999" customHeight="1">
      <c r="A18" s="212">
        <v>7</v>
      </c>
      <c r="B18" s="213" t="s">
        <v>368</v>
      </c>
      <c r="C18" s="214">
        <f>IFERROR(C14/C17,0)</f>
        <v>1.2997447476485034E-2</v>
      </c>
      <c r="D18" s="214">
        <f t="shared" ref="D18:O18" si="4">IFERROR(D14/D17,0)</f>
        <v>1.4307851322423494E-2</v>
      </c>
      <c r="E18" s="214">
        <f t="shared" si="4"/>
        <v>1.1604912474370467E-2</v>
      </c>
      <c r="F18" s="214">
        <f t="shared" si="4"/>
        <v>1.7245496361097602E-2</v>
      </c>
      <c r="G18" s="214">
        <f t="shared" si="4"/>
        <v>1.5116602666322176E-2</v>
      </c>
      <c r="H18" s="214">
        <f t="shared" si="4"/>
        <v>1.6532528948644418E-2</v>
      </c>
      <c r="I18" s="214">
        <f t="shared" si="4"/>
        <v>2.1460461566469441E-2</v>
      </c>
      <c r="J18" s="214">
        <f t="shared" si="4"/>
        <v>3.5862409637474446E-2</v>
      </c>
      <c r="K18" s="214">
        <f t="shared" si="4"/>
        <v>3.3825133874245308E-2</v>
      </c>
      <c r="L18" s="214">
        <f t="shared" si="4"/>
        <v>5.5603092528344937E-2</v>
      </c>
      <c r="M18" s="214">
        <f t="shared" si="4"/>
        <v>2.5169597733078225E-2</v>
      </c>
      <c r="N18" s="214">
        <f t="shared" si="4"/>
        <v>5.9340580436545415E-2</v>
      </c>
      <c r="O18" s="214">
        <f t="shared" si="4"/>
        <v>3.6216433342209545E-2</v>
      </c>
      <c r="P18" s="214">
        <f>IFERROR(P14/P17,0)</f>
        <v>2.9918319537092477E-2</v>
      </c>
      <c r="Q18" s="215">
        <f t="shared" ref="Q18:W18" si="5">IFERROR(Q14/Q17,0)</f>
        <v>2.5289750375767448E-2</v>
      </c>
      <c r="R18" s="214">
        <f t="shared" si="5"/>
        <v>2.463181885578089E-2</v>
      </c>
      <c r="S18" s="214">
        <f t="shared" si="5"/>
        <v>1.8833221693405951E-2</v>
      </c>
      <c r="T18" s="214">
        <f t="shared" si="5"/>
        <v>9.2130284945038075E-3</v>
      </c>
      <c r="U18" s="214">
        <f t="shared" si="5"/>
        <v>1.9544161911110358E-2</v>
      </c>
      <c r="V18" s="214">
        <f t="shared" si="5"/>
        <v>4.1712104515394172E-2</v>
      </c>
      <c r="W18" s="214">
        <f t="shared" si="5"/>
        <v>2.9881586430727532E-2</v>
      </c>
      <c r="X18" s="214">
        <f>IFERROR(X14/X17,0)</f>
        <v>2.6338648004991652E-2</v>
      </c>
      <c r="Y18" s="214">
        <f>IFERROR(Y14/Y17,0)</f>
        <v>3.3315701703217564E-2</v>
      </c>
      <c r="Z18" s="214">
        <f>IFERROR(Z14/Z17,0)</f>
        <v>3.4840339866814486E-2</v>
      </c>
      <c r="AA18" s="214">
        <f>IFERROR(AA14/AA17,0)</f>
        <v>2.6958559748165117E-2</v>
      </c>
      <c r="AB18" s="214">
        <f t="shared" ref="AB18:AC18" si="6">IFERROR(AB14/AB17,0)</f>
        <v>2.3651840451986216E-2</v>
      </c>
      <c r="AC18" s="214">
        <f t="shared" si="6"/>
        <v>1.5808534889489627E-2</v>
      </c>
    </row>
    <row r="19" spans="1:31">
      <c r="A19" s="177"/>
      <c r="B19" s="177"/>
      <c r="C19" s="177"/>
      <c r="D19" s="177"/>
      <c r="E19" s="177"/>
      <c r="F19" s="177"/>
      <c r="G19" s="177"/>
      <c r="H19" s="177"/>
      <c r="I19" s="177"/>
      <c r="J19" s="177"/>
      <c r="K19" s="177"/>
      <c r="L19" s="177"/>
      <c r="M19" s="177"/>
      <c r="N19" s="177"/>
      <c r="O19" s="177"/>
      <c r="Q19" s="177"/>
      <c r="R19" s="177"/>
      <c r="S19" s="177"/>
      <c r="T19" s="177"/>
      <c r="U19" s="177"/>
      <c r="V19" s="177"/>
      <c r="W19" s="177"/>
      <c r="X19" s="177"/>
      <c r="Y19" s="177"/>
      <c r="Z19" s="177"/>
      <c r="AA19" s="177"/>
      <c r="AB19" s="177"/>
      <c r="AC19" s="177"/>
    </row>
    <row r="21" spans="1:31">
      <c r="B21" s="156" t="s">
        <v>369</v>
      </c>
      <c r="D21" s="218">
        <f>'GTTK chung'!AX147/10^6</f>
        <v>1133.6666663333333</v>
      </c>
      <c r="E21" s="218">
        <f>'GTTK chung'!AY147/10^6</f>
        <v>1173.6666663333333</v>
      </c>
      <c r="F21" s="218">
        <f>'GTTK chung'!AZ147/10^6</f>
        <v>1283.6666663333333</v>
      </c>
      <c r="G21" s="218">
        <f>'GTTK chung'!BA147/10^6</f>
        <v>1283.6666663333333</v>
      </c>
      <c r="H21" s="218">
        <f>'GTTK chung'!BB147/10^6</f>
        <v>1283.6666663333333</v>
      </c>
      <c r="I21" s="218">
        <f>'GTTK chung'!BC147/10^6</f>
        <v>2535.095237333333</v>
      </c>
      <c r="J21" s="218">
        <f>'GTTK chung'!BD147/10^6</f>
        <v>1825.0952373333332</v>
      </c>
      <c r="K21" s="218">
        <f>'GTTK chung'!BE147/10^6</f>
        <v>1825.0952373333332</v>
      </c>
      <c r="L21" s="218">
        <f>'GTTK chung'!BF147/10^6</f>
        <v>1825.0952373333332</v>
      </c>
      <c r="M21" s="218">
        <f>'GTTK chung'!BG147/10^6</f>
        <v>1625.0952373333332</v>
      </c>
      <c r="N21" s="218">
        <f>'GTTK chung'!BH147/10^6</f>
        <v>1625.0952373333332</v>
      </c>
      <c r="O21" s="218">
        <f>'GTTK chung'!BI147/10^6</f>
        <v>5385.095237333333</v>
      </c>
      <c r="P21" s="219">
        <f>SUM(D21:O21)</f>
        <v>22803.999992999998</v>
      </c>
      <c r="Q21" s="219">
        <f>SUM(R21:AC21)</f>
        <v>50000</v>
      </c>
      <c r="R21" s="218">
        <f>'GTTK chung'!AJ147/10^6</f>
        <v>2980</v>
      </c>
      <c r="S21" s="218">
        <f>'GTTK chung'!AK147/10^6</f>
        <v>2990</v>
      </c>
      <c r="T21" s="218">
        <f>'GTTK chung'!AL147/10^6</f>
        <v>4459</v>
      </c>
      <c r="U21" s="218">
        <f>'GTTK chung'!AM147/10^6</f>
        <v>3365</v>
      </c>
      <c r="V21" s="218">
        <f>'GTTK chung'!AN147/10^6</f>
        <v>3355</v>
      </c>
      <c r="W21" s="218">
        <f>'GTTK chung'!AO147/10^6</f>
        <v>6159</v>
      </c>
      <c r="X21" s="218">
        <f>'GTTK chung'!AP147/10^6</f>
        <v>3415</v>
      </c>
      <c r="Y21" s="218">
        <f>'GTTK chung'!AQ147/10^6</f>
        <v>3510</v>
      </c>
      <c r="Z21" s="218">
        <f>'GTTK chung'!AR147/10^6</f>
        <v>4614</v>
      </c>
      <c r="AA21" s="218">
        <f>'GTTK chung'!AS147/10^6</f>
        <v>3365</v>
      </c>
      <c r="AB21" s="218">
        <f>'GTTK chung'!AT147/10^6</f>
        <v>3420</v>
      </c>
      <c r="AC21" s="218">
        <f>'GTTK chung'!AU147/10^6</f>
        <v>8368</v>
      </c>
    </row>
    <row r="22" spans="1:31">
      <c r="B22" s="156" t="s">
        <v>370</v>
      </c>
      <c r="D22" s="218">
        <f>'GTTK chung'!AX151/10^6</f>
        <v>1133.6666663333333</v>
      </c>
      <c r="E22" s="218">
        <f>'GTTK chung'!AY151/10^6</f>
        <v>1173.6666663333333</v>
      </c>
      <c r="F22" s="218">
        <f>'GTTK chung'!AZ151/10^6</f>
        <v>1283.6666663333333</v>
      </c>
      <c r="G22" s="218">
        <f>'GTTK chung'!BA151/10^6</f>
        <v>1283.6666663333333</v>
      </c>
      <c r="H22" s="218">
        <f>'GTTK chung'!BB151/10^6</f>
        <v>1283.6666663333333</v>
      </c>
      <c r="I22" s="218">
        <f>'GTTK chung'!BC151/10^6</f>
        <v>2455.095237333333</v>
      </c>
      <c r="J22" s="218">
        <f>'GTTK chung'!BD151/10^6</f>
        <v>1755.0952373333332</v>
      </c>
      <c r="K22" s="218">
        <f>'GTTK chung'!BE151/10^6</f>
        <v>1755.0952373333332</v>
      </c>
      <c r="L22" s="218">
        <f>'GTTK chung'!BF151/10^6</f>
        <v>1755.0952373333332</v>
      </c>
      <c r="M22" s="218">
        <f>'GTTK chung'!BG151/10^6</f>
        <v>1555.0952373333332</v>
      </c>
      <c r="N22" s="218">
        <f>'GTTK chung'!BH151/10^6</f>
        <v>1555.0952373333332</v>
      </c>
      <c r="O22" s="218">
        <f>'GTTK chung'!BI151/10^6</f>
        <v>5385.095237333333</v>
      </c>
      <c r="P22" s="219">
        <f>SUM(D22:O22)</f>
        <v>22373.999992999998</v>
      </c>
      <c r="Q22" s="219">
        <f>SUM(R22:AC22)</f>
        <v>0</v>
      </c>
      <c r="R22" s="218"/>
      <c r="S22" s="218"/>
      <c r="T22" s="218"/>
      <c r="U22" s="218"/>
      <c r="V22" s="218"/>
      <c r="W22" s="218"/>
      <c r="X22" s="218"/>
      <c r="Y22" s="218"/>
      <c r="Z22" s="218"/>
      <c r="AA22" s="218"/>
      <c r="AB22" s="218"/>
      <c r="AC22" s="218"/>
    </row>
    <row r="24" spans="1:31">
      <c r="B24" s="156" t="s">
        <v>701</v>
      </c>
      <c r="D24" s="218">
        <v>67851.850000000006</v>
      </c>
      <c r="E24" s="218">
        <v>87319.475000000006</v>
      </c>
      <c r="F24" s="218">
        <v>92151.1</v>
      </c>
      <c r="G24" s="218">
        <v>104778.425</v>
      </c>
      <c r="H24" s="218">
        <v>115974.55</v>
      </c>
      <c r="I24" s="218">
        <v>114450.4</v>
      </c>
      <c r="J24" s="218">
        <v>168962.815</v>
      </c>
      <c r="K24" s="218">
        <v>163198.48000000001</v>
      </c>
      <c r="L24" s="218">
        <v>164820.85999999999</v>
      </c>
      <c r="M24" s="218">
        <v>180708.39</v>
      </c>
      <c r="N24" s="218">
        <v>171078.5625</v>
      </c>
      <c r="O24" s="218">
        <v>173350.77499999999</v>
      </c>
      <c r="P24" s="219">
        <f>SUM(D24:O24)</f>
        <v>1604645.6825000001</v>
      </c>
      <c r="Q24" s="219">
        <f>SUM(R24:AC24)</f>
        <v>2063952.1035000002</v>
      </c>
      <c r="R24" s="218">
        <v>100827.3615</v>
      </c>
      <c r="S24" s="218">
        <v>122613.5349</v>
      </c>
      <c r="T24" s="218">
        <v>119512.1884</v>
      </c>
      <c r="U24" s="218">
        <v>131181.8014</v>
      </c>
      <c r="V24" s="218">
        <v>173339.44440000001</v>
      </c>
      <c r="W24" s="218">
        <v>166096.72289999999</v>
      </c>
      <c r="X24" s="218">
        <v>190799.84890000001</v>
      </c>
      <c r="Y24" s="218">
        <v>189650.5949</v>
      </c>
      <c r="Z24" s="218">
        <v>224394.4069</v>
      </c>
      <c r="AA24" s="218">
        <v>228412.0429</v>
      </c>
      <c r="AB24" s="218">
        <v>209261.95250000001</v>
      </c>
      <c r="AC24" s="218">
        <v>207862.20389999999</v>
      </c>
    </row>
    <row r="26" spans="1:31">
      <c r="B26" s="232"/>
      <c r="Q26" s="232"/>
      <c r="X26" s="232"/>
    </row>
    <row r="27" spans="1:31">
      <c r="Z27" s="232"/>
      <c r="AA27" s="232"/>
    </row>
    <row r="29" spans="1:31">
      <c r="R29" s="2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79C31-9EC1-40BB-9972-7BB15114CBFC}">
  <sheetPr codeName="Sheet19">
    <tabColor rgb="FF119303"/>
  </sheetPr>
  <dimension ref="A1:BO44"/>
  <sheetViews>
    <sheetView showGridLines="0" zoomScaleNormal="100" workbookViewId="0">
      <selection activeCell="AQ3" sqref="AQ3"/>
    </sheetView>
  </sheetViews>
  <sheetFormatPr defaultColWidth="8.54296875" defaultRowHeight="14" outlineLevelCol="1"/>
  <cols>
    <col min="1" max="1" width="5.54296875" style="156" customWidth="1"/>
    <col min="2" max="2" width="33.453125" style="156" customWidth="1"/>
    <col min="3" max="14" width="12.90625" style="156" hidden="1" customWidth="1" outlineLevel="1"/>
    <col min="15" max="15" width="12.90625" style="156" customWidth="1" collapsed="1"/>
    <col min="16" max="16" width="11.453125" style="156" customWidth="1"/>
    <col min="17" max="17" width="10.453125" style="156" customWidth="1"/>
    <col min="18" max="18" width="14.08984375" style="156" customWidth="1"/>
    <col min="19" max="24" width="10.453125" style="156" customWidth="1"/>
    <col min="25" max="28" width="9" style="156" customWidth="1"/>
    <col min="29" max="30" width="8.54296875" style="156" customWidth="1"/>
    <col min="31" max="31" width="8.54296875" style="156"/>
    <col min="32" max="32" width="7.453125" style="156" customWidth="1"/>
    <col min="33" max="33" width="5.08984375" style="156" customWidth="1"/>
    <col min="34" max="34" width="27.90625" style="156" customWidth="1"/>
    <col min="35" max="35" width="8.90625" style="156" customWidth="1"/>
    <col min="36" max="46" width="9.453125" style="156" customWidth="1"/>
    <col min="47" max="47" width="8.54296875" style="156"/>
    <col min="48" max="48" width="14.453125" style="156" customWidth="1"/>
    <col min="49" max="49" width="10.453125" style="156" customWidth="1"/>
    <col min="50" max="50" width="8.54296875" style="156"/>
    <col min="51" max="51" width="10.453125" style="156" customWidth="1"/>
    <col min="52" max="52" width="8.54296875" style="156"/>
    <col min="53" max="53" width="16" style="156" customWidth="1"/>
    <col min="54" max="54" width="18.453125" style="156" customWidth="1"/>
    <col min="55" max="55" width="16" style="156" customWidth="1"/>
    <col min="56" max="16384" width="8.54296875" style="156"/>
  </cols>
  <sheetData>
    <row r="1" spans="1:67" ht="16.5">
      <c r="A1" s="199" t="s">
        <v>372</v>
      </c>
      <c r="B1" s="199" t="s">
        <v>373</v>
      </c>
      <c r="C1" s="199"/>
      <c r="D1" s="199"/>
      <c r="E1" s="199"/>
      <c r="F1" s="199"/>
      <c r="G1" s="199"/>
      <c r="H1" s="199"/>
      <c r="I1" s="199"/>
      <c r="J1" s="199"/>
      <c r="K1" s="199"/>
      <c r="L1" s="199"/>
      <c r="M1" s="199"/>
      <c r="N1" s="199"/>
      <c r="O1" s="199"/>
    </row>
    <row r="2" spans="1:67" ht="16.5">
      <c r="A2" s="199"/>
      <c r="B2" s="199"/>
      <c r="C2" s="199"/>
      <c r="D2" s="199"/>
      <c r="E2" s="199"/>
      <c r="F2" s="199"/>
      <c r="G2" s="199"/>
      <c r="H2" s="199"/>
      <c r="I2" s="199"/>
      <c r="J2" s="199"/>
      <c r="K2" s="199"/>
      <c r="L2" s="199"/>
      <c r="M2" s="199"/>
      <c r="N2" s="199"/>
      <c r="O2" s="199"/>
    </row>
    <row r="3" spans="1:67">
      <c r="B3" s="340" t="s">
        <v>374</v>
      </c>
      <c r="C3" s="340"/>
      <c r="D3" s="340"/>
      <c r="E3" s="340"/>
      <c r="F3" s="340"/>
      <c r="G3" s="340"/>
      <c r="H3" s="340"/>
      <c r="I3" s="340"/>
      <c r="J3" s="340"/>
      <c r="K3" s="340"/>
      <c r="L3" s="340"/>
      <c r="M3" s="340"/>
      <c r="N3" s="340"/>
      <c r="O3" s="340"/>
      <c r="S3" s="156" t="str">
        <f>S4&amp;".24"</f>
        <v>2.24</v>
      </c>
      <c r="T3" s="156" t="str">
        <f t="shared" ref="T3:AC3" si="0">T4&amp;".24"</f>
        <v>3.24</v>
      </c>
      <c r="U3" s="156" t="str">
        <f t="shared" si="0"/>
        <v>4.24</v>
      </c>
      <c r="V3" s="156" t="str">
        <f t="shared" si="0"/>
        <v>5.24</v>
      </c>
      <c r="W3" s="156" t="str">
        <f t="shared" si="0"/>
        <v>6.24</v>
      </c>
      <c r="X3" s="156" t="str">
        <f t="shared" si="0"/>
        <v>7.24</v>
      </c>
      <c r="Y3" s="156" t="str">
        <f t="shared" si="0"/>
        <v>8.24</v>
      </c>
      <c r="Z3" s="156" t="str">
        <f t="shared" si="0"/>
        <v>9.24</v>
      </c>
      <c r="AA3" s="156" t="str">
        <f t="shared" si="0"/>
        <v>10.24</v>
      </c>
      <c r="AB3" s="156" t="str">
        <f t="shared" si="0"/>
        <v>11.24</v>
      </c>
      <c r="AC3" s="156" t="str">
        <f t="shared" si="0"/>
        <v>12.24</v>
      </c>
    </row>
    <row r="4" spans="1:67">
      <c r="A4" s="237" t="s">
        <v>0</v>
      </c>
      <c r="B4" s="238" t="s">
        <v>375</v>
      </c>
      <c r="C4" s="786">
        <v>1.24</v>
      </c>
      <c r="D4" s="786" t="s">
        <v>704</v>
      </c>
      <c r="E4" s="786" t="s">
        <v>705</v>
      </c>
      <c r="F4" s="786" t="s">
        <v>706</v>
      </c>
      <c r="G4" s="786" t="s">
        <v>707</v>
      </c>
      <c r="H4" s="786" t="s">
        <v>708</v>
      </c>
      <c r="I4" s="786" t="s">
        <v>709</v>
      </c>
      <c r="J4" s="786" t="s">
        <v>710</v>
      </c>
      <c r="K4" s="786" t="s">
        <v>711</v>
      </c>
      <c r="L4" s="786" t="s">
        <v>712</v>
      </c>
      <c r="M4" s="786" t="s">
        <v>713</v>
      </c>
      <c r="N4" s="786" t="s">
        <v>714</v>
      </c>
      <c r="O4" s="787">
        <v>2024</v>
      </c>
      <c r="P4" s="239">
        <v>2025</v>
      </c>
      <c r="Q4" s="537" t="s">
        <v>703</v>
      </c>
      <c r="R4" s="239">
        <v>1.25</v>
      </c>
      <c r="S4" s="239">
        <v>2</v>
      </c>
      <c r="T4" s="239">
        <v>3</v>
      </c>
      <c r="U4" s="239">
        <v>4</v>
      </c>
      <c r="V4" s="239">
        <v>5</v>
      </c>
      <c r="W4" s="239">
        <v>6</v>
      </c>
      <c r="X4" s="239">
        <v>7</v>
      </c>
      <c r="Y4" s="239">
        <v>8</v>
      </c>
      <c r="Z4" s="239">
        <v>9</v>
      </c>
      <c r="AA4" s="239">
        <v>10</v>
      </c>
      <c r="AB4" s="239">
        <v>11</v>
      </c>
      <c r="AC4" s="240">
        <v>12</v>
      </c>
      <c r="AF4" s="156" t="s">
        <v>377</v>
      </c>
      <c r="AG4" s="237" t="s">
        <v>0</v>
      </c>
      <c r="AH4" s="238" t="s">
        <v>375</v>
      </c>
      <c r="AI4" s="239">
        <v>2025</v>
      </c>
      <c r="AJ4" s="239">
        <v>1.25</v>
      </c>
      <c r="AK4" s="239">
        <v>2</v>
      </c>
      <c r="AL4" s="239">
        <v>3</v>
      </c>
      <c r="AM4" s="239">
        <v>4</v>
      </c>
      <c r="AN4" s="239">
        <v>5</v>
      </c>
      <c r="AO4" s="239">
        <v>6</v>
      </c>
      <c r="AP4" s="239">
        <v>7</v>
      </c>
      <c r="AQ4" s="239">
        <v>8</v>
      </c>
      <c r="AR4" s="239">
        <v>9</v>
      </c>
      <c r="AS4" s="239">
        <v>10</v>
      </c>
      <c r="AT4" s="239">
        <v>11</v>
      </c>
      <c r="AU4" s="240">
        <v>12</v>
      </c>
      <c r="AW4" s="265" t="s">
        <v>537</v>
      </c>
    </row>
    <row r="5" spans="1:67">
      <c r="A5" s="226">
        <v>1</v>
      </c>
      <c r="B5" s="224" t="str">
        <f t="shared" ref="B5:B12" si="1">INDEX($AH$5:$AH$12,MATCH($A5,$AF$5:$AF$12,0))</f>
        <v>Kiểm soát giá mua</v>
      </c>
      <c r="C5" s="564">
        <f>SUMIFS('GTTK chung'!AX$4:AX$143,'GTTK chung'!$E$4:$E$143,$B5)/10^6</f>
        <v>585.03792308333323</v>
      </c>
      <c r="D5" s="564">
        <f>SUMIFS('GTTK chung'!AY$4:AY$143,'GTTK chung'!$E$4:$E$143,$B5)/10^6</f>
        <v>41.204000000000001</v>
      </c>
      <c r="E5" s="564">
        <f>SUMIFS('GTTK chung'!AZ$4:AZ$143,'GTTK chung'!$E$4:$E$143,$B5)/10^6</f>
        <v>901.89337499999999</v>
      </c>
      <c r="F5" s="564">
        <f>SUMIFS('GTTK chung'!BA$4:BA$143,'GTTK chung'!$E$4:$E$143,$B5)/10^6</f>
        <v>668.32914600000004</v>
      </c>
      <c r="G5" s="564">
        <f>SUMIFS('GTTK chung'!BB$4:BB$143,'GTTK chung'!$E$4:$E$143,$B5)/10^6</f>
        <v>229.238473</v>
      </c>
      <c r="H5" s="564">
        <f>SUMIFS('GTTK chung'!BC$4:BC$143,'GTTK chung'!$E$4:$E$143,$B5)/10^6</f>
        <v>239.862314</v>
      </c>
      <c r="I5" s="564">
        <f>SUMIFS('GTTK chung'!BD$4:BD$143,'GTTK chung'!$E$4:$E$143,$B5)/10^6</f>
        <v>682.268012</v>
      </c>
      <c r="J5" s="564">
        <f>SUMIFS('GTTK chung'!BE$4:BE$143,'GTTK chung'!$E$4:$E$143,$B5)/10^6</f>
        <v>434.304485</v>
      </c>
      <c r="K5" s="564">
        <f>SUMIFS('GTTK chung'!BF$4:BF$143,'GTTK chung'!$E$4:$E$143,$B5)/10^6</f>
        <v>7403.4654799999998</v>
      </c>
      <c r="L5" s="564">
        <f>SUMIFS('GTTK chung'!BG$4:BG$143,'GTTK chung'!$E$4:$E$143,$B5)/10^6</f>
        <v>55.978999999999999</v>
      </c>
      <c r="M5" s="564">
        <f>SUMIFS('GTTK chung'!BH$4:BH$143,'GTTK chung'!$E$4:$E$143,$B5)/10^6</f>
        <v>1265.0976593749999</v>
      </c>
      <c r="N5" s="564">
        <f>SUMIFS('GTTK chung'!BI$4:BI$143,'GTTK chung'!$E$4:$E$143,$B5)/10^6</f>
        <v>46.896867999999998</v>
      </c>
      <c r="O5" s="564">
        <f>SUM(C5:N5)</f>
        <v>12553.576735458331</v>
      </c>
      <c r="P5" s="567">
        <f t="shared" ref="P5:P12" si="2">SUM(R5:AC5)</f>
        <v>13135.545152375</v>
      </c>
      <c r="Q5" s="538">
        <f>P5/P$13</f>
        <v>0.33744866821307273</v>
      </c>
      <c r="R5" s="564">
        <f t="shared" ref="R5:AC12" si="3">SUMIFS(AJ$5:AJ$12,$AF$5:$AF$12,$A5)</f>
        <v>1578.0870239999999</v>
      </c>
      <c r="S5" s="564">
        <f t="shared" si="3"/>
        <v>2434.8426239999999</v>
      </c>
      <c r="T5" s="564">
        <f t="shared" si="3"/>
        <v>130.49078237500001</v>
      </c>
      <c r="U5" s="564">
        <f t="shared" si="3"/>
        <v>1048.652249</v>
      </c>
      <c r="V5" s="564">
        <f t="shared" si="3"/>
        <v>1068.182822</v>
      </c>
      <c r="W5" s="564">
        <f t="shared" si="3"/>
        <v>523.52432899999997</v>
      </c>
      <c r="X5" s="564">
        <f t="shared" si="3"/>
        <v>1888.3504849999999</v>
      </c>
      <c r="Y5" s="564">
        <f t="shared" si="3"/>
        <v>2645.2807670000002</v>
      </c>
      <c r="Z5" s="564">
        <f t="shared" si="3"/>
        <v>1059.608655</v>
      </c>
      <c r="AA5" s="564">
        <f t="shared" si="3"/>
        <v>107.631224</v>
      </c>
      <c r="AB5" s="564">
        <f t="shared" si="3"/>
        <v>302.47842600000001</v>
      </c>
      <c r="AC5" s="564">
        <f t="shared" si="3"/>
        <v>348.41576500000002</v>
      </c>
      <c r="AF5" s="156">
        <f>_xlfn.RANK.AVG($AW5,$AW$5:$AW$12,0)</f>
        <v>6</v>
      </c>
      <c r="AG5" s="226">
        <v>1</v>
      </c>
      <c r="AH5" s="224" t="s">
        <v>164</v>
      </c>
      <c r="AI5" s="255">
        <f>SUM(AJ5:AU5)</f>
        <v>769.90102236498603</v>
      </c>
      <c r="AJ5" s="235">
        <f>SUMIFS('GTTK chung'!AJ$4:AJ$143,'GTTK chung'!$E$4:$E$143,$AH5)/10^6</f>
        <v>233.96003300000001</v>
      </c>
      <c r="AK5" s="235">
        <f>SUMIFS('GTTK chung'!AK$4:AK$143,'GTTK chung'!$E$4:$E$143,$AH5)/10^6</f>
        <v>192.87786836498603</v>
      </c>
      <c r="AL5" s="235">
        <f>SUMIFS('GTTK chung'!AL$4:AL$143,'GTTK chung'!$E$4:$E$143,$AH5)/10^6</f>
        <v>191.429068</v>
      </c>
      <c r="AM5" s="235">
        <f>SUMIFS('GTTK chung'!AM$4:AM$143,'GTTK chung'!$E$4:$E$143,$AH5)/10^6</f>
        <v>151.63405299999999</v>
      </c>
      <c r="AN5" s="235">
        <f>SUMIFS('GTTK chung'!AN$4:AN$143,'GTTK chung'!$E$4:$E$143,$AH5)/10^6</f>
        <v>0</v>
      </c>
      <c r="AO5" s="235">
        <f>SUMIFS('GTTK chung'!AO$4:AO$143,'GTTK chung'!$E$4:$E$143,$AH5)/10^6</f>
        <v>0</v>
      </c>
      <c r="AP5" s="235">
        <f>SUMIFS('GTTK chung'!AP$4:AP$143,'GTTK chung'!$E$4:$E$143,$AH5)/10^6</f>
        <v>0</v>
      </c>
      <c r="AQ5" s="235">
        <f>SUMIFS('GTTK chung'!AQ$4:AQ$143,'GTTK chung'!$E$4:$E$143,$AH5)/10^6</f>
        <v>0</v>
      </c>
      <c r="AR5" s="235">
        <f>SUMIFS('GTTK chung'!AR$4:AR$143,'GTTK chung'!$E$4:$E$143,$AH5)/10^6</f>
        <v>0</v>
      </c>
      <c r="AS5" s="235">
        <f>SUMIFS('GTTK chung'!AS$4:AS$143,'GTTK chung'!$E$4:$E$143,$AH5)/10^6</f>
        <v>0</v>
      </c>
      <c r="AT5" s="235">
        <f>SUMIFS('GTTK chung'!AT$4:AT$143,'GTTK chung'!$E$4:$E$143,$AH5)/10^6</f>
        <v>0</v>
      </c>
      <c r="AU5" s="235">
        <f>SUMIFS('GTTK chung'!AU$4:AU$143,'GTTK chung'!$E$4:$E$143,$AH5)/10^6</f>
        <v>0</v>
      </c>
      <c r="AW5" s="218">
        <f>AI5+COUNTIFS(AI$5:AI5,AI5)*0.01</f>
        <v>769.91102236498602</v>
      </c>
    </row>
    <row r="6" spans="1:67">
      <c r="A6" s="228">
        <v>2</v>
      </c>
      <c r="B6" s="225" t="str">
        <f t="shared" si="1"/>
        <v>Giảm hao hụt trong sản xuất</v>
      </c>
      <c r="C6" s="565">
        <f>SUMIFS('GTTK chung'!AX$4:AX$143,'GTTK chung'!$E$4:$E$143,$B6)/10^6</f>
        <v>0</v>
      </c>
      <c r="D6" s="565">
        <f>SUMIFS('GTTK chung'!AY$4:AY$143,'GTTK chung'!$E$4:$E$143,$B6)/10^6</f>
        <v>0</v>
      </c>
      <c r="E6" s="565">
        <f>SUMIFS('GTTK chung'!AZ$4:AZ$143,'GTTK chung'!$E$4:$E$143,$B6)/10^6</f>
        <v>19.545754285714285</v>
      </c>
      <c r="F6" s="565">
        <f>SUMIFS('GTTK chung'!BA$4:BA$143,'GTTK chung'!$E$4:$E$143,$B6)/10^6</f>
        <v>19.545754285714285</v>
      </c>
      <c r="G6" s="565">
        <f>SUMIFS('GTTK chung'!BB$4:BB$143,'GTTK chung'!$E$4:$E$143,$B6)/10^6</f>
        <v>50.492029805385727</v>
      </c>
      <c r="H6" s="565">
        <f>SUMIFS('GTTK chung'!BC$4:BC$143,'GTTK chung'!$E$4:$E$143,$B6)/10^6</f>
        <v>94.041795634452001</v>
      </c>
      <c r="I6" s="565">
        <f>SUMIFS('GTTK chung'!BD$4:BD$143,'GTTK chung'!$E$4:$E$143,$B6)/10^6</f>
        <v>19.545754285714285</v>
      </c>
      <c r="J6" s="565">
        <f>SUMIFS('GTTK chung'!BE$4:BE$143,'GTTK chung'!$E$4:$E$143,$B6)/10^6</f>
        <v>108.85237632468522</v>
      </c>
      <c r="K6" s="565">
        <f>SUMIFS('GTTK chung'!BF$4:BF$143,'GTTK chung'!$E$4:$E$143,$B6)/10^6</f>
        <v>18.027704257470266</v>
      </c>
      <c r="L6" s="565">
        <f>SUMIFS('GTTK chung'!BG$4:BG$143,'GTTK chung'!$E$4:$E$143,$B6)/10^6</f>
        <v>-323.06204725780378</v>
      </c>
      <c r="M6" s="565">
        <f>SUMIFS('GTTK chung'!BH$4:BH$143,'GTTK chung'!$E$4:$E$143,$B6)/10^6</f>
        <v>1912.8729737955562</v>
      </c>
      <c r="N6" s="565">
        <f>SUMIFS('GTTK chung'!BI$4:BI$143,'GTTK chung'!$E$4:$E$143,$B6)/10^6</f>
        <v>1177.3295741729296</v>
      </c>
      <c r="O6" s="565">
        <f t="shared" ref="O6:O12" si="4">SUM(C6:N6)</f>
        <v>3097.191669589818</v>
      </c>
      <c r="P6" s="568">
        <f t="shared" si="2"/>
        <v>13127.535455000001</v>
      </c>
      <c r="Q6" s="539">
        <f t="shared" ref="Q6:Q13" si="5">P6/P$13</f>
        <v>0.33724290121363498</v>
      </c>
      <c r="R6" s="565">
        <f t="shared" si="3"/>
        <v>643.66102899999998</v>
      </c>
      <c r="S6" s="565">
        <f t="shared" si="3"/>
        <v>440.46678200000002</v>
      </c>
      <c r="T6" s="565">
        <f>SUMIFS(AL$5:AL$12,$AF$5:$AF$12,$A6)</f>
        <v>203.81421</v>
      </c>
      <c r="U6" s="565">
        <f t="shared" si="3"/>
        <v>85.071216000000007</v>
      </c>
      <c r="V6" s="565">
        <f t="shared" si="3"/>
        <v>4105.9402910000008</v>
      </c>
      <c r="W6" s="565">
        <f t="shared" si="3"/>
        <v>1061.0260560000002</v>
      </c>
      <c r="X6" s="565">
        <f t="shared" si="3"/>
        <v>843.26026200000001</v>
      </c>
      <c r="Y6" s="565">
        <f t="shared" si="3"/>
        <v>2168.0207019999998</v>
      </c>
      <c r="Z6" s="565">
        <f t="shared" si="3"/>
        <v>1264.157498</v>
      </c>
      <c r="AA6" s="565">
        <f t="shared" si="3"/>
        <v>1075.7894980000001</v>
      </c>
      <c r="AB6" s="565">
        <f t="shared" si="3"/>
        <v>847.0772189999999</v>
      </c>
      <c r="AC6" s="565">
        <f t="shared" si="3"/>
        <v>389.25069200000002</v>
      </c>
      <c r="AF6" s="156">
        <f t="shared" ref="AF6:AF12" si="6">_xlfn.RANK.AVG($AW6,$AW$5:$AW$12,0)</f>
        <v>4</v>
      </c>
      <c r="AG6" s="228">
        <v>2</v>
      </c>
      <c r="AH6" s="225" t="s">
        <v>173</v>
      </c>
      <c r="AI6" s="256">
        <f t="shared" ref="AI6:AI12" si="7">SUM(AJ6:AU6)</f>
        <v>3965.5121049999998</v>
      </c>
      <c r="AJ6" s="236">
        <f>SUMIFS('GTTK chung'!AJ$4:AJ$143,'GTTK chung'!$E$4:$E$143,$AH6)/10^6</f>
        <v>0</v>
      </c>
      <c r="AK6" s="236">
        <f>SUMIFS('GTTK chung'!AK$4:AK$143,'GTTK chung'!$E$4:$E$143,$AH6)/10^6</f>
        <v>0</v>
      </c>
      <c r="AL6" s="236">
        <f>SUMIFS('GTTK chung'!AL$4:AL$143,'GTTK chung'!$E$4:$E$143,$AH6)/10^6</f>
        <v>56.782499999999999</v>
      </c>
      <c r="AM6" s="236">
        <f>SUMIFS('GTTK chung'!AM$4:AM$143,'GTTK chung'!$E$4:$E$143,$AH6)/10^6</f>
        <v>384.04499299999998</v>
      </c>
      <c r="AN6" s="236">
        <f>SUMIFS('GTTK chung'!AN$4:AN$143,'GTTK chung'!$E$4:$E$143,$AH6)/10^6</f>
        <v>511.76850000000002</v>
      </c>
      <c r="AO6" s="236">
        <f>SUMIFS('GTTK chung'!AO$4:AO$143,'GTTK chung'!$E$4:$E$143,$AH6)/10^6</f>
        <v>497.56731200000002</v>
      </c>
      <c r="AP6" s="236">
        <f>SUMIFS('GTTK chung'!AP$4:AP$143,'GTTK chung'!$E$4:$E$143,$AH6)/10^6</f>
        <v>494.35509999999999</v>
      </c>
      <c r="AQ6" s="236">
        <f>SUMIFS('GTTK chung'!AQ$4:AQ$143,'GTTK chung'!$E$4:$E$143,$AH6)/10^6</f>
        <v>85.674149999999997</v>
      </c>
      <c r="AR6" s="236">
        <f>SUMIFS('GTTK chung'!AR$4:AR$143,'GTTK chung'!$E$4:$E$143,$AH6)/10^6</f>
        <v>0</v>
      </c>
      <c r="AS6" s="236">
        <f>SUMIFS('GTTK chung'!AS$4:AS$143,'GTTK chung'!$E$4:$E$143,$AH6)/10^6</f>
        <v>1280.28603</v>
      </c>
      <c r="AT6" s="236">
        <f>SUMIFS('GTTK chung'!AT$4:AT$143,'GTTK chung'!$E$4:$E$143,$AH6)/10^6</f>
        <v>267.12601999999998</v>
      </c>
      <c r="AU6" s="236">
        <f>SUMIFS('GTTK chung'!AU$4:AU$143,'GTTK chung'!$E$4:$E$143,$AH6)/10^6</f>
        <v>387.90750000000003</v>
      </c>
      <c r="AW6" s="218">
        <f>AI6+COUNTIFS(AI$5:AI6,AI6)*0.01</f>
        <v>3965.522105</v>
      </c>
    </row>
    <row r="7" spans="1:67">
      <c r="A7" s="228">
        <v>3</v>
      </c>
      <c r="B7" s="225" t="str">
        <f t="shared" si="1"/>
        <v>Khác</v>
      </c>
      <c r="C7" s="565">
        <f>SUMIFS('GTTK chung'!AX$4:AX$143,'GTTK chung'!$E$4:$E$143,$B7)/10^6</f>
        <v>0.48</v>
      </c>
      <c r="D7" s="565">
        <f>SUMIFS('GTTK chung'!AY$4:AY$143,'GTTK chung'!$E$4:$E$143,$B7)/10^6</f>
        <v>72</v>
      </c>
      <c r="E7" s="565">
        <f>SUMIFS('GTTK chung'!AZ$4:AZ$143,'GTTK chung'!$E$4:$E$143,$B7)/10^6</f>
        <v>56.96</v>
      </c>
      <c r="F7" s="565">
        <f>SUMIFS('GTTK chung'!BA$4:BA$143,'GTTK chung'!$E$4:$E$143,$B7)/10^6</f>
        <v>80</v>
      </c>
      <c r="G7" s="565">
        <f>SUMIFS('GTTK chung'!BB$4:BB$143,'GTTK chung'!$E$4:$E$143,$B7)/10^6</f>
        <v>98.351589041095878</v>
      </c>
      <c r="H7" s="565">
        <f>SUMIFS('GTTK chung'!BC$4:BC$143,'GTTK chung'!$E$4:$E$143,$B7)/10^6</f>
        <v>90.525599999999997</v>
      </c>
      <c r="I7" s="565">
        <f>SUMIFS('GTTK chung'!BD$4:BD$143,'GTTK chung'!$E$4:$E$143,$B7)/10^6</f>
        <v>337.1772135999999</v>
      </c>
      <c r="J7" s="565">
        <f>SUMIFS('GTTK chung'!BE$4:BE$143,'GTTK chung'!$E$4:$E$143,$B7)/10^6</f>
        <v>828.59180025273963</v>
      </c>
      <c r="K7" s="565">
        <f>SUMIFS('GTTK chung'!BF$4:BF$143,'GTTK chung'!$E$4:$E$143,$B7)/10^6</f>
        <v>608.29324183508231</v>
      </c>
      <c r="L7" s="565">
        <f>SUMIFS('GTTK chung'!BG$4:BG$143,'GTTK chung'!$E$4:$E$143,$B7)/10^6</f>
        <v>2603.1265010000002</v>
      </c>
      <c r="M7" s="565">
        <f>SUMIFS('GTTK chung'!BH$4:BH$143,'GTTK chung'!$E$4:$E$143,$B7)/10^6</f>
        <v>348.43561060000002</v>
      </c>
      <c r="N7" s="565">
        <f>SUMIFS('GTTK chung'!BI$4:BI$143,'GTTK chung'!$E$4:$E$143,$B7)/10^6</f>
        <v>1799.6018528999996</v>
      </c>
      <c r="O7" s="565">
        <f t="shared" si="4"/>
        <v>6923.5434092289179</v>
      </c>
      <c r="P7" s="568">
        <f t="shared" si="2"/>
        <v>4788.5142755064999</v>
      </c>
      <c r="Q7" s="539">
        <f t="shared" si="5"/>
        <v>0.12301566065545388</v>
      </c>
      <c r="R7" s="565">
        <f t="shared" si="3"/>
        <v>361.386213</v>
      </c>
      <c r="S7" s="565">
        <f t="shared" si="3"/>
        <v>165.44825399999999</v>
      </c>
      <c r="T7" s="565">
        <f t="shared" si="3"/>
        <v>529.66270999999995</v>
      </c>
      <c r="U7" s="565">
        <f t="shared" si="3"/>
        <v>478.34445721999981</v>
      </c>
      <c r="V7" s="565">
        <f t="shared" si="3"/>
        <v>301.50612999999998</v>
      </c>
      <c r="W7" s="565">
        <f t="shared" si="3"/>
        <v>1223.3441800799999</v>
      </c>
      <c r="X7" s="565">
        <f t="shared" si="3"/>
        <v>179.32877300000001</v>
      </c>
      <c r="Y7" s="565">
        <f t="shared" si="3"/>
        <v>391.6825382065</v>
      </c>
      <c r="Z7" s="565">
        <f t="shared" si="3"/>
        <v>218.80126200000001</v>
      </c>
      <c r="AA7" s="565">
        <f t="shared" si="3"/>
        <v>245.086423</v>
      </c>
      <c r="AB7" s="565">
        <f t="shared" si="3"/>
        <v>425.03303199999999</v>
      </c>
      <c r="AC7" s="565">
        <f t="shared" si="3"/>
        <v>268.89030300000002</v>
      </c>
      <c r="AF7" s="156">
        <f t="shared" si="6"/>
        <v>1</v>
      </c>
      <c r="AG7" s="228">
        <v>3</v>
      </c>
      <c r="AH7" s="225" t="s">
        <v>361</v>
      </c>
      <c r="AI7" s="256">
        <f t="shared" si="7"/>
        <v>13135.545152375</v>
      </c>
      <c r="AJ7" s="236">
        <f>SUMIFS('GTTK chung'!AJ$4:AJ$143,'GTTK chung'!$E$4:$E$143,$AH7)/10^6</f>
        <v>1578.0870239999999</v>
      </c>
      <c r="AK7" s="236">
        <f>SUMIFS('GTTK chung'!AK$4:AK$143,'GTTK chung'!$E$4:$E$143,$AH7)/10^6</f>
        <v>2434.8426239999999</v>
      </c>
      <c r="AL7" s="236">
        <f>SUMIFS('GTTK chung'!AL$4:AL$143,'GTTK chung'!$E$4:$E$143,$AH7)/10^6</f>
        <v>130.49078237500001</v>
      </c>
      <c r="AM7" s="236">
        <f>SUMIFS('GTTK chung'!AM$4:AM$143,'GTTK chung'!$E$4:$E$143,$AH7)/10^6</f>
        <v>1048.652249</v>
      </c>
      <c r="AN7" s="236">
        <f>SUMIFS('GTTK chung'!AN$4:AN$143,'GTTK chung'!$E$4:$E$143,$AH7)/10^6</f>
        <v>1068.182822</v>
      </c>
      <c r="AO7" s="236">
        <f>SUMIFS('GTTK chung'!AO$4:AO$143,'GTTK chung'!$E$4:$E$143,$AH7)/10^6</f>
        <v>523.52432899999997</v>
      </c>
      <c r="AP7" s="236">
        <f>SUMIFS('GTTK chung'!AP$4:AP$143,'GTTK chung'!$E$4:$E$143,$AH7)/10^6</f>
        <v>1888.3504849999999</v>
      </c>
      <c r="AQ7" s="236">
        <f>SUMIFS('GTTK chung'!AQ$4:AQ$143,'GTTK chung'!$E$4:$E$143,$AH7)/10^6</f>
        <v>2645.2807670000002</v>
      </c>
      <c r="AR7" s="236">
        <f>SUMIFS('GTTK chung'!AR$4:AR$143,'GTTK chung'!$E$4:$E$143,$AH7)/10^6</f>
        <v>1059.608655</v>
      </c>
      <c r="AS7" s="236">
        <f>SUMIFS('GTTK chung'!AS$4:AS$143,'GTTK chung'!$E$4:$E$143,$AH7)/10^6</f>
        <v>107.631224</v>
      </c>
      <c r="AT7" s="236">
        <f>SUMIFS('GTTK chung'!AT$4:AT$143,'GTTK chung'!$E$4:$E$143,$AH7)/10^6</f>
        <v>302.47842600000001</v>
      </c>
      <c r="AU7" s="236">
        <f>SUMIFS('GTTK chung'!AU$4:AU$143,'GTTK chung'!$E$4:$E$143,$AH7)/10^6</f>
        <v>348.41576500000002</v>
      </c>
      <c r="AW7" s="218">
        <f>AI7+COUNTIFS(AI$5:AI7,AI7)*0.01</f>
        <v>13135.555152375</v>
      </c>
    </row>
    <row r="8" spans="1:67">
      <c r="A8" s="228">
        <v>4</v>
      </c>
      <c r="B8" s="225" t="str">
        <f t="shared" si="1"/>
        <v>Gia tăng giá trị phó sản</v>
      </c>
      <c r="C8" s="565">
        <f>SUMIFS('GTTK chung'!AX$4:AX$143,'GTTK chung'!$E$4:$E$143,$B8)/10^6</f>
        <v>0</v>
      </c>
      <c r="D8" s="565">
        <f>SUMIFS('GTTK chung'!AY$4:AY$143,'GTTK chung'!$E$4:$E$143,$B8)/10^6</f>
        <v>0</v>
      </c>
      <c r="E8" s="565">
        <f>SUMIFS('GTTK chung'!AZ$4:AZ$143,'GTTK chung'!$E$4:$E$143,$B8)/10^6</f>
        <v>0</v>
      </c>
      <c r="F8" s="565">
        <f>SUMIFS('GTTK chung'!BA$4:BA$143,'GTTK chung'!$E$4:$E$143,$B8)/10^6</f>
        <v>0</v>
      </c>
      <c r="G8" s="565">
        <f>SUMIFS('GTTK chung'!BB$4:BB$143,'GTTK chung'!$E$4:$E$143,$B8)/10^6</f>
        <v>0</v>
      </c>
      <c r="H8" s="565">
        <f>SUMIFS('GTTK chung'!BC$4:BC$143,'GTTK chung'!$E$4:$E$143,$B8)/10^6</f>
        <v>0</v>
      </c>
      <c r="I8" s="565">
        <f>SUMIFS('GTTK chung'!BD$4:BD$143,'GTTK chung'!$E$4:$E$143,$B8)/10^6</f>
        <v>356.466542</v>
      </c>
      <c r="J8" s="565">
        <f>SUMIFS('GTTK chung'!BE$4:BE$143,'GTTK chung'!$E$4:$E$143,$B8)/10^6</f>
        <v>3324.7192300000002</v>
      </c>
      <c r="K8" s="565">
        <f>SUMIFS('GTTK chung'!BF$4:BF$143,'GTTK chung'!$E$4:$E$143,$B8)/10^6</f>
        <v>0</v>
      </c>
      <c r="L8" s="565">
        <f>SUMIFS('GTTK chung'!BG$4:BG$143,'GTTK chung'!$E$4:$E$143,$B8)/10^6</f>
        <v>0</v>
      </c>
      <c r="M8" s="565">
        <f>SUMIFS('GTTK chung'!BH$4:BH$143,'GTTK chung'!$E$4:$E$143,$B8)/10^6</f>
        <v>21.399812000000001</v>
      </c>
      <c r="N8" s="565">
        <f>SUMIFS('GTTK chung'!BI$4:BI$143,'GTTK chung'!$E$4:$E$143,$B8)/10^6</f>
        <v>0</v>
      </c>
      <c r="O8" s="565">
        <f t="shared" si="4"/>
        <v>3702.5855840000004</v>
      </c>
      <c r="P8" s="568">
        <f t="shared" si="2"/>
        <v>3965.5121049999998</v>
      </c>
      <c r="Q8" s="539">
        <f t="shared" si="5"/>
        <v>0.10187295335611711</v>
      </c>
      <c r="R8" s="565">
        <f t="shared" si="3"/>
        <v>0</v>
      </c>
      <c r="S8" s="565">
        <f t="shared" si="3"/>
        <v>0</v>
      </c>
      <c r="T8" s="565">
        <f t="shared" si="3"/>
        <v>56.782499999999999</v>
      </c>
      <c r="U8" s="565">
        <f t="shared" si="3"/>
        <v>384.04499299999998</v>
      </c>
      <c r="V8" s="565">
        <f t="shared" si="3"/>
        <v>511.76850000000002</v>
      </c>
      <c r="W8" s="565">
        <f t="shared" si="3"/>
        <v>497.56731200000002</v>
      </c>
      <c r="X8" s="565">
        <f t="shared" si="3"/>
        <v>494.35509999999999</v>
      </c>
      <c r="Y8" s="565">
        <f t="shared" si="3"/>
        <v>85.674149999999997</v>
      </c>
      <c r="Z8" s="565">
        <f t="shared" si="3"/>
        <v>0</v>
      </c>
      <c r="AA8" s="565">
        <f t="shared" si="3"/>
        <v>1280.28603</v>
      </c>
      <c r="AB8" s="565">
        <f t="shared" si="3"/>
        <v>267.12601999999998</v>
      </c>
      <c r="AC8" s="565">
        <f t="shared" si="3"/>
        <v>387.90750000000003</v>
      </c>
      <c r="AF8" s="156">
        <f t="shared" si="6"/>
        <v>8</v>
      </c>
      <c r="AG8" s="228">
        <v>4</v>
      </c>
      <c r="AH8" s="225" t="s">
        <v>171</v>
      </c>
      <c r="AI8" s="256">
        <f t="shared" si="7"/>
        <v>42.66210199999999</v>
      </c>
      <c r="AJ8" s="236">
        <f>SUMIFS('GTTK chung'!AJ$4:AJ$143,'GTTK chung'!$E$4:$E$143,$AH8)/10^6</f>
        <v>2.3255229999999885</v>
      </c>
      <c r="AK8" s="236">
        <f>SUMIFS('GTTK chung'!AK$4:AK$143,'GTTK chung'!$E$4:$E$143,$AH8)/10^6</f>
        <v>0</v>
      </c>
      <c r="AL8" s="236">
        <f>SUMIFS('GTTK chung'!AL$4:AL$143,'GTTK chung'!$E$4:$E$143,$AH8)/10^6</f>
        <v>0</v>
      </c>
      <c r="AM8" s="236">
        <f>SUMIFS('GTTK chung'!AM$4:AM$143,'GTTK chung'!$E$4:$E$143,$AH8)/10^6</f>
        <v>11.872</v>
      </c>
      <c r="AN8" s="236">
        <f>SUMIFS('GTTK chung'!AN$4:AN$143,'GTTK chung'!$E$4:$E$143,$AH8)/10^6</f>
        <v>4.1285790000000002</v>
      </c>
      <c r="AO8" s="236">
        <f>SUMIFS('GTTK chung'!AO$4:AO$143,'GTTK chung'!$E$4:$E$143,$AH8)/10^6</f>
        <v>24.335999999999999</v>
      </c>
      <c r="AP8" s="236">
        <f>SUMIFS('GTTK chung'!AP$4:AP$143,'GTTK chung'!$E$4:$E$143,$AH8)/10^6</f>
        <v>0</v>
      </c>
      <c r="AQ8" s="236">
        <f>SUMIFS('GTTK chung'!AQ$4:AQ$143,'GTTK chung'!$E$4:$E$143,$AH8)/10^6</f>
        <v>0</v>
      </c>
      <c r="AR8" s="236">
        <f>SUMIFS('GTTK chung'!AR$4:AR$143,'GTTK chung'!$E$4:$E$143,$AH8)/10^6</f>
        <v>0</v>
      </c>
      <c r="AS8" s="236">
        <f>SUMIFS('GTTK chung'!AS$4:AS$143,'GTTK chung'!$E$4:$E$143,$AH8)/10^6</f>
        <v>0</v>
      </c>
      <c r="AT8" s="236">
        <f>SUMIFS('GTTK chung'!AT$4:AT$143,'GTTK chung'!$E$4:$E$143,$AH8)/10^6</f>
        <v>0</v>
      </c>
      <c r="AU8" s="236">
        <f>SUMIFS('GTTK chung'!AU$4:AU$143,'GTTK chung'!$E$4:$E$143,$AH8)/10^6</f>
        <v>0</v>
      </c>
      <c r="AW8" s="218">
        <f>AI8+COUNTIFS(AI$5:AI8,AI8)*0.01</f>
        <v>42.672101999999988</v>
      </c>
    </row>
    <row r="9" spans="1:67">
      <c r="A9" s="228">
        <v>5</v>
      </c>
      <c r="B9" s="225" t="str">
        <f t="shared" si="1"/>
        <v>Tự động hóa</v>
      </c>
      <c r="C9" s="565">
        <f>SUMIFS('GTTK chung'!AX$4:AX$143,'GTTK chung'!$E$4:$E$143,$B9)/10^6</f>
        <v>386.36124999999998</v>
      </c>
      <c r="D9" s="565">
        <f>SUMIFS('GTTK chung'!AY$4:AY$143,'GTTK chung'!$E$4:$E$143,$B9)/10^6</f>
        <v>92.051946999999998</v>
      </c>
      <c r="E9" s="565">
        <f>SUMIFS('GTTK chung'!AZ$4:AZ$143,'GTTK chung'!$E$4:$E$143,$B9)/10^6</f>
        <v>131.32678999999999</v>
      </c>
      <c r="F9" s="565">
        <f>SUMIFS('GTTK chung'!BA$4:BA$143,'GTTK chung'!$E$4:$E$143,$B9)/10^6</f>
        <v>108.801</v>
      </c>
      <c r="G9" s="565">
        <f>SUMIFS('GTTK chung'!BB$4:BB$143,'GTTK chung'!$E$4:$E$143,$B9)/10^6</f>
        <v>114.86190000000001</v>
      </c>
      <c r="H9" s="565">
        <f>SUMIFS('GTTK chung'!BC$4:BC$143,'GTTK chung'!$E$4:$E$143,$B9)/10^6</f>
        <v>103.7016</v>
      </c>
      <c r="I9" s="565">
        <f>SUMIFS('GTTK chung'!BD$4:BD$143,'GTTK chung'!$E$4:$E$143,$B9)/10^6</f>
        <v>57.646799999999999</v>
      </c>
      <c r="J9" s="565">
        <f>SUMIFS('GTTK chung'!BE$4:BE$143,'GTTK chung'!$E$4:$E$143,$B9)/10^6</f>
        <v>63.532800000000002</v>
      </c>
      <c r="K9" s="565">
        <f>SUMIFS('GTTK chung'!BF$4:BF$143,'GTTK chung'!$E$4:$E$143,$B9)/10^6</f>
        <v>121.3599424285714</v>
      </c>
      <c r="L9" s="565">
        <f>SUMIFS('GTTK chung'!BG$4:BG$143,'GTTK chung'!$E$4:$E$143,$B9)/10^6</f>
        <v>153.46234242857139</v>
      </c>
      <c r="M9" s="565">
        <f>SUMIFS('GTTK chung'!BH$4:BH$143,'GTTK chung'!$E$4:$E$143,$B9)/10^6</f>
        <v>291.08419242857138</v>
      </c>
      <c r="N9" s="565">
        <f>SUMIFS('GTTK chung'!BI$4:BI$143,'GTTK chung'!$E$4:$E$143,$B9)/10^6</f>
        <v>133.18714242857141</v>
      </c>
      <c r="O9" s="565">
        <f t="shared" si="4"/>
        <v>1757.3777067142858</v>
      </c>
      <c r="P9" s="568">
        <f t="shared" si="2"/>
        <v>2757.1574000000001</v>
      </c>
      <c r="Q9" s="539">
        <f t="shared" si="5"/>
        <v>7.0830641735154451E-2</v>
      </c>
      <c r="R9" s="565">
        <f t="shared" si="3"/>
        <v>0</v>
      </c>
      <c r="S9" s="565">
        <f t="shared" si="3"/>
        <v>307</v>
      </c>
      <c r="T9" s="565">
        <f t="shared" si="3"/>
        <v>272.10896500000001</v>
      </c>
      <c r="U9" s="565">
        <f t="shared" si="3"/>
        <v>206.35083700000001</v>
      </c>
      <c r="V9" s="565">
        <f t="shared" si="3"/>
        <v>255.10135399999999</v>
      </c>
      <c r="W9" s="565">
        <f t="shared" si="3"/>
        <v>223.02555599999999</v>
      </c>
      <c r="X9" s="565">
        <f t="shared" si="3"/>
        <v>214.37778800000001</v>
      </c>
      <c r="Y9" s="565">
        <f t="shared" si="3"/>
        <v>243.590316</v>
      </c>
      <c r="Z9" s="565">
        <f t="shared" si="3"/>
        <v>381.10135200000002</v>
      </c>
      <c r="AA9" s="565">
        <f t="shared" si="3"/>
        <v>217.214979</v>
      </c>
      <c r="AB9" s="565">
        <f t="shared" si="3"/>
        <v>240.40277900000001</v>
      </c>
      <c r="AC9" s="565">
        <f t="shared" si="3"/>
        <v>196.88347400000001</v>
      </c>
      <c r="AF9" s="156">
        <f t="shared" si="6"/>
        <v>3</v>
      </c>
      <c r="AG9" s="228">
        <v>5</v>
      </c>
      <c r="AH9" s="225" t="s">
        <v>175</v>
      </c>
      <c r="AI9" s="256">
        <f t="shared" si="7"/>
        <v>4788.5142755064999</v>
      </c>
      <c r="AJ9" s="236">
        <f>SUMIFS('GTTK chung'!AJ$4:AJ$143,'GTTK chung'!$E$4:$E$143,$AH9)/10^6</f>
        <v>361.386213</v>
      </c>
      <c r="AK9" s="236">
        <f>SUMIFS('GTTK chung'!AK$4:AK$143,'GTTK chung'!$E$4:$E$143,$AH9)/10^6</f>
        <v>165.44825399999999</v>
      </c>
      <c r="AL9" s="236">
        <f>SUMIFS('GTTK chung'!AL$4:AL$143,'GTTK chung'!$E$4:$E$143,$AH9)/10^6</f>
        <v>529.66270999999995</v>
      </c>
      <c r="AM9" s="236">
        <f>SUMIFS('GTTK chung'!AM$4:AM$143,'GTTK chung'!$E$4:$E$143,$AH9)/10^6</f>
        <v>478.34445721999981</v>
      </c>
      <c r="AN9" s="236">
        <f>SUMIFS('GTTK chung'!AN$4:AN$143,'GTTK chung'!$E$4:$E$143,$AH9)/10^6</f>
        <v>301.50612999999998</v>
      </c>
      <c r="AO9" s="236">
        <f>SUMIFS('GTTK chung'!AO$4:AO$143,'GTTK chung'!$E$4:$E$143,$AH9)/10^6</f>
        <v>1223.3441800799999</v>
      </c>
      <c r="AP9" s="236">
        <f>SUMIFS('GTTK chung'!AP$4:AP$143,'GTTK chung'!$E$4:$E$143,$AH9)/10^6</f>
        <v>179.32877300000001</v>
      </c>
      <c r="AQ9" s="236">
        <f>SUMIFS('GTTK chung'!AQ$4:AQ$143,'GTTK chung'!$E$4:$E$143,$AH9)/10^6</f>
        <v>391.6825382065</v>
      </c>
      <c r="AR9" s="236">
        <f>SUMIFS('GTTK chung'!AR$4:AR$143,'GTTK chung'!$E$4:$E$143,$AH9)/10^6</f>
        <v>218.80126200000001</v>
      </c>
      <c r="AS9" s="236">
        <f>SUMIFS('GTTK chung'!AS$4:AS$143,'GTTK chung'!$E$4:$E$143,$AH9)/10^6</f>
        <v>245.086423</v>
      </c>
      <c r="AT9" s="236">
        <f>SUMIFS('GTTK chung'!AT$4:AT$143,'GTTK chung'!$E$4:$E$143,$AH9)/10^6</f>
        <v>425.03303199999999</v>
      </c>
      <c r="AU9" s="236">
        <f>SUMIFS('GTTK chung'!AU$4:AU$143,'GTTK chung'!$E$4:$E$143,$AH9)/10^6</f>
        <v>268.89030300000002</v>
      </c>
      <c r="AW9" s="218">
        <f>AI9+COUNTIFS(AI$5:AI9,AI9)*0.01</f>
        <v>4788.5242755065001</v>
      </c>
    </row>
    <row r="10" spans="1:67">
      <c r="A10" s="228">
        <v>6</v>
      </c>
      <c r="B10" s="225" t="str">
        <f t="shared" si="1"/>
        <v>Tăng năng suất</v>
      </c>
      <c r="C10" s="565">
        <f>SUMIFS('GTTK chung'!AX$4:AX$143,'GTTK chung'!$E$4:$E$143,$B10)/10^6</f>
        <v>279.0718628347409</v>
      </c>
      <c r="D10" s="565">
        <f>SUMIFS('GTTK chung'!AY$4:AY$143,'GTTK chung'!$E$4:$E$143,$B10)/10^6</f>
        <v>196.43220189382444</v>
      </c>
      <c r="E10" s="565">
        <f>SUMIFS('GTTK chung'!AZ$4:AZ$143,'GTTK chung'!$E$4:$E$143,$B10)/10^6</f>
        <v>301.92445404442702</v>
      </c>
      <c r="F10" s="565">
        <f>SUMIFS('GTTK chung'!BA$4:BA$143,'GTTK chung'!$E$4:$E$143,$B10)/10^6</f>
        <v>275.31098129305639</v>
      </c>
      <c r="G10" s="565">
        <f>SUMIFS('GTTK chung'!BB$4:BB$143,'GTTK chung'!$E$4:$E$143,$B10)/10^6</f>
        <v>500.25959860363628</v>
      </c>
      <c r="H10" s="565">
        <f>SUMIFS('GTTK chung'!BC$4:BC$143,'GTTK chung'!$E$4:$E$143,$B10)/10^6</f>
        <v>445.73380742880812</v>
      </c>
      <c r="I10" s="565">
        <f>SUMIFS('GTTK chung'!BD$4:BD$143,'GTTK chung'!$E$4:$E$143,$B10)/10^6</f>
        <v>378.27477636433582</v>
      </c>
      <c r="J10" s="565">
        <f>SUMIFS('GTTK chung'!BE$4:BE$143,'GTTK chung'!$E$4:$E$143,$B10)/10^6</f>
        <v>318.19792970508257</v>
      </c>
      <c r="K10" s="565">
        <f>SUMIFS('GTTK chung'!BF$4:BF$143,'GTTK chung'!$E$4:$E$143,$B10)/10^6</f>
        <v>378.26281128983078</v>
      </c>
      <c r="L10" s="565">
        <f>SUMIFS('GTTK chung'!BG$4:BG$143,'GTTK chung'!$E$4:$E$143,$B10)/10^6</f>
        <v>403.6295244215305</v>
      </c>
      <c r="M10" s="565">
        <f>SUMIFS('GTTK chung'!BH$4:BH$143,'GTTK chung'!$E$4:$E$143,$B10)/10^6</f>
        <v>487.74707594405311</v>
      </c>
      <c r="N10" s="565">
        <f>SUMIFS('GTTK chung'!BI$4:BI$143,'GTTK chung'!$E$4:$E$143,$B10)/10^6</f>
        <v>584.48332238604712</v>
      </c>
      <c r="O10" s="565">
        <f t="shared" si="4"/>
        <v>4549.3283462093732</v>
      </c>
      <c r="P10" s="568">
        <f t="shared" si="2"/>
        <v>769.90102236498603</v>
      </c>
      <c r="Q10" s="539">
        <f t="shared" si="5"/>
        <v>1.9778552898961608E-2</v>
      </c>
      <c r="R10" s="565">
        <f t="shared" si="3"/>
        <v>233.96003300000001</v>
      </c>
      <c r="S10" s="565">
        <f t="shared" si="3"/>
        <v>192.87786836498603</v>
      </c>
      <c r="T10" s="565">
        <f t="shared" si="3"/>
        <v>191.429068</v>
      </c>
      <c r="U10" s="565">
        <f t="shared" si="3"/>
        <v>151.63405299999999</v>
      </c>
      <c r="V10" s="565">
        <f t="shared" si="3"/>
        <v>0</v>
      </c>
      <c r="W10" s="565">
        <f t="shared" si="3"/>
        <v>0</v>
      </c>
      <c r="X10" s="565">
        <f t="shared" si="3"/>
        <v>0</v>
      </c>
      <c r="Y10" s="565">
        <f t="shared" si="3"/>
        <v>0</v>
      </c>
      <c r="Z10" s="565">
        <f t="shared" si="3"/>
        <v>0</v>
      </c>
      <c r="AA10" s="565">
        <f t="shared" si="3"/>
        <v>0</v>
      </c>
      <c r="AB10" s="565">
        <f t="shared" si="3"/>
        <v>0</v>
      </c>
      <c r="AC10" s="565">
        <f t="shared" si="3"/>
        <v>0</v>
      </c>
      <c r="AF10" s="156">
        <f t="shared" si="6"/>
        <v>5</v>
      </c>
      <c r="AG10" s="228">
        <v>6</v>
      </c>
      <c r="AH10" s="225" t="s">
        <v>31</v>
      </c>
      <c r="AI10" s="256">
        <f t="shared" si="7"/>
        <v>2757.1574000000001</v>
      </c>
      <c r="AJ10" s="236">
        <f>SUMIFS('GTTK chung'!AJ$4:AJ$143,'GTTK chung'!$E$4:$E$143,$AH10)/10^6</f>
        <v>0</v>
      </c>
      <c r="AK10" s="236">
        <f>SUMIFS('GTTK chung'!AK$4:AK$143,'GTTK chung'!$E$4:$E$143,$AH10)/10^6</f>
        <v>307</v>
      </c>
      <c r="AL10" s="236">
        <f>SUMIFS('GTTK chung'!AL$4:AL$143,'GTTK chung'!$E$4:$E$143,$AH10)/10^6</f>
        <v>272.10896500000001</v>
      </c>
      <c r="AM10" s="236">
        <f>SUMIFS('GTTK chung'!AM$4:AM$143,'GTTK chung'!$E$4:$E$143,$AH10)/10^6</f>
        <v>206.35083700000001</v>
      </c>
      <c r="AN10" s="236">
        <f>SUMIFS('GTTK chung'!AN$4:AN$143,'GTTK chung'!$E$4:$E$143,$AH10)/10^6</f>
        <v>255.10135399999999</v>
      </c>
      <c r="AO10" s="236">
        <f>SUMIFS('GTTK chung'!AO$4:AO$143,'GTTK chung'!$E$4:$E$143,$AH10)/10^6</f>
        <v>223.02555599999999</v>
      </c>
      <c r="AP10" s="236">
        <f>SUMIFS('GTTK chung'!AP$4:AP$143,'GTTK chung'!$E$4:$E$143,$AH10)/10^6</f>
        <v>214.37778800000001</v>
      </c>
      <c r="AQ10" s="236">
        <f>SUMIFS('GTTK chung'!AQ$4:AQ$143,'GTTK chung'!$E$4:$E$143,$AH10)/10^6</f>
        <v>243.590316</v>
      </c>
      <c r="AR10" s="236">
        <f>SUMIFS('GTTK chung'!AR$4:AR$143,'GTTK chung'!$E$4:$E$143,$AH10)/10^6</f>
        <v>381.10135200000002</v>
      </c>
      <c r="AS10" s="236">
        <f>SUMIFS('GTTK chung'!AS$4:AS$143,'GTTK chung'!$E$4:$E$143,$AH10)/10^6</f>
        <v>217.214979</v>
      </c>
      <c r="AT10" s="236">
        <f>SUMIFS('GTTK chung'!AT$4:AT$143,'GTTK chung'!$E$4:$E$143,$AH10)/10^6</f>
        <v>240.40277900000001</v>
      </c>
      <c r="AU10" s="236">
        <f>SUMIFS('GTTK chung'!AU$4:AU$143,'GTTK chung'!$E$4:$E$143,$AH10)/10^6</f>
        <v>196.88347400000001</v>
      </c>
      <c r="AW10" s="218">
        <f>AI10+COUNTIFS(AI$5:AI10,AI10)*0.01</f>
        <v>2757.1674000000003</v>
      </c>
    </row>
    <row r="11" spans="1:67">
      <c r="A11" s="228">
        <v>7</v>
      </c>
      <c r="B11" s="225" t="str">
        <f t="shared" si="1"/>
        <v>Tiết kiệm năng lượng</v>
      </c>
      <c r="C11" s="565">
        <f>SUMIFS('GTTK chung'!AX$4:AX$143,'GTTK chung'!$E$4:$E$143,$B11)/10^6</f>
        <v>0</v>
      </c>
      <c r="D11" s="565">
        <f>SUMIFS('GTTK chung'!AY$4:AY$143,'GTTK chung'!$E$4:$E$143,$B11)/10^6</f>
        <v>0</v>
      </c>
      <c r="E11" s="565">
        <f>SUMIFS('GTTK chung'!AZ$4:AZ$143,'GTTK chung'!$E$4:$E$143,$B11)/10^6</f>
        <v>0</v>
      </c>
      <c r="F11" s="565">
        <f>SUMIFS('GTTK chung'!BA$4:BA$143,'GTTK chung'!$E$4:$E$143,$B11)/10^6</f>
        <v>0</v>
      </c>
      <c r="G11" s="565">
        <f>SUMIFS('GTTK chung'!BB$4:BB$143,'GTTK chung'!$E$4:$E$143,$B11)/10^6</f>
        <v>0</v>
      </c>
      <c r="H11" s="565">
        <f>SUMIFS('GTTK chung'!BC$4:BC$143,'GTTK chung'!$E$4:$E$143,$B11)/10^6</f>
        <v>0</v>
      </c>
      <c r="I11" s="565">
        <f>SUMIFS('GTTK chung'!BD$4:BD$143,'GTTK chung'!$E$4:$E$143,$B11)/10^6</f>
        <v>0</v>
      </c>
      <c r="J11" s="565">
        <f>SUMIFS('GTTK chung'!BE$4:BE$143,'GTTK chung'!$E$4:$E$143,$B11)/10^6</f>
        <v>0</v>
      </c>
      <c r="K11" s="565">
        <f>SUMIFS('GTTK chung'!BF$4:BF$143,'GTTK chung'!$E$4:$E$143,$B11)/10^6</f>
        <v>0</v>
      </c>
      <c r="L11" s="565">
        <f>SUMIFS('GTTK chung'!BG$4:BG$143,'GTTK chung'!$E$4:$E$143,$B11)/10^6</f>
        <v>0</v>
      </c>
      <c r="M11" s="565">
        <f>SUMIFS('GTTK chung'!BH$4:BH$143,'GTTK chung'!$E$4:$E$143,$B11)/10^6</f>
        <v>0</v>
      </c>
      <c r="N11" s="565">
        <f>SUMIFS('GTTK chung'!BI$4:BI$143,'GTTK chung'!$E$4:$E$143,$B11)/10^6</f>
        <v>0</v>
      </c>
      <c r="O11" s="565">
        <f t="shared" si="4"/>
        <v>0</v>
      </c>
      <c r="P11" s="568">
        <f t="shared" si="2"/>
        <v>339.22669900000005</v>
      </c>
      <c r="Q11" s="539">
        <f t="shared" si="5"/>
        <v>8.714643851623443E-3</v>
      </c>
      <c r="R11" s="565">
        <f t="shared" si="3"/>
        <v>0</v>
      </c>
      <c r="S11" s="565">
        <f t="shared" si="3"/>
        <v>0</v>
      </c>
      <c r="T11" s="565">
        <f t="shared" si="3"/>
        <v>0</v>
      </c>
      <c r="U11" s="565">
        <f t="shared" si="3"/>
        <v>85.447580000000002</v>
      </c>
      <c r="V11" s="565">
        <f t="shared" si="3"/>
        <v>96.412880000000001</v>
      </c>
      <c r="W11" s="565">
        <f t="shared" si="3"/>
        <v>7.1095889999999997</v>
      </c>
      <c r="X11" s="565">
        <f t="shared" si="3"/>
        <v>14.834686</v>
      </c>
      <c r="Y11" s="565">
        <f t="shared" si="3"/>
        <v>77.536721</v>
      </c>
      <c r="Z11" s="565">
        <f t="shared" si="3"/>
        <v>27.671581</v>
      </c>
      <c r="AA11" s="565">
        <f t="shared" si="3"/>
        <v>10.548849000000001</v>
      </c>
      <c r="AB11" s="565">
        <f t="shared" si="3"/>
        <v>7.472505</v>
      </c>
      <c r="AC11" s="565">
        <f t="shared" si="3"/>
        <v>12.192308000000001</v>
      </c>
      <c r="AF11" s="156">
        <f t="shared" si="6"/>
        <v>2</v>
      </c>
      <c r="AG11" s="228">
        <v>7</v>
      </c>
      <c r="AH11" s="225" t="s">
        <v>167</v>
      </c>
      <c r="AI11" s="256">
        <f t="shared" si="7"/>
        <v>13127.535455000001</v>
      </c>
      <c r="AJ11" s="236">
        <f>SUMIFS('GTTK chung'!AJ$4:AJ$143,'GTTK chung'!$E$4:$E$143,$AH11)/10^6</f>
        <v>643.66102899999998</v>
      </c>
      <c r="AK11" s="236">
        <f>SUMIFS('GTTK chung'!AK$4:AK$143,'GTTK chung'!$E$4:$E$143,$AH11)/10^6</f>
        <v>440.46678200000002</v>
      </c>
      <c r="AL11" s="236">
        <f>SUMIFS('GTTK chung'!AL$4:AL$143,'GTTK chung'!$E$4:$E$143,$AH11)/10^6</f>
        <v>203.81421</v>
      </c>
      <c r="AM11" s="236">
        <f>SUMIFS('GTTK chung'!AM$4:AM$143,'GTTK chung'!$E$4:$E$143,$AH11)/10^6</f>
        <v>85.071216000000007</v>
      </c>
      <c r="AN11" s="236">
        <f>SUMIFS('GTTK chung'!AN$4:AN$143,'GTTK chung'!$E$4:$E$143,$AH11)/10^6</f>
        <v>4105.9402910000008</v>
      </c>
      <c r="AO11" s="236">
        <f>SUMIFS('GTTK chung'!AO$4:AO$143,'GTTK chung'!$E$4:$E$143,$AH11)/10^6</f>
        <v>1061.0260560000002</v>
      </c>
      <c r="AP11" s="236">
        <f>SUMIFS('GTTK chung'!AP$4:AP$143,'GTTK chung'!$E$4:$E$143,$AH11)/10^6</f>
        <v>843.26026200000001</v>
      </c>
      <c r="AQ11" s="236">
        <f>SUMIFS('GTTK chung'!AQ$4:AQ$143,'GTTK chung'!$E$4:$E$143,$AH11)/10^6</f>
        <v>2168.0207019999998</v>
      </c>
      <c r="AR11" s="236">
        <f>SUMIFS('GTTK chung'!AR$4:AR$143,'GTTK chung'!$E$4:$E$143,$AH11)/10^6</f>
        <v>1264.157498</v>
      </c>
      <c r="AS11" s="236">
        <f>SUMIFS('GTTK chung'!AS$4:AS$143,'GTTK chung'!$E$4:$E$143,$AH11)/10^6</f>
        <v>1075.7894980000001</v>
      </c>
      <c r="AT11" s="236">
        <f>SUMIFS('GTTK chung'!AT$4:AT$143,'GTTK chung'!$E$4:$E$143,$AH11)/10^6</f>
        <v>847.0772189999999</v>
      </c>
      <c r="AU11" s="236">
        <f>SUMIFS('GTTK chung'!AU$4:AU$143,'GTTK chung'!$E$4:$E$143,$AH11)/10^6</f>
        <v>389.25069200000002</v>
      </c>
      <c r="AW11" s="218">
        <f>AI11+COUNTIFS(AI$5:AI11,AI11)*0.01</f>
        <v>13127.545455000001</v>
      </c>
    </row>
    <row r="12" spans="1:67">
      <c r="A12" s="228">
        <v>8</v>
      </c>
      <c r="B12" s="225" t="str">
        <f t="shared" si="1"/>
        <v>Giảm tỷ lệ phó sản</v>
      </c>
      <c r="C12" s="565">
        <f>SUMIFS('GTTK chung'!AX$4:AX$143,'GTTK chung'!$E$4:$E$143,$B12)/10^6</f>
        <v>122.05350900000001</v>
      </c>
      <c r="D12" s="565">
        <f>SUMIFS('GTTK chung'!AY$4:AY$143,'GTTK chung'!$E$4:$E$143,$B12)/10^6</f>
        <v>398.35158100000001</v>
      </c>
      <c r="E12" s="565">
        <f>SUMIFS('GTTK chung'!AZ$4:AZ$143,'GTTK chung'!$E$4:$E$143,$B12)/10^6</f>
        <v>176.823814</v>
      </c>
      <c r="F12" s="565">
        <f>SUMIFS('GTTK chung'!BA$4:BA$143,'GTTK chung'!$E$4:$E$143,$B12)/10^6</f>
        <v>321.71699999999998</v>
      </c>
      <c r="G12" s="565">
        <f>SUMIFS('GTTK chung'!BB$4:BB$143,'GTTK chung'!$E$4:$E$143,$B12)/10^6</f>
        <v>699.14870800000006</v>
      </c>
      <c r="H12" s="565">
        <f>SUMIFS('GTTK chung'!BC$4:BC$143,'GTTK chung'!$E$4:$E$143,$B12)/10^6</f>
        <v>487.44574299999999</v>
      </c>
      <c r="I12" s="565">
        <f>SUMIFS('GTTK chung'!BD$4:BD$143,'GTTK chung'!$E$4:$E$143,$B12)/10^6</f>
        <v>193.09945999999999</v>
      </c>
      <c r="J12" s="565">
        <f>SUMIFS('GTTK chung'!BE$4:BE$143,'GTTK chung'!$E$4:$E$143,$B12)/10^6</f>
        <v>131.81464</v>
      </c>
      <c r="K12" s="565">
        <f>SUMIFS('GTTK chung'!BF$4:BF$143,'GTTK chung'!$E$4:$E$143,$B12)/10^6</f>
        <v>190.81807900000001</v>
      </c>
      <c r="L12" s="565">
        <f>SUMIFS('GTTK chung'!BG$4:BG$143,'GTTK chung'!$E$4:$E$143,$B12)/10^6</f>
        <v>46.9908</v>
      </c>
      <c r="M12" s="565">
        <f>SUMIFS('GTTK chung'!BH$4:BH$143,'GTTK chung'!$E$4:$E$143,$B12)/10^6</f>
        <v>190.73199999999997</v>
      </c>
      <c r="N12" s="565">
        <f>SUMIFS('GTTK chung'!BI$4:BI$143,'GTTK chung'!$E$4:$E$143,$B12)/10^6</f>
        <v>90.755399999999995</v>
      </c>
      <c r="O12" s="565">
        <f t="shared" si="4"/>
        <v>3049.7507340000002</v>
      </c>
      <c r="P12" s="568">
        <f t="shared" si="2"/>
        <v>42.66210199999999</v>
      </c>
      <c r="Q12" s="539">
        <f t="shared" si="5"/>
        <v>1.095978075981667E-3</v>
      </c>
      <c r="R12" s="565">
        <f t="shared" si="3"/>
        <v>2.3255229999999885</v>
      </c>
      <c r="S12" s="565">
        <f t="shared" si="3"/>
        <v>0</v>
      </c>
      <c r="T12" s="565">
        <f t="shared" si="3"/>
        <v>0</v>
      </c>
      <c r="U12" s="565">
        <f t="shared" si="3"/>
        <v>11.872</v>
      </c>
      <c r="V12" s="565">
        <f t="shared" si="3"/>
        <v>4.1285790000000002</v>
      </c>
      <c r="W12" s="565">
        <f t="shared" si="3"/>
        <v>24.335999999999999</v>
      </c>
      <c r="X12" s="565">
        <f t="shared" si="3"/>
        <v>0</v>
      </c>
      <c r="Y12" s="565">
        <f t="shared" si="3"/>
        <v>0</v>
      </c>
      <c r="Z12" s="565">
        <f t="shared" si="3"/>
        <v>0</v>
      </c>
      <c r="AA12" s="565">
        <f t="shared" si="3"/>
        <v>0</v>
      </c>
      <c r="AB12" s="565">
        <f t="shared" si="3"/>
        <v>0</v>
      </c>
      <c r="AC12" s="565">
        <f t="shared" si="3"/>
        <v>0</v>
      </c>
      <c r="AF12" s="156">
        <f t="shared" si="6"/>
        <v>7</v>
      </c>
      <c r="AG12" s="228">
        <v>8</v>
      </c>
      <c r="AH12" s="225" t="s">
        <v>169</v>
      </c>
      <c r="AI12" s="256">
        <f t="shared" si="7"/>
        <v>339.22669900000005</v>
      </c>
      <c r="AJ12" s="236">
        <f>SUMIFS('GTTK chung'!AJ$4:AJ$143,'GTTK chung'!$E$4:$E$143,$AH12)/10^6</f>
        <v>0</v>
      </c>
      <c r="AK12" s="236">
        <f>SUMIFS('GTTK chung'!AK$4:AK$143,'GTTK chung'!$E$4:$E$143,$AH12)/10^6</f>
        <v>0</v>
      </c>
      <c r="AL12" s="236">
        <f>SUMIFS('GTTK chung'!AL$4:AL$143,'GTTK chung'!$E$4:$E$143,$AH12)/10^6</f>
        <v>0</v>
      </c>
      <c r="AM12" s="236">
        <f>SUMIFS('GTTK chung'!AM$4:AM$143,'GTTK chung'!$E$4:$E$143,$AH12)/10^6</f>
        <v>85.447580000000002</v>
      </c>
      <c r="AN12" s="236">
        <f>SUMIFS('GTTK chung'!AN$4:AN$143,'GTTK chung'!$E$4:$E$143,$AH12)/10^6</f>
        <v>96.412880000000001</v>
      </c>
      <c r="AO12" s="236">
        <f>SUMIFS('GTTK chung'!AO$4:AO$143,'GTTK chung'!$E$4:$E$143,$AH12)/10^6</f>
        <v>7.1095889999999997</v>
      </c>
      <c r="AP12" s="236">
        <f>SUMIFS('GTTK chung'!AP$4:AP$143,'GTTK chung'!$E$4:$E$143,$AH12)/10^6</f>
        <v>14.834686</v>
      </c>
      <c r="AQ12" s="236">
        <f>SUMIFS('GTTK chung'!AQ$4:AQ$143,'GTTK chung'!$E$4:$E$143,$AH12)/10^6</f>
        <v>77.536721</v>
      </c>
      <c r="AR12" s="236">
        <f>SUMIFS('GTTK chung'!AR$4:AR$143,'GTTK chung'!$E$4:$E$143,$AH12)/10^6</f>
        <v>27.671581</v>
      </c>
      <c r="AS12" s="236">
        <f>SUMIFS('GTTK chung'!AS$4:AS$143,'GTTK chung'!$E$4:$E$143,$AH12)/10^6</f>
        <v>10.548849000000001</v>
      </c>
      <c r="AT12" s="236">
        <f>SUMIFS('GTTK chung'!AT$4:AT$143,'GTTK chung'!$E$4:$E$143,$AH12)/10^6</f>
        <v>7.472505</v>
      </c>
      <c r="AU12" s="236">
        <f>SUMIFS('GTTK chung'!AU$4:AU$143,'GTTK chung'!$E$4:$E$143,$AH12)/10^6</f>
        <v>12.192308000000001</v>
      </c>
      <c r="AW12" s="218">
        <f>AI12+COUNTIFS(AI$5:AI12,AI12)*0.01</f>
        <v>339.23669900000004</v>
      </c>
    </row>
    <row r="13" spans="1:67">
      <c r="A13" s="252"/>
      <c r="B13" s="253" t="s">
        <v>376</v>
      </c>
      <c r="C13" s="566">
        <f t="shared" ref="C13:O13" si="8">SUM(C5:C12)</f>
        <v>1373.0045449180741</v>
      </c>
      <c r="D13" s="566">
        <f t="shared" si="8"/>
        <v>800.03972989382441</v>
      </c>
      <c r="E13" s="566">
        <f t="shared" si="8"/>
        <v>1588.4741873301414</v>
      </c>
      <c r="F13" s="566">
        <f t="shared" si="8"/>
        <v>1473.703881578771</v>
      </c>
      <c r="G13" s="566">
        <f t="shared" si="8"/>
        <v>1692.3522984501178</v>
      </c>
      <c r="H13" s="566">
        <f t="shared" si="8"/>
        <v>1461.3108600632602</v>
      </c>
      <c r="I13" s="566">
        <f t="shared" si="8"/>
        <v>2024.4785582500501</v>
      </c>
      <c r="J13" s="566">
        <f t="shared" si="8"/>
        <v>5210.0132612825073</v>
      </c>
      <c r="K13" s="566">
        <f t="shared" si="8"/>
        <v>8720.2272588109536</v>
      </c>
      <c r="L13" s="566">
        <f t="shared" si="8"/>
        <v>2940.1261205922988</v>
      </c>
      <c r="M13" s="566">
        <f t="shared" si="8"/>
        <v>4517.3693241431811</v>
      </c>
      <c r="N13" s="566">
        <f t="shared" si="8"/>
        <v>3832.2541598875478</v>
      </c>
      <c r="O13" s="566">
        <f t="shared" si="8"/>
        <v>35633.354185200733</v>
      </c>
      <c r="P13" s="566">
        <f>SUM(P5:P12)</f>
        <v>38926.05421124649</v>
      </c>
      <c r="Q13" s="540">
        <f t="shared" si="5"/>
        <v>1</v>
      </c>
      <c r="R13" s="566">
        <f t="shared" ref="R13" si="9">SUM(R5:R12)</f>
        <v>2819.4198219999998</v>
      </c>
      <c r="S13" s="566">
        <f t="shared" ref="S13" si="10">SUM(S5:S12)</f>
        <v>3540.6355283649859</v>
      </c>
      <c r="T13" s="566">
        <f t="shared" ref="T13" si="11">SUM(T5:T12)</f>
        <v>1384.2882353749999</v>
      </c>
      <c r="U13" s="566">
        <f t="shared" ref="U13" si="12">SUM(U5:U12)</f>
        <v>2451.4173852199997</v>
      </c>
      <c r="V13" s="566">
        <f t="shared" ref="V13" si="13">SUM(V5:V12)</f>
        <v>6343.0405560000008</v>
      </c>
      <c r="W13" s="566">
        <f t="shared" ref="W13" si="14">SUM(W5:W12)</f>
        <v>3559.9330220799998</v>
      </c>
      <c r="X13" s="566">
        <f t="shared" ref="X13" si="15">SUM(X5:X12)</f>
        <v>3634.5070939999996</v>
      </c>
      <c r="Y13" s="566">
        <f t="shared" ref="Y13" si="16">SUM(Y5:Y12)</f>
        <v>5611.7851942064999</v>
      </c>
      <c r="Z13" s="566">
        <f t="shared" ref="Z13" si="17">SUM(Z5:Z12)</f>
        <v>2951.3403480000002</v>
      </c>
      <c r="AA13" s="566">
        <f t="shared" ref="AA13" si="18">SUM(AA5:AA12)</f>
        <v>2936.5570029999994</v>
      </c>
      <c r="AB13" s="566">
        <f t="shared" ref="AB13" si="19">SUM(AB5:AB12)</f>
        <v>2089.5899810000001</v>
      </c>
      <c r="AC13" s="566">
        <f t="shared" ref="AC13" si="20">SUM(AC5:AC12)</f>
        <v>1603.5400420000001</v>
      </c>
      <c r="AG13" s="252"/>
      <c r="AH13" s="253" t="s">
        <v>376</v>
      </c>
      <c r="AI13" s="254">
        <f>SUM(AI5:AI12)</f>
        <v>38926.054211246483</v>
      </c>
      <c r="AJ13" s="254">
        <f t="shared" ref="AJ13" si="21">SUM(AJ5:AJ12)</f>
        <v>2819.4198219999998</v>
      </c>
      <c r="AK13" s="254">
        <f t="shared" ref="AK13" si="22">SUM(AK5:AK12)</f>
        <v>3540.6355283649859</v>
      </c>
      <c r="AL13" s="254">
        <f t="shared" ref="AL13" si="23">SUM(AL5:AL12)</f>
        <v>1384.2882353750001</v>
      </c>
      <c r="AM13" s="254">
        <f t="shared" ref="AM13" si="24">SUM(AM5:AM12)</f>
        <v>2451.4173852199997</v>
      </c>
      <c r="AN13" s="254">
        <f t="shared" ref="AN13" si="25">SUM(AN5:AN12)</f>
        <v>6343.0405559999999</v>
      </c>
      <c r="AO13" s="254">
        <f t="shared" ref="AO13" si="26">SUM(AO5:AO12)</f>
        <v>3559.9330220800002</v>
      </c>
      <c r="AP13" s="254">
        <f t="shared" ref="AP13" si="27">SUM(AP5:AP12)</f>
        <v>3634.5070939999996</v>
      </c>
      <c r="AQ13" s="254">
        <f t="shared" ref="AQ13" si="28">SUM(AQ5:AQ12)</f>
        <v>5611.7851942064999</v>
      </c>
      <c r="AR13" s="254">
        <f t="shared" ref="AR13" si="29">SUM(AR5:AR12)</f>
        <v>2951.3403480000002</v>
      </c>
      <c r="AS13" s="254">
        <f t="shared" ref="AS13" si="30">SUM(AS5:AS12)</f>
        <v>2936.5570029999999</v>
      </c>
      <c r="AT13" s="254">
        <f t="shared" ref="AT13" si="31">SUM(AT5:AT12)</f>
        <v>2089.5899810000001</v>
      </c>
      <c r="AU13" s="254">
        <f t="shared" ref="AU13" si="32">SUM(AU5:AU12)</f>
        <v>1603.5400420000001</v>
      </c>
    </row>
    <row r="14" spans="1:67" s="241" customFormat="1" ht="14.5">
      <c r="B14" s="241" t="s">
        <v>340</v>
      </c>
      <c r="O14" s="251">
        <f>O13-'GTTK chung'!$BJ$143/10^6</f>
        <v>0</v>
      </c>
      <c r="P14" s="251">
        <f>P13-'GTTK chung'!$AV$143/10^6</f>
        <v>0</v>
      </c>
      <c r="Q14" s="251"/>
      <c r="AH14" s="241" t="s">
        <v>340</v>
      </c>
      <c r="AI14" s="242">
        <f>AI13-'GTTK chung'!$AV$143/10^6</f>
        <v>0</v>
      </c>
      <c r="AJ14" s="1256">
        <f>AJ13-'GTTK chung'!AJ143/10^6</f>
        <v>0</v>
      </c>
      <c r="AK14" s="1256">
        <f>AK13-'GTTK chung'!AK143/10^6</f>
        <v>0</v>
      </c>
      <c r="AL14" s="1256">
        <f>AL13-'GTTK chung'!AL143/10^6</f>
        <v>0</v>
      </c>
      <c r="AM14" s="1256">
        <f>AM13-'GTTK chung'!AM143/10^6</f>
        <v>0</v>
      </c>
      <c r="AN14" s="1256">
        <f>AN13-'GTTK chung'!AN143/10^6</f>
        <v>0</v>
      </c>
      <c r="AO14" s="1256">
        <f>AO13-'GTTK chung'!AO143/10^6</f>
        <v>0</v>
      </c>
      <c r="AP14" s="1256">
        <f>AP13-'GTTK chung'!AP143/10^6</f>
        <v>0</v>
      </c>
      <c r="AQ14" s="1256">
        <f>AQ13-'GTTK chung'!AQ143/10^6</f>
        <v>0</v>
      </c>
      <c r="AR14" s="1256">
        <f>AR13-'GTTK chung'!AR143/10^6</f>
        <v>0</v>
      </c>
      <c r="AS14" s="1256">
        <f>AS13-'GTTK chung'!AS143/10^6</f>
        <v>0</v>
      </c>
      <c r="AT14" s="1256">
        <f>AT13-'GTTK chung'!AT143/10^6</f>
        <v>0</v>
      </c>
      <c r="AU14" s="1256">
        <f>AU13-'GTTK chung'!AU143/10^6</f>
        <v>0</v>
      </c>
      <c r="AY14" s="156"/>
      <c r="AZ14" s="156"/>
      <c r="BA14" s="156"/>
      <c r="BB14" s="156"/>
      <c r="BC14" s="156"/>
      <c r="BD14" s="156"/>
      <c r="BE14" s="156"/>
      <c r="BF14" s="156"/>
      <c r="BG14" s="156"/>
      <c r="BH14" s="156"/>
      <c r="BI14" s="156"/>
      <c r="BJ14" s="156"/>
      <c r="BK14" s="156"/>
      <c r="BL14" s="156"/>
      <c r="BM14" s="156"/>
      <c r="BN14" s="156"/>
      <c r="BO14" s="156"/>
    </row>
    <row r="16" spans="1:67" ht="16.5">
      <c r="A16" s="199" t="s">
        <v>378</v>
      </c>
      <c r="B16" s="199" t="s">
        <v>379</v>
      </c>
      <c r="C16" s="199"/>
      <c r="D16" s="199"/>
      <c r="E16" s="199"/>
      <c r="F16" s="199"/>
      <c r="G16" s="199"/>
      <c r="H16" s="199"/>
      <c r="I16" s="199"/>
      <c r="J16" s="199"/>
      <c r="K16" s="199"/>
      <c r="L16" s="199"/>
      <c r="M16" s="199"/>
      <c r="N16" s="199"/>
      <c r="O16" s="199"/>
    </row>
    <row r="17" spans="1:55">
      <c r="B17" s="340" t="s">
        <v>374</v>
      </c>
      <c r="C17" s="340"/>
      <c r="D17" s="340"/>
      <c r="E17" s="340"/>
      <c r="F17" s="340"/>
      <c r="G17" s="340"/>
      <c r="H17" s="340"/>
      <c r="I17" s="340"/>
      <c r="J17" s="340"/>
      <c r="K17" s="340"/>
      <c r="L17" s="340"/>
      <c r="M17" s="340"/>
      <c r="N17" s="340"/>
      <c r="O17" s="340"/>
    </row>
    <row r="18" spans="1:55">
      <c r="A18" s="237" t="s">
        <v>0</v>
      </c>
      <c r="B18" s="238" t="s">
        <v>1</v>
      </c>
      <c r="C18" s="786">
        <v>1.24</v>
      </c>
      <c r="D18" s="786" t="s">
        <v>704</v>
      </c>
      <c r="E18" s="786" t="s">
        <v>705</v>
      </c>
      <c r="F18" s="786" t="s">
        <v>706</v>
      </c>
      <c r="G18" s="786" t="s">
        <v>707</v>
      </c>
      <c r="H18" s="786" t="s">
        <v>708</v>
      </c>
      <c r="I18" s="786" t="s">
        <v>709</v>
      </c>
      <c r="J18" s="786" t="s">
        <v>710</v>
      </c>
      <c r="K18" s="786" t="s">
        <v>711</v>
      </c>
      <c r="L18" s="786" t="s">
        <v>712</v>
      </c>
      <c r="M18" s="786" t="s">
        <v>713</v>
      </c>
      <c r="N18" s="786" t="s">
        <v>714</v>
      </c>
      <c r="O18" s="787">
        <v>2024</v>
      </c>
      <c r="P18" s="239" t="s">
        <v>719</v>
      </c>
      <c r="Q18" s="239" t="s">
        <v>720</v>
      </c>
      <c r="R18" s="339" t="s">
        <v>540</v>
      </c>
      <c r="S18" s="239">
        <v>1.25</v>
      </c>
      <c r="T18" s="239">
        <v>2</v>
      </c>
      <c r="U18" s="239">
        <v>3</v>
      </c>
      <c r="V18" s="239">
        <v>4</v>
      </c>
      <c r="W18" s="239">
        <v>5</v>
      </c>
      <c r="X18" s="239">
        <v>6</v>
      </c>
      <c r="Y18" s="239">
        <v>7</v>
      </c>
      <c r="Z18" s="239">
        <v>8</v>
      </c>
      <c r="AA18" s="239">
        <v>9</v>
      </c>
      <c r="AB18" s="239">
        <v>10</v>
      </c>
      <c r="AC18" s="239">
        <v>11</v>
      </c>
      <c r="AD18" s="239">
        <v>12</v>
      </c>
      <c r="AF18" s="156" t="s">
        <v>377</v>
      </c>
      <c r="AG18" s="237" t="s">
        <v>0</v>
      </c>
      <c r="AH18" s="238" t="s">
        <v>1</v>
      </c>
      <c r="AI18" s="239">
        <v>2025</v>
      </c>
      <c r="AJ18" s="239">
        <v>1.25</v>
      </c>
      <c r="AK18" s="239">
        <v>2</v>
      </c>
      <c r="AL18" s="239">
        <v>3</v>
      </c>
      <c r="AM18" s="239">
        <v>4</v>
      </c>
      <c r="AN18" s="239">
        <v>5</v>
      </c>
      <c r="AO18" s="239">
        <v>6</v>
      </c>
      <c r="AP18" s="239">
        <v>7</v>
      </c>
      <c r="AQ18" s="239">
        <v>8</v>
      </c>
      <c r="AR18" s="239">
        <v>9</v>
      </c>
      <c r="AS18" s="239">
        <v>10</v>
      </c>
      <c r="AT18" s="239">
        <v>11</v>
      </c>
      <c r="AU18" s="240">
        <v>12</v>
      </c>
      <c r="AW18" s="265" t="s">
        <v>754</v>
      </c>
      <c r="AY18" s="335" t="s">
        <v>536</v>
      </c>
      <c r="BA18" s="994" t="s">
        <v>752</v>
      </c>
      <c r="BB18" s="265" t="s">
        <v>755</v>
      </c>
      <c r="BC18" s="994" t="s">
        <v>753</v>
      </c>
    </row>
    <row r="19" spans="1:55">
      <c r="A19" s="226">
        <v>1</v>
      </c>
      <c r="B19" s="224" t="str">
        <f>INDEX($AH$19:$AH$32,MATCH($A19,$AF$19:$AF$32,0))</f>
        <v>Kỹ Thuật</v>
      </c>
      <c r="C19" s="573">
        <f>IF($B19="Kế toán",SUM(C$36:C$38),IF($B19="Quản lý chất lượng",SUM(C$40:C$41),SUMIFS('GTTK chung'!AX$4:AX$143,'GTTK chung'!$G$4:$G$143,$B19)/10^6))</f>
        <v>556.59492308333324</v>
      </c>
      <c r="D19" s="573">
        <f>IF($B19="Kế toán",SUM(D$36:D$38),IF($B19="Quản lý chất lượng",SUM(D$40:D$41),SUMIFS('GTTK chung'!AY$4:AY$143,'GTTK chung'!$G$4:$G$143,$B19)/10^6))</f>
        <v>0</v>
      </c>
      <c r="E19" s="573">
        <f>IF($B19="Kế toán",SUM(E$36:E$38),IF($B19="Quản lý chất lượng",SUM(E$40:E$41),SUMIFS('GTTK chung'!AZ$4:AZ$143,'GTTK chung'!$G$4:$G$143,$B19)/10^6))</f>
        <v>24.478716679077621</v>
      </c>
      <c r="F19" s="573">
        <f>IF($B19="Kế toán",SUM(F$36:F$38),IF($B19="Quản lý chất lượng",SUM(F$40:F$41),SUMIFS('GTTK chung'!BA$4:BA$143,'GTTK chung'!$G$4:$G$143,$B19)/10^6))</f>
        <v>89.104990710574612</v>
      </c>
      <c r="G19" s="573">
        <f>IF($B19="Kế toán",SUM(G$36:G$38),IF($B19="Quản lý chất lượng",SUM(G$40:G$41),SUMIFS('GTTK chung'!BB$4:BB$143,'GTTK chung'!$G$4:$G$143,$B19)/10^6))</f>
        <v>291.89947935735148</v>
      </c>
      <c r="H19" s="573">
        <f>IF($B19="Kế toán",SUM(H$36:H$38),IF($B19="Quản lý chất lượng",SUM(H$40:H$41),SUMIFS('GTTK chung'!BC$4:BC$143,'GTTK chung'!$G$4:$G$143,$B19)/10^6))</f>
        <v>292.11950924819962</v>
      </c>
      <c r="I19" s="573">
        <f>IF($B19="Kế toán",SUM(I$36:I$38),IF($B19="Quản lý chất lượng",SUM(I$40:I$41),SUMIFS('GTTK chung'!BD$4:BD$143,'GTTK chung'!$G$4:$G$143,$B19)/10^6))</f>
        <v>867.87556110048445</v>
      </c>
      <c r="J19" s="573">
        <f>IF($B19="Kế toán",SUM(J$36:J$38),IF($B19="Quản lý chất lượng",SUM(J$40:J$41),SUMIFS('GTTK chung'!BE$4:BE$143,'GTTK chung'!$G$4:$G$143,$B19)/10^6))</f>
        <v>126.24269765908161</v>
      </c>
      <c r="K19" s="573">
        <f>IF($B19="Kế toán",SUM(K$36:K$38),IF($B19="Quản lý chất lượng",SUM(K$40:K$41),SUMIFS('GTTK chung'!BF$4:BF$143,'GTTK chung'!$G$4:$G$143,$B19)/10^6))</f>
        <v>223.99950126653093</v>
      </c>
      <c r="L19" s="573">
        <f>IF($B19="Kế toán",SUM(L$36:L$38),IF($B19="Quản lý chất lượng",SUM(L$40:L$41),SUMIFS('GTTK chung'!BG$4:BG$143,'GTTK chung'!$G$4:$G$143,$B19)/10^6))</f>
        <v>260.15643554103139</v>
      </c>
      <c r="M19" s="573">
        <f>IF($B19="Kế toán",SUM(M$36:M$38),IF($B19="Quản lý chất lượng",SUM(M$40:M$41),SUMIFS('GTTK chung'!BH$4:BH$143,'GTTK chung'!$G$4:$G$143,$B19)/10^6))</f>
        <v>2151.538933729018</v>
      </c>
      <c r="N19" s="573">
        <f>IF($B19="Kế toán",SUM(N$36:N$38),IF($B19="Quản lý chất lượng",SUM(N$40:N$41),SUMIFS('GTTK chung'!BI$4:BI$143,'GTTK chung'!$G$4:$G$143,$B19)/10^6))</f>
        <v>1323.3642670488082</v>
      </c>
      <c r="O19" s="791">
        <f>SUM(C19:N19)</f>
        <v>6207.3750154234904</v>
      </c>
      <c r="P19" s="569">
        <f>SUMIFS(AY$19:AY$32,$AF$19:$AF$32,$A19)</f>
        <v>7250</v>
      </c>
      <c r="Q19" s="570">
        <f t="shared" ref="Q19:Q32" si="33">SUM(S19:AD19)</f>
        <v>8116.2134596399865</v>
      </c>
      <c r="R19" s="788">
        <f t="shared" ref="R19:R33" si="34">Q19/P19</f>
        <v>1.1194777185710325</v>
      </c>
      <c r="S19" s="573">
        <f>SUMIFS(AJ$19:AJ$32,$AF$19:$AF$32,$A19)</f>
        <v>618.57656599999996</v>
      </c>
      <c r="T19" s="564">
        <f t="shared" ref="T19:T32" si="35">SUMIFS(AK$19:AK$32,$AF$19:$AF$32,$A19)</f>
        <v>2685.800144364986</v>
      </c>
      <c r="U19" s="564">
        <f t="shared" ref="U19:U32" si="36">SUMIFS(AL$19:AL$32,$AF$19:$AF$32,$A19)</f>
        <v>203.372236375</v>
      </c>
      <c r="V19" s="564">
        <f t="shared" ref="V19:V32" si="37">SUMIFS(AM$19:AM$32,$AF$19:$AF$32,$A19)</f>
        <v>548.31409799999994</v>
      </c>
      <c r="W19" s="564">
        <f t="shared" ref="W19:W32" si="38">SUMIFS(AN$19:AN$32,$AF$19:$AF$32,$A19)</f>
        <v>1817.5794043199999</v>
      </c>
      <c r="X19" s="564">
        <f t="shared" ref="X19:X32" si="39">SUMIFS(AO$19:AO$32,$AF$19:$AF$32,$A19)</f>
        <v>180.74745298000002</v>
      </c>
      <c r="Y19" s="564">
        <f t="shared" ref="Y19:Y32" si="40">SUMIFS(AP$19:AP$32,$AF$19:$AF$32,$A19)</f>
        <v>468.85833886</v>
      </c>
      <c r="Z19" s="564">
        <f t="shared" ref="Z19:Z32" si="41">SUMIFS(AQ$19:AQ$32,$AF$19:$AF$32,$A19)</f>
        <v>874.07641918000002</v>
      </c>
      <c r="AA19" s="564">
        <f t="shared" ref="AA19:AA32" si="42">SUMIFS(AR$19:AR$32,$AF$19:$AF$32,$A19)</f>
        <v>411.82584715999997</v>
      </c>
      <c r="AB19" s="564">
        <f t="shared" ref="AB19:AB32" si="43">SUMIFS(AS$19:AS$32,$AF$19:$AF$32,$A19)</f>
        <v>142.58609238</v>
      </c>
      <c r="AC19" s="564">
        <f t="shared" ref="AC19:AC32" si="44">SUMIFS(AT$19:AT$32,$AF$19:$AF$32,$A19)</f>
        <v>124.31045202</v>
      </c>
      <c r="AD19" s="564">
        <f t="shared" ref="AD19:AD32" si="45">SUMIFS(AU$19:AU$32,$AF$19:$AF$32,$A19)</f>
        <v>40.166407999999997</v>
      </c>
      <c r="AE19" s="541">
        <f t="shared" ref="AE19:AE32" si="46">Q19/$Q$33</f>
        <v>0.20850336937811326</v>
      </c>
      <c r="AF19" s="218">
        <f>BA19+BC19</f>
        <v>3</v>
      </c>
      <c r="AG19" s="226">
        <v>1</v>
      </c>
      <c r="AH19" s="224" t="s">
        <v>18</v>
      </c>
      <c r="AI19" s="255">
        <f>SUM(AJ19:AU19)</f>
        <v>5671.7553269000009</v>
      </c>
      <c r="AJ19" s="235">
        <f>SUMIFS('GTTK chung'!AJ$4:AJ$143,'GTTK chung'!$G$4:$G$143,$AH19)/10^6</f>
        <v>0</v>
      </c>
      <c r="AK19" s="235">
        <f>SUMIFS('GTTK chung'!AK$4:AK$143,'GTTK chung'!$G$4:$G$143,$AH19)/10^6</f>
        <v>153.5</v>
      </c>
      <c r="AL19" s="235">
        <f>SUMIFS('GTTK chung'!AL$4:AL$143,'GTTK chung'!$G$4:$G$143,$AH19)/10^6</f>
        <v>144.847161</v>
      </c>
      <c r="AM19" s="235">
        <f>SUMIFS('GTTK chung'!AM$4:AM$143,'GTTK chung'!$G$4:$G$143,$AH19)/10^6</f>
        <v>463.61502100000001</v>
      </c>
      <c r="AN19" s="235">
        <f>SUMIFS('GTTK chung'!AN$4:AN$143,'GTTK chung'!$G$4:$G$143,$AH19)/10^6</f>
        <v>1026.9613543200001</v>
      </c>
      <c r="AO19" s="235">
        <f>SUMIFS('GTTK chung'!AO$4:AO$143,'GTTK chung'!$G$4:$G$143,$AH19)/10^6</f>
        <v>669.60517598000001</v>
      </c>
      <c r="AP19" s="235">
        <f>SUMIFS('GTTK chung'!AP$4:AP$143,'GTTK chung'!$G$4:$G$143,$AH19)/10^6</f>
        <v>607.60770286000002</v>
      </c>
      <c r="AQ19" s="235">
        <f>SUMIFS('GTTK chung'!AQ$4:AQ$143,'GTTK chung'!$G$4:$G$143,$AH19)/10^6</f>
        <v>322.53488118000001</v>
      </c>
      <c r="AR19" s="235">
        <f>SUMIFS('GTTK chung'!AR$4:AR$143,'GTTK chung'!$G$4:$G$143,$AH19)/10^6</f>
        <v>171.87948216000001</v>
      </c>
      <c r="AS19" s="235">
        <f>SUMIFS('GTTK chung'!AS$4:AS$143,'GTTK chung'!$G$4:$G$143,$AH19)/10^6</f>
        <v>1412.32327338</v>
      </c>
      <c r="AT19" s="235">
        <f>SUMIFS('GTTK chung'!AT$4:AT$143,'GTTK chung'!$G$4:$G$143,$AH19)/10^6</f>
        <v>310.97377502000001</v>
      </c>
      <c r="AU19" s="235">
        <f>SUMIFS('GTTK chung'!AU$4:AU$143,'GTTK chung'!$G$4:$G$143,$AH19)/10^6</f>
        <v>387.90750000000003</v>
      </c>
      <c r="AW19" s="781">
        <f>AI19+COUNTIFS(AI$19:AI19,AI19)*0.01</f>
        <v>5671.7653269000011</v>
      </c>
      <c r="AY19" s="336">
        <f>'SX PET'!O4/10^6</f>
        <v>3500</v>
      </c>
      <c r="BA19" s="781">
        <f t="shared" ref="BA19" si="47">IF($AI19=0,0,RANK($AW19,$AW$19:$AW$32,0))</f>
        <v>3</v>
      </c>
      <c r="BB19" s="781">
        <f>IF($BA19=0,AY19+COUNTIFS(AY$19:AY19,AY19)*0.01,0)</f>
        <v>0</v>
      </c>
      <c r="BC19" s="781">
        <f>IF($BA19=0,MAX($BA$19:$BA$32)+RANK($BB19,$BB$19:$BB$32,0),0)</f>
        <v>0</v>
      </c>
    </row>
    <row r="20" spans="1:55">
      <c r="A20" s="228">
        <v>2</v>
      </c>
      <c r="B20" s="225" t="str">
        <f t="shared" ref="B20:B32" si="48">INDEX($AH$19:$AH$32,MATCH($A20,$AF$19:$AF$32,0))</f>
        <v>Phòng Mua</v>
      </c>
      <c r="C20" s="574">
        <f>IF($B20="Kế toán",SUM(C$36:C$38),IF($B20="Quản lý chất lượng",SUM(C$40:C$41),SUMIFS('GTTK chung'!AX$4:AX$143,'GTTK chung'!$G$4:$G$143,$B20)/10^6))</f>
        <v>28.443000000000001</v>
      </c>
      <c r="D20" s="574">
        <f>IF($B20="Kế toán",SUM(D$36:D$38),IF($B20="Quản lý chất lượng",SUM(D$40:D$41),SUMIFS('GTTK chung'!AY$4:AY$143,'GTTK chung'!$G$4:$G$143,$B20)/10^6))</f>
        <v>41.204000000000001</v>
      </c>
      <c r="E20" s="574">
        <f>IF($B20="Kế toán",SUM(E$36:E$38),IF($B20="Quản lý chất lượng",SUM(E$40:E$41),SUMIFS('GTTK chung'!AZ$4:AZ$143,'GTTK chung'!$G$4:$G$143,$B20)/10^6))</f>
        <v>901.89337499999999</v>
      </c>
      <c r="F20" s="574">
        <f>IF($B20="Kế toán",SUM(F$36:F$38),IF($B20="Quản lý chất lượng",SUM(F$40:F$41),SUMIFS('GTTK chung'!BA$4:BA$143,'GTTK chung'!$G$4:$G$143,$B20)/10^6))</f>
        <v>668.32914600000004</v>
      </c>
      <c r="G20" s="574">
        <f>IF($B20="Kế toán",SUM(G$36:G$38),IF($B20="Quản lý chất lượng",SUM(G$40:G$41),SUMIFS('GTTK chung'!BB$4:BB$143,'GTTK chung'!$G$4:$G$143,$B20)/10^6))</f>
        <v>229.238473</v>
      </c>
      <c r="H20" s="574">
        <f>IF($B20="Kế toán",SUM(H$36:H$38),IF($B20="Quản lý chất lượng",SUM(H$40:H$41),SUMIFS('GTTK chung'!BC$4:BC$143,'GTTK chung'!$G$4:$G$143,$B20)/10^6))</f>
        <v>124.53158500000001</v>
      </c>
      <c r="I20" s="574">
        <f>IF($B20="Kế toán",SUM(I$36:I$38),IF($B20="Quản lý chất lượng",SUM(I$40:I$41),SUMIFS('GTTK chung'!BD$4:BD$143,'GTTK chung'!$G$4:$G$143,$B20)/10^6))</f>
        <v>28.271899999999999</v>
      </c>
      <c r="J20" s="574">
        <f>IF($B20="Kế toán",SUM(J$36:J$38),IF($B20="Quản lý chất lượng",SUM(J$40:J$41),SUMIFS('GTTK chung'!BE$4:BE$143,'GTTK chung'!$G$4:$G$143,$B20)/10^6))</f>
        <v>434.304485</v>
      </c>
      <c r="K20" s="574">
        <f>IF($B20="Kế toán",SUM(K$36:K$38),IF($B20="Quản lý chất lượng",SUM(K$40:K$41),SUMIFS('GTTK chung'!BF$4:BF$143,'GTTK chung'!$G$4:$G$143,$B20)/10^6))</f>
        <v>7403.4654799999998</v>
      </c>
      <c r="L20" s="574">
        <f>IF($B20="Kế toán",SUM(L$36:L$38),IF($B20="Quản lý chất lượng",SUM(L$40:L$41),SUMIFS('GTTK chung'!BG$4:BG$143,'GTTK chung'!$G$4:$G$143,$B20)/10^6))</f>
        <v>42.219000000000001</v>
      </c>
      <c r="M20" s="574">
        <f>IF($B20="Kế toán",SUM(M$36:M$38),IF($B20="Quản lý chất lượng",SUM(M$40:M$41),SUMIFS('GTTK chung'!BH$4:BH$143,'GTTK chung'!$G$4:$G$143,$B20)/10^6))</f>
        <v>143.238519</v>
      </c>
      <c r="N20" s="574">
        <f>IF($B20="Kế toán",SUM(N$36:N$38),IF($B20="Quản lý chất lượng",SUM(N$40:N$41),SUMIFS('GTTK chung'!BI$4:BI$143,'GTTK chung'!$G$4:$G$143,$B20)/10^6))</f>
        <v>14.459268</v>
      </c>
      <c r="O20" s="792">
        <f t="shared" ref="O20:O32" si="49">SUM(C20:N20)</f>
        <v>10059.598231</v>
      </c>
      <c r="P20" s="571">
        <f t="shared" ref="P20:P32" si="50">SUMIFS(AY$19:AY$32,$AF$19:$AF$32,$A20)</f>
        <v>7250</v>
      </c>
      <c r="Q20" s="572">
        <f t="shared" si="33"/>
        <v>7688.5201660000012</v>
      </c>
      <c r="R20" s="789">
        <f t="shared" si="34"/>
        <v>1.0604855401379312</v>
      </c>
      <c r="S20" s="574">
        <f t="shared" ref="S20:S32" si="51">SUMIFS(AJ$19:AJ$32,$AF$19:$AF$32,$A20)</f>
        <v>1471.2709</v>
      </c>
      <c r="T20" s="565">
        <f t="shared" si="35"/>
        <v>369.18422600000002</v>
      </c>
      <c r="U20" s="565">
        <f t="shared" si="36"/>
        <v>124.33073899999999</v>
      </c>
      <c r="V20" s="565">
        <f t="shared" si="37"/>
        <v>442.38636600000001</v>
      </c>
      <c r="W20" s="565">
        <f t="shared" si="38"/>
        <v>1012.228539</v>
      </c>
      <c r="X20" s="565">
        <f t="shared" si="39"/>
        <v>439.632993</v>
      </c>
      <c r="Y20" s="565">
        <f t="shared" si="40"/>
        <v>1513.628125</v>
      </c>
      <c r="Z20" s="565">
        <f t="shared" si="41"/>
        <v>2022.9144719999999</v>
      </c>
      <c r="AA20" s="565">
        <f t="shared" si="42"/>
        <v>194.098996</v>
      </c>
      <c r="AB20" s="565">
        <f t="shared" si="43"/>
        <v>6.75021</v>
      </c>
      <c r="AC20" s="565">
        <f t="shared" si="44"/>
        <v>92.0946</v>
      </c>
      <c r="AD20" s="565">
        <f t="shared" si="45"/>
        <v>0</v>
      </c>
      <c r="AE20" s="541">
        <f t="shared" si="46"/>
        <v>0.19751604219311394</v>
      </c>
      <c r="AF20" s="218">
        <f t="shared" ref="AF20:AF32" si="52">BA20+BC20</f>
        <v>4</v>
      </c>
      <c r="AG20" s="228">
        <v>2</v>
      </c>
      <c r="AH20" s="225" t="s">
        <v>25</v>
      </c>
      <c r="AI20" s="256">
        <f t="shared" ref="AI20:AI23" si="53">SUM(AJ20:AU20)</f>
        <v>3464.6565932199996</v>
      </c>
      <c r="AJ20" s="236">
        <f>SUMIFS('GTTK chung'!AJ$4:AJ$143,'GTTK chung'!$G$4:$G$143,$AH20)/10^6</f>
        <v>2.3255229999999885</v>
      </c>
      <c r="AK20" s="236">
        <f>SUMIFS('GTTK chung'!AK$4:AK$143,'GTTK chung'!$G$4:$G$143,$AH20)/10^6</f>
        <v>91.995754000000005</v>
      </c>
      <c r="AL20" s="236">
        <f>SUMIFS('GTTK chung'!AL$4:AL$143,'GTTK chung'!$G$4:$G$143,$AH20)/10^6</f>
        <v>328.24345</v>
      </c>
      <c r="AM20" s="236">
        <f>SUMIFS('GTTK chung'!AM$4:AM$143,'GTTK chung'!$G$4:$G$143,$AH20)/10^6</f>
        <v>229.54222621999978</v>
      </c>
      <c r="AN20" s="236">
        <f>SUMIFS('GTTK chung'!AN$4:AN$143,'GTTK chung'!$G$4:$G$143,$AH20)/10^6</f>
        <v>180.688039</v>
      </c>
      <c r="AO20" s="236">
        <f>SUMIFS('GTTK chung'!AO$4:AO$143,'GTTK chung'!$G$4:$G$143,$AH20)/10^6</f>
        <v>117.48093299999999</v>
      </c>
      <c r="AP20" s="236">
        <f>SUMIFS('GTTK chung'!AP$4:AP$143,'GTTK chung'!$G$4:$G$143,$AH20)/10^6</f>
        <v>116.847025</v>
      </c>
      <c r="AQ20" s="236">
        <f>SUMIFS('GTTK chung'!AQ$4:AQ$143,'GTTK chung'!$G$4:$G$143,$AH20)/10^6</f>
        <v>960.03428799999995</v>
      </c>
      <c r="AR20" s="236">
        <f>SUMIFS('GTTK chung'!AR$4:AR$143,'GTTK chung'!$G$4:$G$143,$AH20)/10^6</f>
        <v>257.323915</v>
      </c>
      <c r="AS20" s="236">
        <f>SUMIFS('GTTK chung'!AS$4:AS$143,'GTTK chung'!$G$4:$G$143,$AH20)/10^6</f>
        <v>399.917777</v>
      </c>
      <c r="AT20" s="236">
        <f>SUMIFS('GTTK chung'!AT$4:AT$143,'GTTK chung'!$G$4:$G$143,$AH20)/10^6</f>
        <v>534.84480399999995</v>
      </c>
      <c r="AU20" s="236">
        <f>SUMIFS('GTTK chung'!AU$4:AU$143,'GTTK chung'!$G$4:$G$143,$AH20)/10^6</f>
        <v>245.412859</v>
      </c>
      <c r="AW20" s="781">
        <f>AI20+COUNTIFS(AI$19:AI20,AI20)*0.01</f>
        <v>3464.6665932199999</v>
      </c>
      <c r="AY20" s="336">
        <f>' SX HDPE.PP'!O4/10^6</f>
        <v>2000</v>
      </c>
      <c r="BA20" s="781">
        <f>IF($AI20=0,0,RANK($AW20,$AW$19:$AW$32,0))</f>
        <v>4</v>
      </c>
      <c r="BB20" s="781">
        <f>IF($BA20=0,AY20+COUNTIFS(AY$19:AY20,AY20)*0.01,0)</f>
        <v>0</v>
      </c>
      <c r="BC20" s="781">
        <f t="shared" ref="BC20:BC32" si="54">IF($BA20=0,MAX($BA$19:$BA$32)+RANK($BB20,$BB$19:$BB$32,0),0)</f>
        <v>0</v>
      </c>
    </row>
    <row r="21" spans="1:55">
      <c r="A21" s="228">
        <v>3</v>
      </c>
      <c r="B21" s="225" t="str">
        <f t="shared" si="48"/>
        <v>SX PET</v>
      </c>
      <c r="C21" s="574">
        <f>IF($B21="Kế toán",SUM(C$36:C$38),IF($B21="Quản lý chất lượng",SUM(C$40:C$41),SUMIFS('GTTK chung'!AX$4:AX$143,'GTTK chung'!$G$4:$G$143,$B21)/10^6))</f>
        <v>221.08907447474093</v>
      </c>
      <c r="D21" s="574">
        <f>IF($B21="Kế toán",SUM(D$36:D$38),IF($B21="Quản lý chất lượng",SUM(D$40:D$41),SUMIFS('GTTK chung'!AY$4:AY$143,'GTTK chung'!$G$4:$G$143,$B21)/10^6))</f>
        <v>189.00799069382441</v>
      </c>
      <c r="E21" s="574">
        <f>IF($B21="Kế toán",SUM(E$36:E$38),IF($B21="Quản lý chất lượng",SUM(E$40:E$41),SUMIFS('GTTK chung'!AZ$4:AZ$143,'GTTK chung'!$G$4:$G$143,$B21)/10^6))</f>
        <v>276.18667348306371</v>
      </c>
      <c r="F21" s="574">
        <f>IF($B21="Kế toán",SUM(F$36:F$38),IF($B21="Quản lý chất lượng",SUM(F$40:F$41),SUMIFS('GTTK chung'!BA$4:BA$143,'GTTK chung'!$G$4:$G$143,$B21)/10^6))</f>
        <v>420.63784176819604</v>
      </c>
      <c r="G21" s="574">
        <f>IF($B21="Kế toán",SUM(G$36:G$38),IF($B21="Quản lý chất lượng",SUM(G$40:G$41),SUMIFS('GTTK chung'!BB$4:BB$143,'GTTK chung'!$G$4:$G$143,$B21)/10^6))</f>
        <v>239.68790767199906</v>
      </c>
      <c r="H21" s="574">
        <f>IF($B21="Kế toán",SUM(H$36:H$38),IF($B21="Quản lý chất lượng",SUM(H$40:H$41),SUMIFS('GTTK chung'!BC$4:BC$143,'GTTK chung'!$G$4:$G$143,$B21)/10^6))</f>
        <v>173.49949406632268</v>
      </c>
      <c r="I21" s="574">
        <f>IF($B21="Kế toán",SUM(I$36:I$38),IF($B21="Quản lý chất lượng",SUM(I$40:I$41),SUMIFS('GTTK chung'!BD$4:BD$143,'GTTK chung'!$G$4:$G$143,$B21)/10^6))</f>
        <v>202.38539894956565</v>
      </c>
      <c r="J21" s="574">
        <f>IF($B21="Kế toán",SUM(J$36:J$38),IF($B21="Quản lý chất lượng",SUM(J$40:J$41),SUMIFS('GTTK chung'!BE$4:BE$143,'GTTK chung'!$G$4:$G$143,$B21)/10^6))</f>
        <v>182.94672445671526</v>
      </c>
      <c r="K21" s="574">
        <f>IF($B21="Kế toán",SUM(K$36:K$38),IF($B21="Quản lý chất lượng",SUM(K$40:K$41),SUMIFS('GTTK chung'!BF$4:BF$143,'GTTK chung'!$G$4:$G$143,$B21)/10^6))</f>
        <v>241.04245368996658</v>
      </c>
      <c r="L21" s="574">
        <f>IF($B21="Kế toán",SUM(L$36:L$38),IF($B21="Quản lý chất lượng",SUM(L$40:L$41),SUMIFS('GTTK chung'!BG$4:BG$143,'GTTK chung'!$G$4:$G$143,$B21)/10^6))</f>
        <v>103.17598588049908</v>
      </c>
      <c r="M21" s="574">
        <f>IF($B21="Kế toán",SUM(M$36:M$38),IF($B21="Quản lý chất lượng",SUM(M$40:M$41),SUMIFS('GTTK chung'!BH$4:BH$143,'GTTK chung'!$G$4:$G$143,$B21)/10^6))</f>
        <v>109.57787243753491</v>
      </c>
      <c r="N21" s="574">
        <f>IF($B21="Kế toán",SUM(N$36:N$38),IF($B21="Quản lý chất lượng",SUM(N$40:N$41),SUMIFS('GTTK chung'!BI$4:BI$143,'GTTK chung'!$G$4:$G$143,$B21)/10^6))</f>
        <v>96.511265714285699</v>
      </c>
      <c r="O21" s="792">
        <f t="shared" si="49"/>
        <v>2455.7486832867139</v>
      </c>
      <c r="P21" s="571">
        <f t="shared" si="50"/>
        <v>3500</v>
      </c>
      <c r="Q21" s="572">
        <f t="shared" si="33"/>
        <v>5671.7553269000009</v>
      </c>
      <c r="R21" s="789">
        <f t="shared" si="34"/>
        <v>1.6205015219714289</v>
      </c>
      <c r="S21" s="574">
        <f t="shared" si="51"/>
        <v>0</v>
      </c>
      <c r="T21" s="565">
        <f t="shared" si="35"/>
        <v>153.5</v>
      </c>
      <c r="U21" s="565">
        <f t="shared" si="36"/>
        <v>144.847161</v>
      </c>
      <c r="V21" s="565">
        <f t="shared" si="37"/>
        <v>463.61502100000001</v>
      </c>
      <c r="W21" s="565">
        <f t="shared" si="38"/>
        <v>1026.9613543200001</v>
      </c>
      <c r="X21" s="565">
        <f t="shared" si="39"/>
        <v>669.60517598000001</v>
      </c>
      <c r="Y21" s="565">
        <f t="shared" si="40"/>
        <v>607.60770286000002</v>
      </c>
      <c r="Z21" s="565">
        <f t="shared" si="41"/>
        <v>322.53488118000001</v>
      </c>
      <c r="AA21" s="565">
        <f t="shared" si="42"/>
        <v>171.87948216000001</v>
      </c>
      <c r="AB21" s="565">
        <f t="shared" si="43"/>
        <v>1412.32327338</v>
      </c>
      <c r="AC21" s="565">
        <f t="shared" si="44"/>
        <v>310.97377502000001</v>
      </c>
      <c r="AD21" s="565">
        <f t="shared" si="45"/>
        <v>387.90750000000003</v>
      </c>
      <c r="AE21" s="541">
        <f t="shared" si="46"/>
        <v>0.14570588881472918</v>
      </c>
      <c r="AF21" s="218">
        <f t="shared" si="52"/>
        <v>8</v>
      </c>
      <c r="AG21" s="228">
        <v>3</v>
      </c>
      <c r="AH21" s="225" t="s">
        <v>31</v>
      </c>
      <c r="AI21" s="256">
        <f t="shared" si="53"/>
        <v>1880.937762</v>
      </c>
      <c r="AJ21" s="236">
        <f>SUMIFS('GTTK chung'!AJ$4:AJ$143,'GTTK chung'!$G$4:$G$143,$AH21)/10^6</f>
        <v>0</v>
      </c>
      <c r="AK21" s="236">
        <f>SUMIFS('GTTK chung'!AK$4:AK$143,'GTTK chung'!$G$4:$G$143,$AH21)/10^6</f>
        <v>153.5</v>
      </c>
      <c r="AL21" s="236">
        <f>SUMIFS('GTTK chung'!AL$4:AL$143,'GTTK chung'!$G$4:$G$143,$AH21)/10^6</f>
        <v>88.064661000000001</v>
      </c>
      <c r="AM21" s="236">
        <f>SUMIFS('GTTK chung'!AM$4:AM$143,'GTTK chung'!$G$4:$G$143,$AH21)/10^6</f>
        <v>79.570027999999994</v>
      </c>
      <c r="AN21" s="236">
        <f>SUMIFS('GTTK chung'!AN$4:AN$143,'GTTK chung'!$G$4:$G$143,$AH21)/10^6</f>
        <v>215.31143800000001</v>
      </c>
      <c r="AO21" s="236">
        <f>SUMIFS('GTTK chung'!AO$4:AO$143,'GTTK chung'!$G$4:$G$143,$AH21)/10^6</f>
        <v>194.94361000000001</v>
      </c>
      <c r="AP21" s="236">
        <f>SUMIFS('GTTK chung'!AP$4:AP$143,'GTTK chung'!$G$4:$G$143,$AH21)/10^6</f>
        <v>170.64550800000001</v>
      </c>
      <c r="AQ21" s="236">
        <f>SUMIFS('GTTK chung'!AQ$4:AQ$143,'GTTK chung'!$G$4:$G$143,$AH21)/10^6</f>
        <v>191.49511899999999</v>
      </c>
      <c r="AR21" s="236">
        <f>SUMIFS('GTTK chung'!AR$4:AR$143,'GTTK chung'!$G$4:$G$143,$AH21)/10^6</f>
        <v>339.29130700000002</v>
      </c>
      <c r="AS21" s="236">
        <f>SUMIFS('GTTK chung'!AS$4:AS$143,'GTTK chung'!$G$4:$G$143,$AH21)/10^6</f>
        <v>177.12853100000001</v>
      </c>
      <c r="AT21" s="236">
        <f>SUMIFS('GTTK chung'!AT$4:AT$143,'GTTK chung'!$G$4:$G$143,$AH21)/10^6</f>
        <v>130.91653299999999</v>
      </c>
      <c r="AU21" s="236">
        <f>SUMIFS('GTTK chung'!AU$4:AU$143,'GTTK chung'!$G$4:$G$143,$AH21)/10^6</f>
        <v>140.07102699999999</v>
      </c>
      <c r="AW21" s="781">
        <f>AI21+COUNTIFS(AI$19:AI21,AI21)*0.01</f>
        <v>1880.947762</v>
      </c>
      <c r="AY21" s="336">
        <f>'Phân bổ của TĐH'!O4/10^6</f>
        <v>5250</v>
      </c>
      <c r="BA21" s="781">
        <f t="shared" ref="BA21:BA32" si="55">IF($AI21=0,0,RANK($AW21,$AW$19:$AW$32,0))</f>
        <v>8</v>
      </c>
      <c r="BB21" s="781">
        <f>IF($BA21=0,AY21+COUNTIFS(AY$19:AY21,AY21)*0.01,0)</f>
        <v>0</v>
      </c>
      <c r="BC21" s="781">
        <f t="shared" si="54"/>
        <v>0</v>
      </c>
    </row>
    <row r="22" spans="1:55">
      <c r="A22" s="228">
        <v>4</v>
      </c>
      <c r="B22" s="225" t="str">
        <f t="shared" si="48"/>
        <v>SX HDPE</v>
      </c>
      <c r="C22" s="574">
        <f>IF($B22="Kế toán",SUM(C$36:C$38),IF($B22="Quản lý chất lượng",SUM(C$40:C$41),SUMIFS('GTTK chung'!AX$4:AX$143,'GTTK chung'!$G$4:$G$143,$B22)/10^6))</f>
        <v>75.794164359999996</v>
      </c>
      <c r="D22" s="574">
        <f>IF($B22="Kế toán",SUM(D$36:D$38),IF($B22="Quản lý chất lượng",SUM(D$40:D$41),SUMIFS('GTTK chung'!AY$4:AY$143,'GTTK chung'!$G$4:$G$143,$B22)/10^6))</f>
        <v>31.324059200000004</v>
      </c>
      <c r="E22" s="574">
        <f>IF($B22="Kế toán",SUM(E$36:E$38),IF($B22="Quản lý chất lượng",SUM(E$40:E$41),SUMIFS('GTTK chung'!AZ$4:AZ$143,'GTTK chung'!$G$4:$G$143,$B22)/10^6))</f>
        <v>58.715965167999997</v>
      </c>
      <c r="F22" s="574">
        <f>IF($B22="Kế toán",SUM(F$36:F$38),IF($B22="Quản lý chất lượng",SUM(F$40:F$41),SUMIFS('GTTK chung'!BA$4:BA$143,'GTTK chung'!$G$4:$G$143,$B22)/10^6))</f>
        <v>13.1001701</v>
      </c>
      <c r="G22" s="574">
        <f>IF($B22="Kế toán",SUM(G$36:G$38),IF($B22="Quản lý chất lượng",SUM(G$40:G$41),SUMIFS('GTTK chung'!BB$4:BB$143,'GTTK chung'!$G$4:$G$143,$B22)/10^6))</f>
        <v>473.95208461000004</v>
      </c>
      <c r="H22" s="574">
        <f>IF($B22="Kế toán",SUM(H$36:H$38),IF($B22="Quản lý chất lượng",SUM(H$40:H$41),SUMIFS('GTTK chung'!BC$4:BC$143,'GTTK chung'!$G$4:$G$143,$B22)/10^6))</f>
        <v>240.25712465000001</v>
      </c>
      <c r="I22" s="574">
        <f>IF($B22="Kế toán",SUM(I$36:I$38),IF($B22="Quản lý chất lượng",SUM(I$40:I$41),SUMIFS('GTTK chung'!BD$4:BD$143,'GTTK chung'!$G$4:$G$143,$B22)/10^6))</f>
        <v>76.139331199999901</v>
      </c>
      <c r="J22" s="574">
        <f>IF($B22="Kế toán",SUM(J$36:J$38),IF($B22="Quản lý chất lượng",SUM(J$40:J$41),SUMIFS('GTTK chung'!BE$4:BE$143,'GTTK chung'!$G$4:$G$143,$B22)/10^6))</f>
        <v>184.13775078499984</v>
      </c>
      <c r="K22" s="574">
        <f>IF($B22="Kế toán",SUM(K$36:K$38),IF($B22="Quản lý chất lượng",SUM(K$40:K$41),SUMIFS('GTTK chung'!BF$4:BF$143,'GTTK chung'!$G$4:$G$143,$B22)/10^6))</f>
        <v>190.55772966841565</v>
      </c>
      <c r="L22" s="574">
        <f>IF($B22="Kế toán",SUM(L$36:L$38),IF($B22="Quản lý chất lượng",SUM(L$40:L$41),SUMIFS('GTTK chung'!BG$4:BG$143,'GTTK chung'!$G$4:$G$143,$B22)/10^6))</f>
        <v>38.877473000000002</v>
      </c>
      <c r="M22" s="574">
        <f>IF($B22="Kế toán",SUM(M$36:M$38),IF($B22="Quản lý chất lượng",SUM(M$40:M$41),SUMIFS('GTTK chung'!BH$4:BH$143,'GTTK chung'!$G$4:$G$143,$B22)/10^6))</f>
        <v>112.0763585025</v>
      </c>
      <c r="N22" s="574">
        <f>IF($B22="Kế toán",SUM(N$36:N$38),IF($B22="Quản lý chất lượng",SUM(N$40:N$41),SUMIFS('GTTK chung'!BI$4:BI$143,'GTTK chung'!$G$4:$G$143,$B22)/10^6))</f>
        <v>95.763739300000012</v>
      </c>
      <c r="O22" s="792">
        <f t="shared" si="49"/>
        <v>1590.6959505439154</v>
      </c>
      <c r="P22" s="571">
        <f t="shared" si="50"/>
        <v>2000</v>
      </c>
      <c r="Q22" s="572">
        <f t="shared" si="33"/>
        <v>3464.6565932199996</v>
      </c>
      <c r="R22" s="789">
        <f t="shared" si="34"/>
        <v>1.7323282966099998</v>
      </c>
      <c r="S22" s="574">
        <f t="shared" si="51"/>
        <v>2.3255229999999885</v>
      </c>
      <c r="T22" s="565">
        <f t="shared" si="35"/>
        <v>91.995754000000005</v>
      </c>
      <c r="U22" s="565">
        <f t="shared" si="36"/>
        <v>328.24345</v>
      </c>
      <c r="V22" s="565">
        <f t="shared" si="37"/>
        <v>229.54222621999978</v>
      </c>
      <c r="W22" s="565">
        <f t="shared" si="38"/>
        <v>180.688039</v>
      </c>
      <c r="X22" s="565">
        <f t="shared" si="39"/>
        <v>117.48093299999999</v>
      </c>
      <c r="Y22" s="565">
        <f t="shared" si="40"/>
        <v>116.847025</v>
      </c>
      <c r="Z22" s="565">
        <f t="shared" si="41"/>
        <v>960.03428799999995</v>
      </c>
      <c r="AA22" s="565">
        <f t="shared" si="42"/>
        <v>257.323915</v>
      </c>
      <c r="AB22" s="565">
        <f t="shared" si="43"/>
        <v>399.917777</v>
      </c>
      <c r="AC22" s="565">
        <f t="shared" si="44"/>
        <v>534.84480399999995</v>
      </c>
      <c r="AD22" s="565">
        <f t="shared" si="45"/>
        <v>245.412859</v>
      </c>
      <c r="AE22" s="541">
        <f t="shared" si="46"/>
        <v>8.900610820757153E-2</v>
      </c>
      <c r="AF22" s="218">
        <f t="shared" si="52"/>
        <v>2</v>
      </c>
      <c r="AG22" s="228">
        <v>4</v>
      </c>
      <c r="AH22" s="225" t="s">
        <v>36</v>
      </c>
      <c r="AI22" s="256">
        <f t="shared" si="53"/>
        <v>7688.5201660000012</v>
      </c>
      <c r="AJ22" s="236">
        <f>SUMIFS('GTTK chung'!AJ$4:AJ$143,'GTTK chung'!$G$4:$G$143,$AH22)/10^6</f>
        <v>1471.2709</v>
      </c>
      <c r="AK22" s="236">
        <f>SUMIFS('GTTK chung'!AK$4:AK$143,'GTTK chung'!$G$4:$G$143,$AH22)/10^6</f>
        <v>369.18422600000002</v>
      </c>
      <c r="AL22" s="236">
        <f>SUMIFS('GTTK chung'!AL$4:AL$143,'GTTK chung'!$G$4:$G$143,$AH22)/10^6</f>
        <v>124.33073899999999</v>
      </c>
      <c r="AM22" s="236">
        <f>SUMIFS('GTTK chung'!AM$4:AM$143,'GTTK chung'!$G$4:$G$143,$AH22)/10^6</f>
        <v>442.38636600000001</v>
      </c>
      <c r="AN22" s="236">
        <f>SUMIFS('GTTK chung'!AN$4:AN$143,'GTTK chung'!$G$4:$G$143,$AH22)/10^6</f>
        <v>1012.228539</v>
      </c>
      <c r="AO22" s="236">
        <f>SUMIFS('GTTK chung'!AO$4:AO$143,'GTTK chung'!$G$4:$G$143,$AH22)/10^6</f>
        <v>439.632993</v>
      </c>
      <c r="AP22" s="236">
        <f>SUMIFS('GTTK chung'!AP$4:AP$143,'GTTK chung'!$G$4:$G$143,$AH22)/10^6</f>
        <v>1513.628125</v>
      </c>
      <c r="AQ22" s="236">
        <f>SUMIFS('GTTK chung'!AQ$4:AQ$143,'GTTK chung'!$G$4:$G$143,$AH22)/10^6</f>
        <v>2022.9144719999999</v>
      </c>
      <c r="AR22" s="236">
        <f>SUMIFS('GTTK chung'!AR$4:AR$143,'GTTK chung'!$G$4:$G$143,$AH22)/10^6</f>
        <v>194.098996</v>
      </c>
      <c r="AS22" s="236">
        <f>SUMIFS('GTTK chung'!AS$4:AS$143,'GTTK chung'!$G$4:$G$143,$AH22)/10^6</f>
        <v>6.75021</v>
      </c>
      <c r="AT22" s="236">
        <f>SUMIFS('GTTK chung'!AT$4:AT$143,'GTTK chung'!$G$4:$G$143,$AH22)/10^6</f>
        <v>92.0946</v>
      </c>
      <c r="AU22" s="236">
        <f>SUMIFS('GTTK chung'!AU$4:AU$143,'GTTK chung'!$G$4:$G$143,$AH22)/10^6</f>
        <v>0</v>
      </c>
      <c r="AW22" s="781">
        <f>AI22+COUNTIFS(AI$19:AI22,AI22)*0.01</f>
        <v>7688.5301660000014</v>
      </c>
      <c r="AY22" s="336">
        <f>'Phòng mua-XNK'!O4/10^6</f>
        <v>7250</v>
      </c>
      <c r="BA22" s="781">
        <f t="shared" si="55"/>
        <v>2</v>
      </c>
      <c r="BB22" s="781">
        <f>IF($BA22=0,AY22+COUNTIFS(AY$19:AY22,AY22)*0.01,0)</f>
        <v>0</v>
      </c>
      <c r="BC22" s="781">
        <f t="shared" si="54"/>
        <v>0</v>
      </c>
    </row>
    <row r="23" spans="1:55">
      <c r="A23" s="228">
        <v>5</v>
      </c>
      <c r="B23" s="225" t="str">
        <f t="shared" si="48"/>
        <v>Quản Lý Chất Lượng</v>
      </c>
      <c r="C23" s="574">
        <f>IF($B23="Kế toán",SUM(C$36:C$38),IF($B23="Quản lý chất lượng",SUM(C$40:C$41),SUMIFS('GTTK chung'!AX$4:AX$143,'GTTK chung'!$G$4:$G$143,$B23)/10^6))</f>
        <v>0</v>
      </c>
      <c r="D23" s="574">
        <f>IF($B23="Kế toán",SUM(D$36:D$38),IF($B23="Quản lý chất lượng",SUM(D$40:D$41),SUMIFS('GTTK chung'!AY$4:AY$143,'GTTK chung'!$G$4:$G$143,$B23)/10^6))</f>
        <v>0</v>
      </c>
      <c r="E23" s="574">
        <f>IF($B23="Kế toán",SUM(E$36:E$38),IF($B23="Quản lý chất lượng",SUM(E$40:E$41),SUMIFS('GTTK chung'!AZ$4:AZ$143,'GTTK chung'!$G$4:$G$143,$B23)/10^6))</f>
        <v>0</v>
      </c>
      <c r="F23" s="574">
        <f>IF($B23="Kế toán",SUM(F$36:F$38),IF($B23="Quản lý chất lượng",SUM(F$40:F$41),SUMIFS('GTTK chung'!BA$4:BA$143,'GTTK chung'!$G$4:$G$143,$B23)/10^6))</f>
        <v>0</v>
      </c>
      <c r="G23" s="574">
        <f>IF($B23="Kế toán",SUM(G$36:G$38),IF($B23="Quản lý chất lượng",SUM(G$40:G$41),SUMIFS('GTTK chung'!BB$4:BB$143,'GTTK chung'!$G$4:$G$143,$B23)/10^6))</f>
        <v>25.717931769671441</v>
      </c>
      <c r="H23" s="574">
        <f>IF($B23="Kế toán",SUM(H$36:H$38),IF($B23="Quản lý chất lượng",SUM(H$40:H$41),SUMIFS('GTTK chung'!BC$4:BC$143,'GTTK chung'!$G$4:$G$143,$B23)/10^6))</f>
        <v>69.743085098737723</v>
      </c>
      <c r="I23" s="574">
        <f>IF($B23="Kế toán",SUM(I$36:I$38),IF($B23="Quản lý chất lượng",SUM(I$40:I$41),SUMIFS('GTTK chung'!BD$4:BD$143,'GTTK chung'!$G$4:$G$143,$B23)/10^6))</f>
        <v>356.466542</v>
      </c>
      <c r="J23" s="574">
        <f>IF($B23="Kế toán",SUM(J$36:J$38),IF($B23="Quản lý chất lượng",SUM(J$40:J$41),SUMIFS('GTTK chung'!BE$4:BE$143,'GTTK chung'!$G$4:$G$143,$B23)/10^6))</f>
        <v>86.677684538970951</v>
      </c>
      <c r="K23" s="574">
        <f>IF($B23="Kế toán",SUM(K$36:K$38),IF($B23="Quản lý chất lượng",SUM(K$40:K$41),SUMIFS('GTTK chung'!BF$4:BF$143,'GTTK chung'!$G$4:$G$143,$B23)/10^6))</f>
        <v>-5.3623625282440184</v>
      </c>
      <c r="L23" s="574">
        <f>IF($B23="Kế toán",SUM(L$36:L$38),IF($B23="Quản lý chất lượng",SUM(L$40:L$41),SUMIFS('GTTK chung'!BG$4:BG$143,'GTTK chung'!$G$4:$G$143,$B23)/10^6))</f>
        <v>-347.14905154351806</v>
      </c>
      <c r="M23" s="574">
        <f>IF($B23="Kế toán",SUM(M$36:M$38),IF($B23="Quản lý chất lượng",SUM(M$40:M$41),SUMIFS('GTTK chung'!BH$4:BH$143,'GTTK chung'!$G$4:$G$143,$B23)/10^6))</f>
        <v>1008.0361267598419</v>
      </c>
      <c r="N23" s="574">
        <f>IF($B23="Kế toán",SUM(N$36:N$38),IF($B23="Quản lý chất lượng",SUM(N$40:N$41),SUMIFS('GTTK chung'!BI$4:BI$143,'GTTK chung'!$G$4:$G$143,$B23)/10^6))</f>
        <v>309.91836311016846</v>
      </c>
      <c r="O23" s="792">
        <f t="shared" si="49"/>
        <v>1504.0483192056283</v>
      </c>
      <c r="P23" s="571">
        <f t="shared" si="50"/>
        <v>4250</v>
      </c>
      <c r="Q23" s="572">
        <f t="shared" si="33"/>
        <v>3053.6536129000006</v>
      </c>
      <c r="R23" s="789">
        <f t="shared" si="34"/>
        <v>0.71850673244705898</v>
      </c>
      <c r="S23" s="574">
        <f t="shared" si="51"/>
        <v>273.36061999999998</v>
      </c>
      <c r="T23" s="565">
        <f t="shared" si="35"/>
        <v>13.202904</v>
      </c>
      <c r="U23" s="565">
        <f t="shared" si="36"/>
        <v>132.63109159999999</v>
      </c>
      <c r="V23" s="565">
        <f t="shared" si="37"/>
        <v>125.5316522</v>
      </c>
      <c r="W23" s="565">
        <f t="shared" si="38"/>
        <v>626.80466811999997</v>
      </c>
      <c r="X23" s="565">
        <f t="shared" si="39"/>
        <v>278.35134377999998</v>
      </c>
      <c r="Y23" s="565">
        <f t="shared" si="40"/>
        <v>255.18687786000001</v>
      </c>
      <c r="Z23" s="565">
        <f t="shared" si="41"/>
        <v>394.27648398000002</v>
      </c>
      <c r="AA23" s="565">
        <f t="shared" si="42"/>
        <v>346.92923836</v>
      </c>
      <c r="AB23" s="565">
        <f t="shared" si="43"/>
        <v>190.64926498</v>
      </c>
      <c r="AC23" s="565">
        <f t="shared" si="44"/>
        <v>233.43107202000002</v>
      </c>
      <c r="AD23" s="565">
        <f t="shared" si="45"/>
        <v>183.298396</v>
      </c>
      <c r="AE23" s="541">
        <f t="shared" si="46"/>
        <v>7.8447550741419389E-2</v>
      </c>
      <c r="AF23" s="218">
        <f t="shared" si="52"/>
        <v>1</v>
      </c>
      <c r="AG23" s="228">
        <v>5</v>
      </c>
      <c r="AH23" s="225" t="s">
        <v>38</v>
      </c>
      <c r="AI23" s="256">
        <f t="shared" si="53"/>
        <v>8116.2134596399865</v>
      </c>
      <c r="AJ23" s="236">
        <f>SUMIFS('GTTK chung'!AJ$4:AJ$143,'GTTK chung'!$G$4:$G$143,$AH23)/10^6</f>
        <v>618.57656599999996</v>
      </c>
      <c r="AK23" s="236">
        <f>SUMIFS('GTTK chung'!AK$4:AK$143,'GTTK chung'!$G$4:$G$143,$AH23)/10^6</f>
        <v>2685.800144364986</v>
      </c>
      <c r="AL23" s="236">
        <f>SUMIFS('GTTK chung'!AL$4:AL$143,'GTTK chung'!$G$4:$G$143,$AH23)/10^6</f>
        <v>203.372236375</v>
      </c>
      <c r="AM23" s="236">
        <f>SUMIFS('GTTK chung'!AM$4:AM$143,'GTTK chung'!$G$4:$G$143,$AH23)/10^6</f>
        <v>548.31409799999994</v>
      </c>
      <c r="AN23" s="236">
        <f>SUMIFS('GTTK chung'!AN$4:AN$143,'GTTK chung'!$G$4:$G$143,$AH23)/10^6</f>
        <v>1817.5794043199999</v>
      </c>
      <c r="AO23" s="236">
        <f>SUMIFS('GTTK chung'!AO$4:AO$143,'GTTK chung'!$G$4:$G$143,$AH23)/10^6</f>
        <v>180.74745298000002</v>
      </c>
      <c r="AP23" s="236">
        <f>SUMIFS('GTTK chung'!AP$4:AP$143,'GTTK chung'!$G$4:$G$143,$AH23)/10^6</f>
        <v>468.85833886</v>
      </c>
      <c r="AQ23" s="236">
        <f>SUMIFS('GTTK chung'!AQ$4:AQ$143,'GTTK chung'!$G$4:$G$143,$AH23)/10^6</f>
        <v>874.07641918000002</v>
      </c>
      <c r="AR23" s="236">
        <f>SUMIFS('GTTK chung'!AR$4:AR$143,'GTTK chung'!$G$4:$G$143,$AH23)/10^6</f>
        <v>411.82584715999997</v>
      </c>
      <c r="AS23" s="236">
        <f>SUMIFS('GTTK chung'!AS$4:AS$143,'GTTK chung'!$G$4:$G$143,$AH23)/10^6</f>
        <v>142.58609238</v>
      </c>
      <c r="AT23" s="236">
        <f>SUMIFS('GTTK chung'!AT$4:AT$143,'GTTK chung'!$G$4:$G$143,$AH23)/10^6</f>
        <v>124.31045202</v>
      </c>
      <c r="AU23" s="236">
        <f>SUMIFS('GTTK chung'!AU$4:AU$143,'GTTK chung'!$G$4:$G$143,$AH23)/10^6</f>
        <v>40.166407999999997</v>
      </c>
      <c r="AW23" s="781">
        <f>AI23+COUNTIFS(AI$19:AI23,AI23)*0.01</f>
        <v>8116.2234596399867</v>
      </c>
      <c r="AY23" s="336">
        <f>'Kỹ Thuật'!O4/10^6</f>
        <v>7250</v>
      </c>
      <c r="BA23" s="781">
        <f t="shared" si="55"/>
        <v>1</v>
      </c>
      <c r="BB23" s="781">
        <f>IF($BA23=0,AY23+COUNTIFS(AY$19:AY23,AY23)*0.01,0)</f>
        <v>0</v>
      </c>
      <c r="BC23" s="781">
        <f t="shared" si="54"/>
        <v>0</v>
      </c>
    </row>
    <row r="24" spans="1:55">
      <c r="A24" s="228">
        <v>6</v>
      </c>
      <c r="B24" s="225" t="str">
        <f t="shared" si="48"/>
        <v>Kế hoạch</v>
      </c>
      <c r="C24" s="574">
        <f>IF($B24="Kế toán",SUM(C$36:C$38),IF($B24="Quản lý chất lượng",SUM(C$40:C$41),SUMIFS('GTTK chung'!AX$4:AX$143,'GTTK chung'!$G$4:$G$143,$B24)/10^6))</f>
        <v>0</v>
      </c>
      <c r="D24" s="574">
        <f>IF($B24="Kế toán",SUM(D$36:D$38),IF($B24="Quản lý chất lượng",SUM(D$40:D$41),SUMIFS('GTTK chung'!AY$4:AY$143,'GTTK chung'!$G$4:$G$143,$B24)/10^6))</f>
        <v>0</v>
      </c>
      <c r="E24" s="574">
        <f>IF($B24="Kế toán",SUM(E$36:E$38),IF($B24="Quản lý chất lượng",SUM(E$40:E$41),SUMIFS('GTTK chung'!AZ$4:AZ$143,'GTTK chung'!$G$4:$G$143,$B24)/10^6))</f>
        <v>0</v>
      </c>
      <c r="F24" s="574">
        <f>IF($B24="Kế toán",SUM(F$36:F$38),IF($B24="Quản lý chất lượng",SUM(F$40:F$41),SUMIFS('GTTK chung'!BA$4:BA$143,'GTTK chung'!$G$4:$G$143,$B24)/10^6))</f>
        <v>0</v>
      </c>
      <c r="G24" s="574">
        <f>IF($B24="Kế toán",SUM(G$36:G$38),IF($B24="Quản lý chất lượng",SUM(G$40:G$41),SUMIFS('GTTK chung'!BB$4:BB$143,'GTTK chung'!$G$4:$G$143,$B24)/10^6))</f>
        <v>0</v>
      </c>
      <c r="H24" s="574">
        <f>IF($B24="Kế toán",SUM(H$36:H$38),IF($B24="Quản lý chất lượng",SUM(H$40:H$41),SUMIFS('GTTK chung'!BC$4:BC$143,'GTTK chung'!$G$4:$G$143,$B24)/10^6))</f>
        <v>0</v>
      </c>
      <c r="I24" s="574">
        <f>IF($B24="Kế toán",SUM(I$36:I$38),IF($B24="Quản lý chất lượng",SUM(I$40:I$41),SUMIFS('GTTK chung'!BD$4:BD$143,'GTTK chung'!$G$4:$G$143,$B24)/10^6))</f>
        <v>0</v>
      </c>
      <c r="J24" s="574">
        <f>IF($B24="Kế toán",SUM(J$36:J$38),IF($B24="Quản lý chất lượng",SUM(J$40:J$41),SUMIFS('GTTK chung'!BE$4:BE$143,'GTTK chung'!$G$4:$G$143,$B24)/10^6))</f>
        <v>0</v>
      </c>
      <c r="K24" s="574">
        <f>IF($B24="Kế toán",SUM(K$36:K$38),IF($B24="Quản lý chất lượng",SUM(K$40:K$41),SUMIFS('GTTK chung'!BF$4:BF$143,'GTTK chung'!$G$4:$G$143,$B24)/10^6))</f>
        <v>0</v>
      </c>
      <c r="L24" s="574">
        <f>IF($B24="Kế toán",SUM(L$36:L$38),IF($B24="Quản lý chất lượng",SUM(L$40:L$41),SUMIFS('GTTK chung'!BG$4:BG$143,'GTTK chung'!$G$4:$G$143,$B24)/10^6))</f>
        <v>0</v>
      </c>
      <c r="M24" s="574">
        <f>IF($B24="Kế toán",SUM(M$36:M$38),IF($B24="Quản lý chất lượng",SUM(M$40:M$41),SUMIFS('GTTK chung'!BH$4:BH$143,'GTTK chung'!$G$4:$G$143,$B24)/10^6))</f>
        <v>0</v>
      </c>
      <c r="N24" s="574">
        <f>IF($B24="Kế toán",SUM(N$36:N$38),IF($B24="Quản lý chất lượng",SUM(N$40:N$41),SUMIFS('GTTK chung'!BI$4:BI$143,'GTTK chung'!$G$4:$G$143,$B24)/10^6))</f>
        <v>0</v>
      </c>
      <c r="O24" s="792">
        <f t="shared" si="49"/>
        <v>0</v>
      </c>
      <c r="P24" s="571">
        <f t="shared" si="50"/>
        <v>750</v>
      </c>
      <c r="Q24" s="572">
        <f t="shared" si="33"/>
        <v>2521.2705794000003</v>
      </c>
      <c r="R24" s="789">
        <f t="shared" si="34"/>
        <v>3.3616941058666669</v>
      </c>
      <c r="S24" s="574">
        <f t="shared" si="51"/>
        <v>0</v>
      </c>
      <c r="T24" s="565">
        <f t="shared" si="35"/>
        <v>0</v>
      </c>
      <c r="U24" s="565">
        <f t="shared" si="36"/>
        <v>56.841896399999996</v>
      </c>
      <c r="V24" s="565">
        <f t="shared" si="37"/>
        <v>13.897993799999998</v>
      </c>
      <c r="W24" s="565">
        <f t="shared" si="38"/>
        <v>830.74616692000006</v>
      </c>
      <c r="X24" s="565">
        <f t="shared" si="39"/>
        <v>284.59789428000005</v>
      </c>
      <c r="Y24" s="565">
        <f t="shared" si="40"/>
        <v>227.18483055999999</v>
      </c>
      <c r="Z24" s="565">
        <f t="shared" si="41"/>
        <v>398.45956147999999</v>
      </c>
      <c r="AA24" s="565">
        <f t="shared" si="42"/>
        <v>311.09056816000003</v>
      </c>
      <c r="AB24" s="565">
        <f t="shared" si="43"/>
        <v>215.71184588</v>
      </c>
      <c r="AC24" s="565">
        <f t="shared" si="44"/>
        <v>130.93696792</v>
      </c>
      <c r="AD24" s="565">
        <f t="shared" si="45"/>
        <v>51.802854000000004</v>
      </c>
      <c r="AE24" s="541">
        <f t="shared" si="46"/>
        <v>6.4770771928677959E-2</v>
      </c>
      <c r="AF24" s="218">
        <f t="shared" si="52"/>
        <v>9</v>
      </c>
      <c r="AG24" s="228">
        <v>6</v>
      </c>
      <c r="AH24" s="225" t="s">
        <v>331</v>
      </c>
      <c r="AI24" s="256">
        <f t="shared" ref="AI24:AI32" si="56">SUM(AJ24:AU24)</f>
        <v>1756.9568688999998</v>
      </c>
      <c r="AJ24" s="236">
        <f>SUMIFS('GTTK chung'!AJ$4:AJ$143,'GTTK chung'!$G$4:$G$143,$AH24)/10^6</f>
        <v>0</v>
      </c>
      <c r="AK24" s="236">
        <f>SUMIFS('GTTK chung'!AK$4:AK$143,'GTTK chung'!$G$4:$G$143,$AH24)/10^6</f>
        <v>0</v>
      </c>
      <c r="AL24" s="236">
        <f>SUMIFS('GTTK chung'!AL$4:AL$143,'GTTK chung'!$G$4:$G$143,$AH24)/10^6</f>
        <v>0</v>
      </c>
      <c r="AM24" s="236">
        <f>SUMIFS('GTTK chung'!AM$4:AM$143,'GTTK chung'!$G$4:$G$143,$AH24)/10^6</f>
        <v>0</v>
      </c>
      <c r="AN24" s="236">
        <f>SUMIFS('GTTK chung'!AN$4:AN$143,'GTTK chung'!$G$4:$G$143,$AH24)/10^6</f>
        <v>515.19285431999992</v>
      </c>
      <c r="AO24" s="236">
        <f>SUMIFS('GTTK chung'!AO$4:AO$143,'GTTK chung'!$G$4:$G$143,$AH24)/10^6</f>
        <v>308.59721998000003</v>
      </c>
      <c r="AP24" s="236">
        <f>SUMIFS('GTTK chung'!AP$4:AP$143,'GTTK chung'!$G$4:$G$143,$AH24)/10^6</f>
        <v>133.86888685999998</v>
      </c>
      <c r="AQ24" s="236">
        <f>SUMIFS('GTTK chung'!AQ$4:AQ$143,'GTTK chung'!$G$4:$G$143,$AH24)/10^6</f>
        <v>248.03010918000001</v>
      </c>
      <c r="AR24" s="236">
        <f>SUMIFS('GTTK chung'!AR$4:AR$143,'GTTK chung'!$G$4:$G$143,$AH24)/10^6</f>
        <v>177.10091216000001</v>
      </c>
      <c r="AS24" s="236">
        <f>SUMIFS('GTTK chung'!AS$4:AS$143,'GTTK chung'!$G$4:$G$143,$AH24)/10^6</f>
        <v>143.46150638</v>
      </c>
      <c r="AT24" s="236">
        <f>SUMIFS('GTTK chung'!AT$4:AT$143,'GTTK chung'!$G$4:$G$143,$AH24)/10^6</f>
        <v>182.58843501999999</v>
      </c>
      <c r="AU24" s="236">
        <f>SUMIFS('GTTK chung'!AU$4:AU$143,'GTTK chung'!$G$4:$G$143,$AH24)/10^6</f>
        <v>48.116945000000001</v>
      </c>
      <c r="AW24" s="781">
        <f>AI24+COUNTIFS(AI$19:AI24,AI24)*0.01</f>
        <v>1756.9668688999998</v>
      </c>
      <c r="AY24" s="336">
        <f>'Phòng R&amp;D'!O4/10^6</f>
        <v>7250</v>
      </c>
      <c r="BA24" s="781">
        <f t="shared" si="55"/>
        <v>9</v>
      </c>
      <c r="BB24" s="781">
        <f>IF($BA24=0,AY24+COUNTIFS(AY$19:AY24,AY24)*0.01,0)</f>
        <v>0</v>
      </c>
      <c r="BC24" s="781">
        <f t="shared" si="54"/>
        <v>0</v>
      </c>
    </row>
    <row r="25" spans="1:55">
      <c r="A25" s="228">
        <v>7</v>
      </c>
      <c r="B25" s="225" t="str">
        <f t="shared" si="48"/>
        <v>Kế Toán</v>
      </c>
      <c r="C25" s="574">
        <f>IF($B25="Kế toán",SUM(C$36:C$38),IF($B25="Quản lý chất lượng",SUM(C$40:C$41),SUMIFS('GTTK chung'!AX$4:AX$143,'GTTK chung'!$G$4:$G$143,$B25)/10^6))</f>
        <v>0</v>
      </c>
      <c r="D25" s="574">
        <f>IF($B25="Kế toán",SUM(D$36:D$38),IF($B25="Quản lý chất lượng",SUM(D$40:D$41),SUMIFS('GTTK chung'!AY$4:AY$143,'GTTK chung'!$G$4:$G$143,$B25)/10^6))</f>
        <v>72</v>
      </c>
      <c r="E25" s="574">
        <f>IF($B25="Kế toán",SUM(E$36:E$38),IF($B25="Quản lý chất lượng",SUM(E$40:E$41),SUMIFS('GTTK chung'!AZ$4:AZ$143,'GTTK chung'!$G$4:$G$143,$B25)/10^6))</f>
        <v>56</v>
      </c>
      <c r="F25" s="574">
        <f>IF($B25="Kế toán",SUM(F$36:F$38),IF($B25="Quản lý chất lượng",SUM(F$40:F$41),SUMIFS('GTTK chung'!BA$4:BA$143,'GTTK chung'!$G$4:$G$143,$B25)/10^6))</f>
        <v>80</v>
      </c>
      <c r="G25" s="574">
        <f>IF($B25="Kế toán",SUM(G$36:G$38),IF($B25="Quản lý chất lượng",SUM(G$40:G$41),SUMIFS('GTTK chung'!BB$4:BB$143,'GTTK chung'!$G$4:$G$143,$B25)/10^6))</f>
        <v>98.351589041095878</v>
      </c>
      <c r="H25" s="574">
        <f>IF($B25="Kế toán",SUM(H$36:H$38),IF($B25="Quản lý chất lượng",SUM(H$40:H$41),SUMIFS('GTTK chung'!BC$4:BC$143,'GTTK chung'!$G$4:$G$143,$B25)/10^6))</f>
        <v>205.33072900000002</v>
      </c>
      <c r="I25" s="574">
        <f>IF($B25="Kế toán",SUM(I$36:I$38),IF($B25="Quản lý chất lượng",SUM(I$40:I$41),SUMIFS('GTTK chung'!BD$4:BD$143,'GTTK chung'!$G$4:$G$143,$B25)/10^6))</f>
        <v>291.614892</v>
      </c>
      <c r="J25" s="574">
        <f>IF($B25="Kế toán",SUM(J$36:J$38),IF($B25="Quản lý chất lượng",SUM(J$40:J$41),SUMIFS('GTTK chung'!BE$4:BE$143,'GTTK chung'!$G$4:$G$143,$B25)/10^6))</f>
        <v>711.98855584273986</v>
      </c>
      <c r="K25" s="574">
        <f>IF($B25="Kế toán",SUM(K$36:K$38),IF($B25="Quản lý chất lượng",SUM(K$40:K$41),SUMIFS('GTTK chung'!BF$4:BF$143,'GTTK chung'!$G$4:$G$143,$B25)/10^6))</f>
        <v>478</v>
      </c>
      <c r="L25" s="574">
        <f>IF($B25="Kế toán",SUM(L$36:L$38),IF($B25="Quản lý chất lượng",SUM(L$40:L$41),SUMIFS('GTTK chung'!BG$4:BG$143,'GTTK chung'!$G$4:$G$143,$B25)/10^6))</f>
        <v>2616.2164210000001</v>
      </c>
      <c r="M25" s="574">
        <f>IF($B25="Kế toán",SUM(M$36:M$38),IF($B25="Quản lý chất lượng",SUM(M$40:M$41),SUMIFS('GTTK chung'!BH$4:BH$143,'GTTK chung'!$G$4:$G$143,$B25)/10^6))</f>
        <v>288.11500000000001</v>
      </c>
      <c r="N25" s="574">
        <f>IF($B25="Kế toán",SUM(N$36:N$38),IF($B25="Quản lý chất lượng",SUM(N$40:N$41),SUMIFS('GTTK chung'!BI$4:BI$143,'GTTK chung'!$G$4:$G$143,$B25)/10^6))</f>
        <v>1738.9499999999994</v>
      </c>
      <c r="O25" s="792">
        <f t="shared" si="49"/>
        <v>6636.5671868838344</v>
      </c>
      <c r="P25" s="571">
        <f t="shared" si="50"/>
        <v>4250</v>
      </c>
      <c r="Q25" s="572">
        <f t="shared" si="33"/>
        <v>2213.9619592865001</v>
      </c>
      <c r="R25" s="789">
        <f t="shared" si="34"/>
        <v>0.52093222571447062</v>
      </c>
      <c r="S25" s="574">
        <f t="shared" si="51"/>
        <v>453.886213</v>
      </c>
      <c r="T25" s="565">
        <f t="shared" si="35"/>
        <v>73.452500000000001</v>
      </c>
      <c r="U25" s="565">
        <f t="shared" si="36"/>
        <v>148.005</v>
      </c>
      <c r="V25" s="565">
        <f t="shared" si="37"/>
        <v>85.882796999999997</v>
      </c>
      <c r="W25" s="565">
        <f t="shared" si="38"/>
        <v>38.098899000000003</v>
      </c>
      <c r="X25" s="565">
        <f t="shared" si="39"/>
        <v>967.04451707999999</v>
      </c>
      <c r="Y25" s="565">
        <f t="shared" si="40"/>
        <v>60.519332000000006</v>
      </c>
      <c r="Z25" s="565">
        <f t="shared" si="41"/>
        <v>103.37468020649999</v>
      </c>
      <c r="AA25" s="565">
        <f t="shared" si="42"/>
        <v>118.929401</v>
      </c>
      <c r="AB25" s="565">
        <f t="shared" si="43"/>
        <v>70.134399000000002</v>
      </c>
      <c r="AC25" s="565">
        <f t="shared" si="44"/>
        <v>55.190472</v>
      </c>
      <c r="AD25" s="565">
        <f t="shared" si="45"/>
        <v>39.443748999999997</v>
      </c>
      <c r="AE25" s="541">
        <f t="shared" si="46"/>
        <v>5.6876095051186668E-2</v>
      </c>
      <c r="AF25" s="218">
        <f t="shared" si="52"/>
        <v>10</v>
      </c>
      <c r="AG25" s="228">
        <v>7</v>
      </c>
      <c r="AH25" s="225" t="s">
        <v>354</v>
      </c>
      <c r="AI25" s="256">
        <f t="shared" si="56"/>
        <v>920.07502099999988</v>
      </c>
      <c r="AJ25" s="236">
        <f>SUMIFS('GTTK chung'!AJ$4:AJ$143,'GTTK chung'!$G$4:$G$143,$AH25)/10^6</f>
        <v>0</v>
      </c>
      <c r="AK25" s="236">
        <f>SUMIFS('GTTK chung'!AK$4:AK$143,'GTTK chung'!$G$4:$G$143,$AH25)/10^6</f>
        <v>0</v>
      </c>
      <c r="AL25" s="236">
        <f>SUMIFS('GTTK chung'!AL$4:AL$143,'GTTK chung'!$G$4:$G$143,$AH25)/10^6</f>
        <v>0</v>
      </c>
      <c r="AM25" s="236">
        <f>SUMIFS('GTTK chung'!AM$4:AM$143,'GTTK chung'!$G$4:$G$143,$AH25)/10^6</f>
        <v>0</v>
      </c>
      <c r="AN25" s="236">
        <f>SUMIFS('GTTK chung'!AN$4:AN$143,'GTTK chung'!$G$4:$G$143,$AH25)/10^6</f>
        <v>0</v>
      </c>
      <c r="AO25" s="236">
        <f>SUMIFS('GTTK chung'!AO$4:AO$143,'GTTK chung'!$G$4:$G$143,$AH25)/10^6</f>
        <v>0</v>
      </c>
      <c r="AP25" s="236">
        <f>SUMIFS('GTTK chung'!AP$4:AP$143,'GTTK chung'!$G$4:$G$143,$AH25)/10^6</f>
        <v>0</v>
      </c>
      <c r="AQ25" s="236">
        <f>SUMIFS('GTTK chung'!AQ$4:AQ$143,'GTTK chung'!$G$4:$G$143,$AH25)/10^6</f>
        <v>0</v>
      </c>
      <c r="AR25" s="236">
        <f>SUMIFS('GTTK chung'!AR$4:AR$143,'GTTK chung'!$G$4:$G$143,$AH25)/10^6</f>
        <v>457.61694999999997</v>
      </c>
      <c r="AS25" s="236">
        <f>SUMIFS('GTTK chung'!AS$4:AS$143,'GTTK chung'!$G$4:$G$143,$AH25)/10^6</f>
        <v>0</v>
      </c>
      <c r="AT25" s="236">
        <f>SUMIFS('GTTK chung'!AT$4:AT$143,'GTTK chung'!$G$4:$G$143,$AH25)/10^6</f>
        <v>166.755686</v>
      </c>
      <c r="AU25" s="236">
        <f>SUMIFS('GTTK chung'!AU$4:AU$143,'GTTK chung'!$G$4:$G$143,$AH25)/10^6</f>
        <v>295.70238499999999</v>
      </c>
      <c r="AW25" s="781">
        <f>AI25+COUNTIFS(AI$19:AI25,AI25)*0.01</f>
        <v>920.08502099999987</v>
      </c>
      <c r="AY25" s="336">
        <f>'Phòng cung ứng'!O4/10^6</f>
        <v>4750</v>
      </c>
      <c r="BA25" s="781">
        <f t="shared" si="55"/>
        <v>10</v>
      </c>
      <c r="BB25" s="781">
        <f>IF($BA25=0,AY25+COUNTIFS(AY$19:AY25,AY25)*0.01,0)</f>
        <v>0</v>
      </c>
      <c r="BC25" s="781">
        <f t="shared" si="54"/>
        <v>0</v>
      </c>
    </row>
    <row r="26" spans="1:55">
      <c r="A26" s="228">
        <v>8</v>
      </c>
      <c r="B26" s="225" t="str">
        <f t="shared" si="48"/>
        <v>Tự động hóa</v>
      </c>
      <c r="C26" s="574">
        <f>IF($B26="Kế toán",SUM(C$36:C$38),IF($B26="Quản lý chất lượng",SUM(C$40:C$41),SUMIFS('GTTK chung'!AX$4:AX$143,'GTTK chung'!$G$4:$G$143,$B26)/10^6))</f>
        <v>473.96058299999999</v>
      </c>
      <c r="D26" s="574">
        <f>IF($B26="Kế toán",SUM(D$36:D$38),IF($B26="Quản lý chất lượng",SUM(D$40:D$41),SUMIFS('GTTK chung'!AY$4:AY$143,'GTTK chung'!$G$4:$G$143,$B26)/10^6))</f>
        <v>149.15047999999999</v>
      </c>
      <c r="E26" s="574">
        <f>IF($B26="Kế toán",SUM(E$36:E$38),IF($B26="Quản lý chất lượng",SUM(E$40:E$41),SUMIFS('GTTK chung'!AZ$4:AZ$143,'GTTK chung'!$G$4:$G$143,$B26)/10^6))</f>
        <v>238.89185699999999</v>
      </c>
      <c r="F26" s="574">
        <f>IF($B26="Kế toán",SUM(F$36:F$38),IF($B26="Quản lý chất lượng",SUM(F$40:F$41),SUMIFS('GTTK chung'!BA$4:BA$143,'GTTK chung'!$G$4:$G$143,$B26)/10^6))</f>
        <v>191.12033299999999</v>
      </c>
      <c r="G26" s="574">
        <f>IF($B26="Kế toán",SUM(G$36:G$38),IF($B26="Quản lý chất lượng",SUM(G$40:G$41),SUMIFS('GTTK chung'!BB$4:BB$143,'GTTK chung'!$G$4:$G$143,$B26)/10^6))</f>
        <v>230.97323299999999</v>
      </c>
      <c r="H26" s="574">
        <f>IF($B26="Kế toán",SUM(H$36:H$38),IF($B26="Quản lý chất lượng",SUM(H$40:H$41),SUMIFS('GTTK chung'!BC$4:BC$143,'GTTK chung'!$G$4:$G$143,$B26)/10^6))</f>
        <v>181.796933</v>
      </c>
      <c r="I26" s="574">
        <f>IF($B26="Kế toán",SUM(I$36:I$38),IF($B26="Quản lý chất lượng",SUM(I$40:I$41),SUMIFS('GTTK chung'!BD$4:BD$143,'GTTK chung'!$G$4:$G$143,$B26)/10^6))</f>
        <v>145.24613299999999</v>
      </c>
      <c r="J26" s="574">
        <f>IF($B26="Kế toán",SUM(J$36:J$38),IF($B26="Quản lý chất lượng",SUM(J$40:J$41),SUMIFS('GTTK chung'!BE$4:BE$143,'GTTK chung'!$G$4:$G$143,$B26)/10^6))</f>
        <v>142.684133</v>
      </c>
      <c r="K26" s="574">
        <f>IF($B26="Kế toán",SUM(K$36:K$38),IF($B26="Quản lý chất lượng",SUM(K$40:K$41),SUMIFS('GTTK chung'!BF$4:BF$143,'GTTK chung'!$G$4:$G$143,$B26)/10^6))</f>
        <v>174.99265671428572</v>
      </c>
      <c r="L26" s="574">
        <f>IF($B26="Kế toán",SUM(L$36:L$38),IF($B26="Quản lý chất lượng",SUM(L$40:L$41),SUMIFS('GTTK chung'!BG$4:BG$143,'GTTK chung'!$G$4:$G$143,$B26)/10^6))</f>
        <v>179.63905671428572</v>
      </c>
      <c r="M26" s="574">
        <f>IF($B26="Kế toán",SUM(M$36:M$38),IF($B26="Quản lý chất lượng",SUM(M$40:M$41),SUMIFS('GTTK chung'!BH$4:BH$143,'GTTK chung'!$G$4:$G$143,$B26)/10^6))</f>
        <v>183.44065671428569</v>
      </c>
      <c r="N26" s="574">
        <f>IF($B26="Kế toán",SUM(N$36:N$38),IF($B26="Quản lý chất lượng",SUM(N$40:N$41),SUMIFS('GTTK chung'!BI$4:BI$143,'GTTK chung'!$G$4:$G$143,$B26)/10^6))</f>
        <v>162.53185671428571</v>
      </c>
      <c r="O26" s="792">
        <f t="shared" si="49"/>
        <v>2454.4279118571426</v>
      </c>
      <c r="P26" s="571">
        <f t="shared" si="50"/>
        <v>5250</v>
      </c>
      <c r="Q26" s="572">
        <f t="shared" si="33"/>
        <v>1880.937762</v>
      </c>
      <c r="R26" s="789">
        <f>Q26/P26</f>
        <v>0.35827385942857143</v>
      </c>
      <c r="S26" s="574">
        <f t="shared" si="51"/>
        <v>0</v>
      </c>
      <c r="T26" s="565">
        <f t="shared" si="35"/>
        <v>153.5</v>
      </c>
      <c r="U26" s="565">
        <f t="shared" si="36"/>
        <v>88.064661000000001</v>
      </c>
      <c r="V26" s="565">
        <f t="shared" si="37"/>
        <v>79.570027999999994</v>
      </c>
      <c r="W26" s="565">
        <f t="shared" si="38"/>
        <v>215.31143800000001</v>
      </c>
      <c r="X26" s="565">
        <f t="shared" si="39"/>
        <v>194.94361000000001</v>
      </c>
      <c r="Y26" s="565">
        <f t="shared" si="40"/>
        <v>170.64550800000001</v>
      </c>
      <c r="Z26" s="565">
        <f t="shared" si="41"/>
        <v>191.49511899999999</v>
      </c>
      <c r="AA26" s="565">
        <f t="shared" si="42"/>
        <v>339.29130700000002</v>
      </c>
      <c r="AB26" s="565">
        <f t="shared" si="43"/>
        <v>177.12853100000001</v>
      </c>
      <c r="AC26" s="565">
        <f t="shared" si="44"/>
        <v>130.91653299999999</v>
      </c>
      <c r="AD26" s="565">
        <f t="shared" si="45"/>
        <v>140.07102699999999</v>
      </c>
      <c r="AE26" s="541">
        <f t="shared" si="46"/>
        <v>4.8320791822166274E-2</v>
      </c>
      <c r="AF26" s="218">
        <f t="shared" si="52"/>
        <v>11</v>
      </c>
      <c r="AG26" s="228">
        <v>8</v>
      </c>
      <c r="AH26" s="225" t="s">
        <v>572</v>
      </c>
      <c r="AI26" s="1261">
        <f t="shared" si="56"/>
        <v>623.80799999999988</v>
      </c>
      <c r="AJ26" s="1262">
        <f>SUMIFS('GTTK chung'!AJ$4:AJ$143,'GTTK chung'!$G$4:$G$143,$AH26)/10^6</f>
        <v>0</v>
      </c>
      <c r="AK26" s="1262">
        <f>SUMIFS('GTTK chung'!AK$4:AK$143,'GTTK chung'!$G$4:$G$143,$AH26)/10^6</f>
        <v>0</v>
      </c>
      <c r="AL26" s="1262">
        <f>SUMIFS('GTTK chung'!AL$4:AL$143,'GTTK chung'!$G$4:$G$143,$AH26)/10^6</f>
        <v>155.952</v>
      </c>
      <c r="AM26" s="1262">
        <f>SUMIFS('GTTK chung'!AM$4:AM$143,'GTTK chung'!$G$4:$G$143,$AH26)/10^6</f>
        <v>51.984000000000002</v>
      </c>
      <c r="AN26" s="1262">
        <f>SUMIFS('GTTK chung'!AN$4:AN$143,'GTTK chung'!$G$4:$G$143,$AH26)/10^6</f>
        <v>51.984000000000002</v>
      </c>
      <c r="AO26" s="1262">
        <f>SUMIFS('GTTK chung'!AO$4:AO$143,'GTTK chung'!$G$4:$G$143,$AH26)/10^6</f>
        <v>51.984000000000002</v>
      </c>
      <c r="AP26" s="1262">
        <f>SUMIFS('GTTK chung'!AP$4:AP$143,'GTTK chung'!$G$4:$G$143,$AH26)/10^6</f>
        <v>51.984000000000002</v>
      </c>
      <c r="AQ26" s="1262">
        <f>SUMIFS('GTTK chung'!AQ$4:AQ$143,'GTTK chung'!$G$4:$G$143,$AH26)/10^6</f>
        <v>51.984000000000002</v>
      </c>
      <c r="AR26" s="1262">
        <f>SUMIFS('GTTK chung'!AR$4:AR$143,'GTTK chung'!$G$4:$G$143,$AH26)/10^6</f>
        <v>51.984000000000002</v>
      </c>
      <c r="AS26" s="1262">
        <f>SUMIFS('GTTK chung'!AS$4:AS$143,'GTTK chung'!$G$4:$G$143,$AH26)/10^6</f>
        <v>51.984000000000002</v>
      </c>
      <c r="AT26" s="1262">
        <f>SUMIFS('GTTK chung'!AT$4:AT$143,'GTTK chung'!$G$4:$G$143,$AH26)/10^6</f>
        <v>103.968</v>
      </c>
      <c r="AU26" s="1262">
        <f>SUMIFS('GTTK chung'!AU$4:AU$143,'GTTK chung'!$G$4:$G$143,$AH26)/10^6</f>
        <v>0</v>
      </c>
      <c r="AW26" s="781">
        <f>AI26+COUNTIFS(AI$19:AI26,AI26)*0.01</f>
        <v>623.81799999999987</v>
      </c>
      <c r="AY26" s="336">
        <f>Kho!O4/10^6</f>
        <v>1250</v>
      </c>
      <c r="BA26" s="781">
        <f t="shared" si="55"/>
        <v>11</v>
      </c>
      <c r="BB26" s="781">
        <f>IF($BA26=0,AY26+COUNTIFS(AY$19:AY26,AY26)*0.01,0)</f>
        <v>0</v>
      </c>
      <c r="BC26" s="781">
        <f t="shared" si="54"/>
        <v>0</v>
      </c>
    </row>
    <row r="27" spans="1:55">
      <c r="A27" s="228">
        <v>9</v>
      </c>
      <c r="B27" s="225" t="str">
        <f t="shared" si="48"/>
        <v>R&amp;D</v>
      </c>
      <c r="C27" s="574">
        <f>IF($B27="Kế toán",SUM(C$36:C$38),IF($B27="Quản lý chất lượng",SUM(C$40:C$41),SUMIFS('GTTK chung'!AX$4:AX$143,'GTTK chung'!$G$4:$G$143,$B27)/10^6))</f>
        <v>0</v>
      </c>
      <c r="D27" s="574">
        <f>IF($B27="Kế toán",SUM(D$36:D$38),IF($B27="Quản lý chất lượng",SUM(D$40:D$41),SUMIFS('GTTK chung'!AY$4:AY$143,'GTTK chung'!$G$4:$G$143,$B27)/10^6))</f>
        <v>0</v>
      </c>
      <c r="E27" s="574">
        <f>IF($B27="Kế toán",SUM(E$36:E$38),IF($B27="Quản lý chất lượng",SUM(E$40:E$41),SUMIFS('GTTK chung'!AZ$4:AZ$143,'GTTK chung'!$G$4:$G$143,$B27)/10^6))</f>
        <v>0</v>
      </c>
      <c r="F27" s="574">
        <f>IF($B27="Kế toán",SUM(F$36:F$38),IF($B27="Quản lý chất lượng",SUM(F$40:F$41),SUMIFS('GTTK chung'!BA$4:BA$143,'GTTK chung'!$G$4:$G$143,$B27)/10^6))</f>
        <v>0</v>
      </c>
      <c r="G27" s="574">
        <f>IF($B27="Kế toán",SUM(G$36:G$38),IF($B27="Quản lý chất lượng",SUM(G$40:G$41),SUMIFS('GTTK chung'!BB$4:BB$143,'GTTK chung'!$G$4:$G$143,$B27)/10^6))</f>
        <v>0</v>
      </c>
      <c r="H27" s="574">
        <f>IF($B27="Kế toán",SUM(H$36:H$38),IF($B27="Quản lý chất lượng",SUM(H$40:H$41),SUMIFS('GTTK chung'!BC$4:BC$143,'GTTK chung'!$G$4:$G$143,$B27)/10^6))</f>
        <v>0</v>
      </c>
      <c r="I27" s="574">
        <f>IF($B27="Kế toán",SUM(I$36:I$38),IF($B27="Quản lý chất lượng",SUM(I$40:I$41),SUMIFS('GTTK chung'!BD$4:BD$143,'GTTK chung'!$G$4:$G$143,$B27)/10^6))</f>
        <v>0</v>
      </c>
      <c r="J27" s="574">
        <f>IF($B27="Kế toán",SUM(J$36:J$38),IF($B27="Quản lý chất lượng",SUM(J$40:J$41),SUMIFS('GTTK chung'!BE$4:BE$143,'GTTK chung'!$G$4:$G$143,$B27)/10^6))</f>
        <v>3324.7192300000002</v>
      </c>
      <c r="K27" s="574">
        <f>IF($B27="Kế toán",SUM(K$36:K$38),IF($B27="Quản lý chất lượng",SUM(K$40:K$41),SUMIFS('GTTK chung'!BF$4:BF$143,'GTTK chung'!$G$4:$G$143,$B27)/10^6))</f>
        <v>0</v>
      </c>
      <c r="L27" s="574">
        <f>IF($B27="Kế toán",SUM(L$36:L$38),IF($B27="Quản lý chất lượng",SUM(L$40:L$41),SUMIFS('GTTK chung'!BG$4:BG$143,'GTTK chung'!$G$4:$G$143,$B27)/10^6))</f>
        <v>0</v>
      </c>
      <c r="M27" s="574">
        <f>IF($B27="Kế toán",SUM(M$36:M$38),IF($B27="Quản lý chất lượng",SUM(M$40:M$41),SUMIFS('GTTK chung'!BH$4:BH$143,'GTTK chung'!$G$4:$G$143,$B27)/10^6))</f>
        <v>21.399812000000001</v>
      </c>
      <c r="N27" s="574">
        <f>IF($B27="Kế toán",SUM(N$36:N$38),IF($B27="Quản lý chất lượng",SUM(N$40:N$41),SUMIFS('GTTK chung'!BI$4:BI$143,'GTTK chung'!$G$4:$G$143,$B27)/10^6))</f>
        <v>0</v>
      </c>
      <c r="O27" s="792">
        <f t="shared" si="49"/>
        <v>3346.1190420000003</v>
      </c>
      <c r="P27" s="571">
        <f t="shared" si="50"/>
        <v>7250</v>
      </c>
      <c r="Q27" s="572">
        <f t="shared" si="33"/>
        <v>1756.9568688999998</v>
      </c>
      <c r="R27" s="789">
        <f t="shared" si="34"/>
        <v>0.24233887846896549</v>
      </c>
      <c r="S27" s="574">
        <f t="shared" si="51"/>
        <v>0</v>
      </c>
      <c r="T27" s="565">
        <f t="shared" si="35"/>
        <v>0</v>
      </c>
      <c r="U27" s="565">
        <f t="shared" si="36"/>
        <v>0</v>
      </c>
      <c r="V27" s="565">
        <f t="shared" si="37"/>
        <v>0</v>
      </c>
      <c r="W27" s="565">
        <f t="shared" si="38"/>
        <v>515.19285431999992</v>
      </c>
      <c r="X27" s="565">
        <f t="shared" si="39"/>
        <v>308.59721998000003</v>
      </c>
      <c r="Y27" s="565">
        <f t="shared" si="40"/>
        <v>133.86888685999998</v>
      </c>
      <c r="Z27" s="565">
        <f t="shared" si="41"/>
        <v>248.03010918000001</v>
      </c>
      <c r="AA27" s="565">
        <f t="shared" si="42"/>
        <v>177.10091216000001</v>
      </c>
      <c r="AB27" s="565">
        <f t="shared" si="43"/>
        <v>143.46150638</v>
      </c>
      <c r="AC27" s="565">
        <f t="shared" si="44"/>
        <v>182.58843501999999</v>
      </c>
      <c r="AD27" s="565">
        <f t="shared" si="45"/>
        <v>48.116945000000001</v>
      </c>
      <c r="AE27" s="541">
        <f t="shared" si="46"/>
        <v>4.5135755588409508E-2</v>
      </c>
      <c r="AF27" s="218">
        <f t="shared" si="52"/>
        <v>12</v>
      </c>
      <c r="AG27" s="228">
        <v>9</v>
      </c>
      <c r="AH27" s="225" t="s">
        <v>716</v>
      </c>
      <c r="AI27" s="1261">
        <f t="shared" si="56"/>
        <v>497.02220999999997</v>
      </c>
      <c r="AJ27" s="1262">
        <f>SUMIFS('GTTK chung'!AJ$4:AJ$143,'GTTK chung'!$G$4:$G$143,$AH27)/10^6</f>
        <v>0</v>
      </c>
      <c r="AK27" s="1262">
        <f>SUMIFS('GTTK chung'!AK$4:AK$143,'GTTK chung'!$G$4:$G$143,$AH27)/10^6</f>
        <v>0</v>
      </c>
      <c r="AL27" s="1262">
        <f>SUMIFS('GTTK chung'!AL$4:AL$143,'GTTK chung'!$G$4:$G$143,$AH27)/10^6</f>
        <v>0</v>
      </c>
      <c r="AM27" s="1262">
        <f>SUMIFS('GTTK chung'!AM$4:AM$143,'GTTK chung'!$G$4:$G$143,$AH27)/10^6</f>
        <v>206.19320300000001</v>
      </c>
      <c r="AN27" s="1262">
        <f>SUMIFS('GTTK chung'!AN$4:AN$143,'GTTK chung'!$G$4:$G$143,$AH27)/10^6</f>
        <v>23.445193</v>
      </c>
      <c r="AO27" s="1262">
        <f>SUMIFS('GTTK chung'!AO$4:AO$143,'GTTK chung'!$G$4:$G$143,$AH27)/10^6</f>
        <v>7.3218819999999996</v>
      </c>
      <c r="AP27" s="1262">
        <f>SUMIFS('GTTK chung'!AP$4:AP$143,'GTTK chung'!$G$4:$G$143,$AH27)/10^6</f>
        <v>12.283557</v>
      </c>
      <c r="AQ27" s="1262">
        <f>SUMIFS('GTTK chung'!AQ$4:AQ$143,'GTTK chung'!$G$4:$G$143,$AH27)/10^6</f>
        <v>40.605179999999997</v>
      </c>
      <c r="AR27" s="1262">
        <f>SUMIFS('GTTK chung'!AR$4:AR$143,'GTTK chung'!$G$4:$G$143,$AH27)/10^6</f>
        <v>51.479531000000001</v>
      </c>
      <c r="AS27" s="1262">
        <f>SUMIFS('GTTK chung'!AS$4:AS$143,'GTTK chung'!$G$4:$G$143,$AH27)/10^6</f>
        <v>65.066560999999993</v>
      </c>
      <c r="AT27" s="1262">
        <f>SUMIFS('GTTK chung'!AT$4:AT$143,'GTTK chung'!$G$4:$G$143,$AH27)/10^6</f>
        <v>19.579184000000001</v>
      </c>
      <c r="AU27" s="1262">
        <f>SUMIFS('GTTK chung'!AU$4:AU$143,'GTTK chung'!$G$4:$G$143,$AH27)/10^6</f>
        <v>71.047918999999993</v>
      </c>
      <c r="AW27" s="781">
        <f>AI27+COUNTIFS(AI$19:AI27,AI27)*0.01</f>
        <v>497.03220999999996</v>
      </c>
      <c r="AY27" s="336">
        <f>'Kinh doanh'!O4/10^6</f>
        <v>750</v>
      </c>
      <c r="BA27" s="781">
        <f t="shared" si="55"/>
        <v>12</v>
      </c>
      <c r="BB27" s="781">
        <f>IF($BA27=0,AY27+COUNTIFS(AY$19:AY27,AY27)*0.01,0)</f>
        <v>0</v>
      </c>
      <c r="BC27" s="781">
        <f t="shared" si="54"/>
        <v>0</v>
      </c>
    </row>
    <row r="28" spans="1:55">
      <c r="A28" s="228">
        <v>10</v>
      </c>
      <c r="B28" s="225" t="str">
        <f t="shared" si="48"/>
        <v>Cung ứng</v>
      </c>
      <c r="C28" s="574">
        <f>IF($B28="Kế toán",SUM(C$36:C$38),IF($B28="Quản lý chất lượng",SUM(C$40:C$41),SUMIFS('GTTK chung'!AX$4:AX$143,'GTTK chung'!$G$4:$G$143,$B28)/10^6))</f>
        <v>17.122800000000002</v>
      </c>
      <c r="D28" s="574">
        <f>IF($B28="Kế toán",SUM(D$36:D$38),IF($B28="Quản lý chất lượng",SUM(D$40:D$41),SUMIFS('GTTK chung'!AY$4:AY$143,'GTTK chung'!$G$4:$G$143,$B28)/10^6))</f>
        <v>317.35320000000002</v>
      </c>
      <c r="E28" s="574">
        <f>IF($B28="Kế toán",SUM(E$36:E$38),IF($B28="Quản lý chất lượng",SUM(E$40:E$41),SUMIFS('GTTK chung'!AZ$4:AZ$143,'GTTK chung'!$G$4:$G$143,$B28)/10^6))</f>
        <v>32.307600000000001</v>
      </c>
      <c r="F28" s="574">
        <f>IF($B28="Kế toán",SUM(F$36:F$38),IF($B28="Quản lý chất lượng",SUM(F$40:F$41),SUMIFS('GTTK chung'!BA$4:BA$143,'GTTK chung'!$G$4:$G$143,$B28)/10^6))</f>
        <v>11.4114</v>
      </c>
      <c r="G28" s="574">
        <f>IF($B28="Kế toán",SUM(G$36:G$38),IF($B28="Quản lý chất lượng",SUM(G$40:G$41),SUMIFS('GTTK chung'!BB$4:BB$143,'GTTK chung'!$G$4:$G$143,$B28)/10^6))</f>
        <v>102.5316</v>
      </c>
      <c r="H28" s="574">
        <f>IF($B28="Kế toán",SUM(H$36:H$38),IF($B28="Quản lý chất lượng",SUM(H$40:H$41),SUMIFS('GTTK chung'!BC$4:BC$143,'GTTK chung'!$G$4:$G$143,$B28)/10^6))</f>
        <v>174.0324</v>
      </c>
      <c r="I28" s="574">
        <f>IF($B28="Kế toán",SUM(I$36:I$38),IF($B28="Quản lý chất lượng",SUM(I$40:I$41),SUMIFS('GTTK chung'!BD$4:BD$143,'GTTK chung'!$G$4:$G$143,$B28)/10^6))</f>
        <v>56.478800000000007</v>
      </c>
      <c r="J28" s="574">
        <f>IF($B28="Kế toán",SUM(J$36:J$38),IF($B28="Quản lý chất lượng",SUM(J$40:J$41),SUMIFS('GTTK chung'!BE$4:BE$143,'GTTK chung'!$G$4:$G$143,$B28)/10^6))</f>
        <v>16.312000000000005</v>
      </c>
      <c r="K28" s="574">
        <f>IF($B28="Kế toán",SUM(K$36:K$38),IF($B28="Quản lý chất lượng",SUM(K$40:K$41),SUMIFS('GTTK chung'!BF$4:BF$143,'GTTK chung'!$G$4:$G$143,$B28)/10^6))</f>
        <v>13.5318</v>
      </c>
      <c r="L28" s="574">
        <f>IF($B28="Kế toán",SUM(L$36:L$38),IF($B28="Quản lý chất lượng",SUM(L$40:L$41),SUMIFS('GTTK chung'!BG$4:BG$143,'GTTK chung'!$G$4:$G$143,$B28)/10^6))</f>
        <v>46.9908</v>
      </c>
      <c r="M28" s="574">
        <f>IF($B28="Kế toán",SUM(M$36:M$38),IF($B28="Quản lý chất lượng",SUM(M$40:M$41),SUMIFS('GTTK chung'!BH$4:BH$143,'GTTK chung'!$G$4:$G$143,$B28)/10^6))</f>
        <v>499.94604500000003</v>
      </c>
      <c r="N28" s="574">
        <f>IF($B28="Kế toán",SUM(N$36:N$38),IF($B28="Quản lý chất lượng",SUM(N$40:N$41),SUMIFS('GTTK chung'!BI$4:BI$143,'GTTK chung'!$G$4:$G$143,$B28)/10^6))</f>
        <v>90.755399999999995</v>
      </c>
      <c r="O28" s="792">
        <f t="shared" si="49"/>
        <v>1378.7738450000002</v>
      </c>
      <c r="P28" s="571">
        <f t="shared" si="50"/>
        <v>4750</v>
      </c>
      <c r="Q28" s="572">
        <f t="shared" si="33"/>
        <v>920.07502099999988</v>
      </c>
      <c r="R28" s="789">
        <f t="shared" si="34"/>
        <v>0.19370000442105262</v>
      </c>
      <c r="S28" s="574">
        <f t="shared" si="51"/>
        <v>0</v>
      </c>
      <c r="T28" s="565">
        <f t="shared" si="35"/>
        <v>0</v>
      </c>
      <c r="U28" s="565">
        <f t="shared" si="36"/>
        <v>0</v>
      </c>
      <c r="V28" s="565">
        <f t="shared" si="37"/>
        <v>0</v>
      </c>
      <c r="W28" s="565">
        <f t="shared" si="38"/>
        <v>0</v>
      </c>
      <c r="X28" s="565">
        <f t="shared" si="39"/>
        <v>0</v>
      </c>
      <c r="Y28" s="565">
        <f t="shared" si="40"/>
        <v>0</v>
      </c>
      <c r="Z28" s="565">
        <f t="shared" si="41"/>
        <v>0</v>
      </c>
      <c r="AA28" s="565">
        <f t="shared" si="42"/>
        <v>457.61694999999997</v>
      </c>
      <c r="AB28" s="565">
        <f t="shared" si="43"/>
        <v>0</v>
      </c>
      <c r="AC28" s="565">
        <f t="shared" si="44"/>
        <v>166.755686</v>
      </c>
      <c r="AD28" s="565">
        <f t="shared" si="45"/>
        <v>295.70238499999999</v>
      </c>
      <c r="AE28" s="541">
        <f t="shared" si="46"/>
        <v>2.3636483061110585E-2</v>
      </c>
      <c r="AF28" s="218">
        <f t="shared" si="52"/>
        <v>13</v>
      </c>
      <c r="AG28" s="228">
        <v>10</v>
      </c>
      <c r="AH28" s="225" t="s">
        <v>718</v>
      </c>
      <c r="AI28" s="1261">
        <f t="shared" si="56"/>
        <v>297.07</v>
      </c>
      <c r="AJ28" s="1262">
        <f>SUMIFS('GTTK chung'!AJ$4:AJ$143,'GTTK chung'!$G$4:$G$143,$AH28)/10^6</f>
        <v>0</v>
      </c>
      <c r="AK28" s="1262">
        <f>SUMIFS('GTTK chung'!AK$4:AK$143,'GTTK chung'!$G$4:$G$143,$AH28)/10^6</f>
        <v>0</v>
      </c>
      <c r="AL28" s="1262">
        <f>SUMIFS('GTTK chung'!AL$4:AL$143,'GTTK chung'!$G$4:$G$143,$AH28)/10^6</f>
        <v>0</v>
      </c>
      <c r="AM28" s="1262">
        <f>SUMIFS('GTTK chung'!AM$4:AM$143,'GTTK chung'!$G$4:$G$143,$AH28)/10^6</f>
        <v>200.5</v>
      </c>
      <c r="AN28" s="1262">
        <f>SUMIFS('GTTK chung'!AN$4:AN$143,'GTTK chung'!$G$4:$G$143,$AH28)/10^6</f>
        <v>0</v>
      </c>
      <c r="AO28" s="1262">
        <f>SUMIFS('GTTK chung'!AO$4:AO$143,'GTTK chung'!$G$4:$G$143,$AH28)/10^6</f>
        <v>0</v>
      </c>
      <c r="AP28" s="1262">
        <f>SUMIFS('GTTK chung'!AP$4:AP$143,'GTTK chung'!$G$4:$G$143,$AH28)/10^6</f>
        <v>0</v>
      </c>
      <c r="AQ28" s="1262">
        <f>SUMIFS('GTTK chung'!AQ$4:AQ$143,'GTTK chung'!$G$4:$G$143,$AH28)/10^6</f>
        <v>0</v>
      </c>
      <c r="AR28" s="1262">
        <f>SUMIFS('GTTK chung'!AR$4:AR$143,'GTTK chung'!$G$4:$G$143,$AH28)/10^6</f>
        <v>0</v>
      </c>
      <c r="AS28" s="1262">
        <f>SUMIFS('GTTK chung'!AS$4:AS$143,'GTTK chung'!$G$4:$G$143,$AH28)/10^6</f>
        <v>0</v>
      </c>
      <c r="AT28" s="1262">
        <f>SUMIFS('GTTK chung'!AT$4:AT$143,'GTTK chung'!$G$4:$G$143,$AH28)/10^6</f>
        <v>0</v>
      </c>
      <c r="AU28" s="1262">
        <f>SUMIFS('GTTK chung'!AU$4:AU$143,'GTTK chung'!$G$4:$G$143,$AH28)/10^6</f>
        <v>96.57</v>
      </c>
      <c r="AW28" s="781">
        <f>AI28+COUNTIFS(AI$19:AI28,AI28)*0.01</f>
        <v>297.08</v>
      </c>
      <c r="AY28" s="336">
        <f>'Nhân sự'!O4/10^6</f>
        <v>1000</v>
      </c>
      <c r="BA28" s="781">
        <f t="shared" si="55"/>
        <v>13</v>
      </c>
      <c r="BB28" s="781">
        <f>IF($BA28=0,AY28+COUNTIFS(AY$19:AY28,AY28)*0.01,0)</f>
        <v>0</v>
      </c>
      <c r="BC28" s="781">
        <f t="shared" si="54"/>
        <v>0</v>
      </c>
    </row>
    <row r="29" spans="1:55">
      <c r="A29" s="228">
        <v>11</v>
      </c>
      <c r="B29" s="225" t="str">
        <f t="shared" si="48"/>
        <v>Kho</v>
      </c>
      <c r="C29" s="574">
        <f>IF($B29="Kế toán",SUM(C$36:C$38),IF($B29="Quản lý chất lượng",SUM(C$40:C$41),SUMIFS('GTTK chung'!AX$4:AX$143,'GTTK chung'!$G$4:$G$143,$B29)/10^6))</f>
        <v>0</v>
      </c>
      <c r="D29" s="574">
        <f>IF($B29="Kế toán",SUM(D$36:D$38),IF($B29="Quản lý chất lượng",SUM(D$40:D$41),SUMIFS('GTTK chung'!AY$4:AY$143,'GTTK chung'!$G$4:$G$143,$B29)/10^6))</f>
        <v>0</v>
      </c>
      <c r="E29" s="574">
        <f>IF($B29="Kế toán",SUM(E$36:E$38),IF($B29="Quản lý chất lượng",SUM(E$40:E$41),SUMIFS('GTTK chung'!AZ$4:AZ$143,'GTTK chung'!$G$4:$G$143,$B29)/10^6))</f>
        <v>0</v>
      </c>
      <c r="F29" s="574">
        <f>IF($B29="Kế toán",SUM(F$36:F$38),IF($B29="Quản lý chất lượng",SUM(F$40:F$41),SUMIFS('GTTK chung'!BA$4:BA$143,'GTTK chung'!$G$4:$G$143,$B29)/10^6))</f>
        <v>0</v>
      </c>
      <c r="G29" s="574">
        <f>IF($B29="Kế toán",SUM(G$36:G$38),IF($B29="Quản lý chất lượng",SUM(G$40:G$41),SUMIFS('GTTK chung'!BB$4:BB$143,'GTTK chung'!$G$4:$G$143,$B29)/10^6))</f>
        <v>0</v>
      </c>
      <c r="H29" s="574">
        <f>IF($B29="Kế toán",SUM(H$36:H$38),IF($B29="Quản lý chất lượng",SUM(H$40:H$41),SUMIFS('GTTK chung'!BC$4:BC$143,'GTTK chung'!$G$4:$G$143,$B29)/10^6))</f>
        <v>0</v>
      </c>
      <c r="I29" s="574">
        <f>IF($B29="Kế toán",SUM(I$36:I$38),IF($B29="Quản lý chất lượng",SUM(I$40:I$41),SUMIFS('GTTK chung'!BD$4:BD$143,'GTTK chung'!$G$4:$G$143,$B29)/10^6))</f>
        <v>0</v>
      </c>
      <c r="J29" s="574">
        <f>IF($B29="Kế toán",SUM(J$36:J$38),IF($B29="Quản lý chất lượng",SUM(J$40:J$41),SUMIFS('GTTK chung'!BE$4:BE$143,'GTTK chung'!$G$4:$G$143,$B29)/10^6))</f>
        <v>0</v>
      </c>
      <c r="K29" s="574">
        <f>IF($B29="Kế toán",SUM(K$36:K$38),IF($B29="Quản lý chất lượng",SUM(K$40:K$41),SUMIFS('GTTK chung'!BF$4:BF$143,'GTTK chung'!$G$4:$G$143,$B29)/10^6))</f>
        <v>0</v>
      </c>
      <c r="L29" s="574">
        <f>IF($B29="Kế toán",SUM(L$36:L$38),IF($B29="Quản lý chất lượng",SUM(L$40:L$41),SUMIFS('GTTK chung'!BG$4:BG$143,'GTTK chung'!$G$4:$G$143,$B29)/10^6))</f>
        <v>0</v>
      </c>
      <c r="M29" s="574">
        <f>IF($B29="Kế toán",SUM(M$36:M$38),IF($B29="Quản lý chất lượng",SUM(M$40:M$41),SUMIFS('GTTK chung'!BH$4:BH$143,'GTTK chung'!$G$4:$G$143,$B29)/10^6))</f>
        <v>0</v>
      </c>
      <c r="N29" s="574">
        <f>IF($B29="Kế toán",SUM(N$36:N$38),IF($B29="Quản lý chất lượng",SUM(N$40:N$41),SUMIFS('GTTK chung'!BI$4:BI$143,'GTTK chung'!$G$4:$G$143,$B29)/10^6))</f>
        <v>0</v>
      </c>
      <c r="O29" s="792">
        <f t="shared" si="49"/>
        <v>0</v>
      </c>
      <c r="P29" s="571">
        <f t="shared" si="50"/>
        <v>1250</v>
      </c>
      <c r="Q29" s="572">
        <f t="shared" si="33"/>
        <v>623.80799999999988</v>
      </c>
      <c r="R29" s="789">
        <f t="shared" si="34"/>
        <v>0.49904639999999989</v>
      </c>
      <c r="S29" s="574">
        <f t="shared" si="51"/>
        <v>0</v>
      </c>
      <c r="T29" s="565">
        <f t="shared" si="35"/>
        <v>0</v>
      </c>
      <c r="U29" s="565">
        <f t="shared" si="36"/>
        <v>155.952</v>
      </c>
      <c r="V29" s="565">
        <f t="shared" si="37"/>
        <v>51.984000000000002</v>
      </c>
      <c r="W29" s="565">
        <f t="shared" si="38"/>
        <v>51.984000000000002</v>
      </c>
      <c r="X29" s="565">
        <f t="shared" si="39"/>
        <v>51.984000000000002</v>
      </c>
      <c r="Y29" s="565">
        <f t="shared" si="40"/>
        <v>51.984000000000002</v>
      </c>
      <c r="Z29" s="565">
        <f t="shared" si="41"/>
        <v>51.984000000000002</v>
      </c>
      <c r="AA29" s="565">
        <f t="shared" si="42"/>
        <v>51.984000000000002</v>
      </c>
      <c r="AB29" s="565">
        <f t="shared" si="43"/>
        <v>51.984000000000002</v>
      </c>
      <c r="AC29" s="565">
        <f t="shared" si="44"/>
        <v>103.968</v>
      </c>
      <c r="AD29" s="565">
        <f t="shared" si="45"/>
        <v>0</v>
      </c>
      <c r="AE29" s="541">
        <f t="shared" si="46"/>
        <v>1.6025461933919051E-2</v>
      </c>
      <c r="AF29" s="218">
        <f t="shared" si="52"/>
        <v>6</v>
      </c>
      <c r="AG29" s="228">
        <v>11</v>
      </c>
      <c r="AH29" s="225" t="s">
        <v>75</v>
      </c>
      <c r="AI29" s="1261">
        <f t="shared" si="56"/>
        <v>2521.2705794000003</v>
      </c>
      <c r="AJ29" s="1262">
        <f>SUMIFS('GTTK chung'!AJ$4:AJ$143,'GTTK chung'!$G$4:$G$143,$AH29)/10^6</f>
        <v>0</v>
      </c>
      <c r="AK29" s="1262">
        <f>SUMIFS('GTTK chung'!AK$4:AK$143,'GTTK chung'!$G$4:$G$143,$AH29)/10^6</f>
        <v>0</v>
      </c>
      <c r="AL29" s="1262">
        <f>SUMIFS('GTTK chung'!AL$4:AL$143,'GTTK chung'!$G$4:$G$143,$AH29)/10^6</f>
        <v>56.841896399999996</v>
      </c>
      <c r="AM29" s="1262">
        <f>SUMIFS('GTTK chung'!AM$4:AM$143,'GTTK chung'!$G$4:$G$143,$AH29)/10^6</f>
        <v>13.897993799999998</v>
      </c>
      <c r="AN29" s="1262">
        <f>SUMIFS('GTTK chung'!AN$4:AN$143,'GTTK chung'!$G$4:$G$143,$AH29)/10^6</f>
        <v>830.74616692000006</v>
      </c>
      <c r="AO29" s="1262">
        <f>SUMIFS('GTTK chung'!AO$4:AO$143,'GTTK chung'!$G$4:$G$143,$AH29)/10^6</f>
        <v>284.59789428000005</v>
      </c>
      <c r="AP29" s="1262">
        <f>SUMIFS('GTTK chung'!AP$4:AP$143,'GTTK chung'!$G$4:$G$143,$AH29)/10^6</f>
        <v>227.18483055999999</v>
      </c>
      <c r="AQ29" s="1262">
        <f>SUMIFS('GTTK chung'!AQ$4:AQ$143,'GTTK chung'!$G$4:$G$143,$AH29)/10^6</f>
        <v>398.45956147999999</v>
      </c>
      <c r="AR29" s="1262">
        <f>SUMIFS('GTTK chung'!AR$4:AR$143,'GTTK chung'!$G$4:$G$143,$AH29)/10^6</f>
        <v>311.09056816000003</v>
      </c>
      <c r="AS29" s="1262">
        <f>SUMIFS('GTTK chung'!AS$4:AS$143,'GTTK chung'!$G$4:$G$143,$AH29)/10^6</f>
        <v>215.71184588</v>
      </c>
      <c r="AT29" s="1262">
        <f>SUMIFS('GTTK chung'!AT$4:AT$143,'GTTK chung'!$G$4:$G$143,$AH29)/10^6</f>
        <v>130.93696792</v>
      </c>
      <c r="AU29" s="1262">
        <f>SUMIFS('GTTK chung'!AU$4:AU$143,'GTTK chung'!$G$4:$G$143,$AH29)/10^6</f>
        <v>51.802854000000004</v>
      </c>
      <c r="AW29" s="781">
        <f>AI29+COUNTIFS(AI$19:AI29,AI29)*0.01</f>
        <v>2521.2805794000005</v>
      </c>
      <c r="AY29" s="336">
        <f>VPGĐ!O4/10^6</f>
        <v>750</v>
      </c>
      <c r="BA29" s="781">
        <f t="shared" si="55"/>
        <v>6</v>
      </c>
      <c r="BB29" s="781">
        <f>IF($BA29=0,AY29+COUNTIFS(AY$19:AY29,AY29)*0.01,0)</f>
        <v>0</v>
      </c>
      <c r="BC29" s="781">
        <f t="shared" si="54"/>
        <v>0</v>
      </c>
    </row>
    <row r="30" spans="1:55">
      <c r="A30" s="228">
        <v>12</v>
      </c>
      <c r="B30" s="225" t="str">
        <f t="shared" si="48"/>
        <v>Kinh doanh</v>
      </c>
      <c r="C30" s="574">
        <f>IF($B30="Kế toán",SUM(C$36:C$38),IF($B30="Quản lý chất lượng",SUM(C$40:C$41),SUMIFS('GTTK chung'!AX$4:AX$143,'GTTK chung'!$G$4:$G$143,$B30)/10^6))</f>
        <v>0</v>
      </c>
      <c r="D30" s="574">
        <f>IF($B30="Kế toán",SUM(D$36:D$38),IF($B30="Quản lý chất lượng",SUM(D$40:D$41),SUMIFS('GTTK chung'!AY$4:AY$143,'GTTK chung'!$G$4:$G$143,$B30)/10^6))</f>
        <v>0</v>
      </c>
      <c r="E30" s="574">
        <f>IF($B30="Kế toán",SUM(E$36:E$38),IF($B30="Quản lý chất lượng",SUM(E$40:E$41),SUMIFS('GTTK chung'!AZ$4:AZ$143,'GTTK chung'!$G$4:$G$143,$B30)/10^6))</f>
        <v>0</v>
      </c>
      <c r="F30" s="574">
        <f>IF($B30="Kế toán",SUM(F$36:F$38),IF($B30="Quản lý chất lượng",SUM(F$40:F$41),SUMIFS('GTTK chung'!BA$4:BA$143,'GTTK chung'!$G$4:$G$143,$B30)/10^6))</f>
        <v>0</v>
      </c>
      <c r="G30" s="574">
        <f>IF($B30="Kế toán",SUM(G$36:G$38),IF($B30="Quản lý chất lượng",SUM(G$40:G$41),SUMIFS('GTTK chung'!BB$4:BB$143,'GTTK chung'!$G$4:$G$143,$B30)/10^6))</f>
        <v>0</v>
      </c>
      <c r="H30" s="574">
        <f>IF($B30="Kế toán",SUM(H$36:H$38),IF($B30="Quản lý chất lượng",SUM(H$40:H$41),SUMIFS('GTTK chung'!BC$4:BC$143,'GTTK chung'!$G$4:$G$143,$B30)/10^6))</f>
        <v>0</v>
      </c>
      <c r="I30" s="574">
        <f>IF($B30="Kế toán",SUM(I$36:I$38),IF($B30="Quản lý chất lượng",SUM(I$40:I$41),SUMIFS('GTTK chung'!BD$4:BD$143,'GTTK chung'!$G$4:$G$143,$B30)/10^6))</f>
        <v>0</v>
      </c>
      <c r="J30" s="574">
        <f>IF($B30="Kế toán",SUM(J$36:J$38),IF($B30="Quản lý chất lượng",SUM(J$40:J$41),SUMIFS('GTTK chung'!BE$4:BE$143,'GTTK chung'!$G$4:$G$143,$B30)/10^6))</f>
        <v>0</v>
      </c>
      <c r="K30" s="574">
        <f>IF($B30="Kế toán",SUM(K$36:K$38),IF($B30="Quản lý chất lượng",SUM(K$40:K$41),SUMIFS('GTTK chung'!BF$4:BF$143,'GTTK chung'!$G$4:$G$143,$B30)/10^6))</f>
        <v>0</v>
      </c>
      <c r="L30" s="574">
        <f>IF($B30="Kế toán",SUM(L$36:L$38),IF($B30="Quản lý chất lượng",SUM(L$40:L$41),SUMIFS('GTTK chung'!BG$4:BG$143,'GTTK chung'!$G$4:$G$143,$B30)/10^6))</f>
        <v>0</v>
      </c>
      <c r="M30" s="574">
        <f>IF($B30="Kế toán",SUM(M$36:M$38),IF($B30="Quản lý chất lượng",SUM(M$40:M$41),SUMIFS('GTTK chung'!BH$4:BH$143,'GTTK chung'!$G$4:$G$143,$B30)/10^6))</f>
        <v>0</v>
      </c>
      <c r="N30" s="574">
        <f>IF($B30="Kế toán",SUM(N$36:N$38),IF($B30="Quản lý chất lượng",SUM(N$40:N$41),SUMIFS('GTTK chung'!BI$4:BI$143,'GTTK chung'!$G$4:$G$143,$B30)/10^6))</f>
        <v>0</v>
      </c>
      <c r="O30" s="792">
        <f t="shared" si="49"/>
        <v>0</v>
      </c>
      <c r="P30" s="571">
        <f t="shared" si="50"/>
        <v>750</v>
      </c>
      <c r="Q30" s="572">
        <f t="shared" si="33"/>
        <v>497.02220999999997</v>
      </c>
      <c r="R30" s="789">
        <f t="shared" si="34"/>
        <v>0.66269627999999992</v>
      </c>
      <c r="S30" s="574">
        <f t="shared" si="51"/>
        <v>0</v>
      </c>
      <c r="T30" s="565">
        <f t="shared" si="35"/>
        <v>0</v>
      </c>
      <c r="U30" s="565">
        <f t="shared" si="36"/>
        <v>0</v>
      </c>
      <c r="V30" s="565">
        <f t="shared" si="37"/>
        <v>206.19320300000001</v>
      </c>
      <c r="W30" s="565">
        <f t="shared" si="38"/>
        <v>23.445193</v>
      </c>
      <c r="X30" s="565">
        <f t="shared" si="39"/>
        <v>7.3218819999999996</v>
      </c>
      <c r="Y30" s="565">
        <f t="shared" si="40"/>
        <v>12.283557</v>
      </c>
      <c r="Z30" s="565">
        <f t="shared" si="41"/>
        <v>40.605179999999997</v>
      </c>
      <c r="AA30" s="565">
        <f t="shared" si="42"/>
        <v>51.479531000000001</v>
      </c>
      <c r="AB30" s="565">
        <f t="shared" si="43"/>
        <v>65.066560999999993</v>
      </c>
      <c r="AC30" s="565">
        <f t="shared" si="44"/>
        <v>19.579184000000001</v>
      </c>
      <c r="AD30" s="565">
        <f t="shared" si="45"/>
        <v>71.047918999999993</v>
      </c>
      <c r="AE30" s="541">
        <f t="shared" si="46"/>
        <v>1.2768368643344302E-2</v>
      </c>
      <c r="AF30" s="218">
        <f t="shared" si="52"/>
        <v>14</v>
      </c>
      <c r="AG30" s="1257">
        <v>12</v>
      </c>
      <c r="AH30" s="1258" t="s">
        <v>717</v>
      </c>
      <c r="AI30" s="1259">
        <f t="shared" ref="AI30" si="57">SUM(AJ30:AU30)</f>
        <v>220.15265199999999</v>
      </c>
      <c r="AJ30" s="1260">
        <f>SUM(AJ43:AJ44)</f>
        <v>0</v>
      </c>
      <c r="AK30" s="1260">
        <f t="shared" ref="AK30:AU30" si="58">SUM(AK43:AK44)</f>
        <v>0</v>
      </c>
      <c r="AL30" s="1260">
        <f t="shared" si="58"/>
        <v>2</v>
      </c>
      <c r="AM30" s="1260">
        <f t="shared" si="58"/>
        <v>4</v>
      </c>
      <c r="AN30" s="1260">
        <f t="shared" si="58"/>
        <v>4</v>
      </c>
      <c r="AO30" s="1260">
        <f t="shared" si="58"/>
        <v>59.625999999999998</v>
      </c>
      <c r="AP30" s="1260">
        <f t="shared" si="58"/>
        <v>15.892910000000001</v>
      </c>
      <c r="AQ30" s="1260">
        <f t="shared" si="58"/>
        <v>4</v>
      </c>
      <c r="AR30" s="1260">
        <f t="shared" si="58"/>
        <v>61.790199999999999</v>
      </c>
      <c r="AS30" s="1260">
        <f t="shared" si="58"/>
        <v>60.843541999999999</v>
      </c>
      <c r="AT30" s="1260">
        <f t="shared" si="58"/>
        <v>4</v>
      </c>
      <c r="AU30" s="1260">
        <f t="shared" si="58"/>
        <v>4</v>
      </c>
      <c r="AV30" s="156" t="s">
        <v>715</v>
      </c>
      <c r="AW30" s="781">
        <f>AI30+COUNTIFS(AI$19:AI30,AI30)*0.01</f>
        <v>220.16265199999998</v>
      </c>
      <c r="AY30" s="336">
        <f>'Kế hoạch'!O4/10^6</f>
        <v>500</v>
      </c>
      <c r="BA30" s="781">
        <f t="shared" si="55"/>
        <v>14</v>
      </c>
      <c r="BB30" s="781">
        <f>IF($BA30=0,AY30+COUNTIFS(AY$19:AY30,AY30)*0.01,0)</f>
        <v>0</v>
      </c>
      <c r="BC30" s="781">
        <f t="shared" si="54"/>
        <v>0</v>
      </c>
    </row>
    <row r="31" spans="1:55">
      <c r="A31" s="228">
        <v>13</v>
      </c>
      <c r="B31" s="225" t="str">
        <f t="shared" si="48"/>
        <v>VPGĐ</v>
      </c>
      <c r="C31" s="574">
        <f>IF($B31="Kế toán",SUM(C$36:C$38),IF($B31="Quản lý chất lượng",SUM(C$40:C$41),SUMIFS('GTTK chung'!AX$4:AX$143,'GTTK chung'!$G$4:$G$143,$B31)/10^6))</f>
        <v>0</v>
      </c>
      <c r="D31" s="574">
        <f>IF($B31="Kế toán",SUM(D$36:D$38),IF($B31="Quản lý chất lượng",SUM(D$40:D$41),SUMIFS('GTTK chung'!AY$4:AY$143,'GTTK chung'!$G$4:$G$143,$B31)/10^6))</f>
        <v>0</v>
      </c>
      <c r="E31" s="574">
        <f>IF($B31="Kế toán",SUM(E$36:E$38),IF($B31="Quản lý chất lượng",SUM(E$40:E$41),SUMIFS('GTTK chung'!AZ$4:AZ$143,'GTTK chung'!$G$4:$G$143,$B31)/10^6))</f>
        <v>0</v>
      </c>
      <c r="F31" s="574">
        <f>IF($B31="Kế toán",SUM(F$36:F$38),IF($B31="Quản lý chất lượng",SUM(F$40:F$41),SUMIFS('GTTK chung'!BA$4:BA$143,'GTTK chung'!$G$4:$G$143,$B31)/10^6))</f>
        <v>0</v>
      </c>
      <c r="G31" s="574">
        <f>IF($B31="Kế toán",SUM(G$36:G$38),IF($B31="Quản lý chất lượng",SUM(G$40:G$41),SUMIFS('GTTK chung'!BB$4:BB$143,'GTTK chung'!$G$4:$G$143,$B31)/10^6))</f>
        <v>0</v>
      </c>
      <c r="H31" s="574">
        <f>IF($B31="Kế toán",SUM(H$36:H$38),IF($B31="Quản lý chất lượng",SUM(H$40:H$41),SUMIFS('GTTK chung'!BC$4:BC$143,'GTTK chung'!$G$4:$G$143,$B31)/10^6))</f>
        <v>0</v>
      </c>
      <c r="I31" s="574">
        <f>IF($B31="Kế toán",SUM(I$36:I$38),IF($B31="Quản lý chất lượng",SUM(I$40:I$41),SUMIFS('GTTK chung'!BD$4:BD$143,'GTTK chung'!$G$4:$G$143,$B31)/10^6))</f>
        <v>0</v>
      </c>
      <c r="J31" s="574">
        <f>IF($B31="Kế toán",SUM(J$36:J$38),IF($B31="Quản lý chất lượng",SUM(J$40:J$41),SUMIFS('GTTK chung'!BE$4:BE$143,'GTTK chung'!$G$4:$G$143,$B31)/10^6))</f>
        <v>0</v>
      </c>
      <c r="K31" s="574">
        <f>IF($B31="Kế toán",SUM(K$36:K$38),IF($B31="Quản lý chất lượng",SUM(K$40:K$41),SUMIFS('GTTK chung'!BF$4:BF$143,'GTTK chung'!$G$4:$G$143,$B31)/10^6))</f>
        <v>0</v>
      </c>
      <c r="L31" s="574">
        <f>IF($B31="Kế toán",SUM(L$36:L$38),IF($B31="Quản lý chất lượng",SUM(L$40:L$41),SUMIFS('GTTK chung'!BG$4:BG$143,'GTTK chung'!$G$4:$G$143,$B31)/10^6))</f>
        <v>0</v>
      </c>
      <c r="M31" s="574">
        <f>IF($B31="Kế toán",SUM(M$36:M$38),IF($B31="Quản lý chất lượng",SUM(M$40:M$41),SUMIFS('GTTK chung'!BH$4:BH$143,'GTTK chung'!$G$4:$G$143,$B31)/10^6))</f>
        <v>0</v>
      </c>
      <c r="N31" s="574">
        <f>IF($B31="Kế toán",SUM(N$36:N$38),IF($B31="Quản lý chất lượng",SUM(N$40:N$41),SUMIFS('GTTK chung'!BI$4:BI$143,'GTTK chung'!$G$4:$G$143,$B31)/10^6))</f>
        <v>0</v>
      </c>
      <c r="O31" s="792">
        <f t="shared" si="49"/>
        <v>0</v>
      </c>
      <c r="P31" s="571">
        <f>SUMIFS(AY$19:AY$32,$AF$19:$AF$32,$A31)</f>
        <v>1000</v>
      </c>
      <c r="Q31" s="572">
        <f t="shared" si="33"/>
        <v>297.07</v>
      </c>
      <c r="R31" s="789">
        <f t="shared" si="34"/>
        <v>0.29707</v>
      </c>
      <c r="S31" s="574">
        <f t="shared" si="51"/>
        <v>0</v>
      </c>
      <c r="T31" s="565">
        <f t="shared" si="35"/>
        <v>0</v>
      </c>
      <c r="U31" s="565">
        <f t="shared" si="36"/>
        <v>0</v>
      </c>
      <c r="V31" s="565">
        <f t="shared" si="37"/>
        <v>200.5</v>
      </c>
      <c r="W31" s="565">
        <f t="shared" si="38"/>
        <v>0</v>
      </c>
      <c r="X31" s="565">
        <f t="shared" si="39"/>
        <v>0</v>
      </c>
      <c r="Y31" s="565">
        <f t="shared" si="40"/>
        <v>0</v>
      </c>
      <c r="Z31" s="565">
        <f t="shared" si="41"/>
        <v>0</v>
      </c>
      <c r="AA31" s="565">
        <f t="shared" si="42"/>
        <v>0</v>
      </c>
      <c r="AB31" s="565">
        <f t="shared" si="43"/>
        <v>0</v>
      </c>
      <c r="AC31" s="565">
        <f t="shared" si="44"/>
        <v>0</v>
      </c>
      <c r="AD31" s="565">
        <f t="shared" si="45"/>
        <v>96.57</v>
      </c>
      <c r="AE31" s="541">
        <f t="shared" si="46"/>
        <v>7.6316494445555893E-3</v>
      </c>
      <c r="AF31" s="218">
        <f t="shared" si="52"/>
        <v>7</v>
      </c>
      <c r="AG31" s="1257">
        <v>13</v>
      </c>
      <c r="AH31" s="1258" t="s">
        <v>380</v>
      </c>
      <c r="AI31" s="1259">
        <f t="shared" si="56"/>
        <v>2213.9619592865001</v>
      </c>
      <c r="AJ31" s="1260">
        <f>SUM(AJ36:AJ38)</f>
        <v>453.886213</v>
      </c>
      <c r="AK31" s="1260">
        <f t="shared" ref="AK31:AU31" si="59">SUM(AK36:AK38)</f>
        <v>73.452500000000001</v>
      </c>
      <c r="AL31" s="1260">
        <f t="shared" si="59"/>
        <v>148.005</v>
      </c>
      <c r="AM31" s="1260">
        <f t="shared" si="59"/>
        <v>85.882796999999997</v>
      </c>
      <c r="AN31" s="1260">
        <f t="shared" si="59"/>
        <v>38.098899000000003</v>
      </c>
      <c r="AO31" s="1260">
        <f t="shared" si="59"/>
        <v>967.04451707999999</v>
      </c>
      <c r="AP31" s="1260">
        <f t="shared" si="59"/>
        <v>60.519332000000006</v>
      </c>
      <c r="AQ31" s="1260">
        <f t="shared" si="59"/>
        <v>103.37468020649999</v>
      </c>
      <c r="AR31" s="1260">
        <f t="shared" si="59"/>
        <v>118.929401</v>
      </c>
      <c r="AS31" s="1260">
        <f t="shared" si="59"/>
        <v>70.134399000000002</v>
      </c>
      <c r="AT31" s="1260">
        <f t="shared" si="59"/>
        <v>55.190472</v>
      </c>
      <c r="AU31" s="1260">
        <f t="shared" si="59"/>
        <v>39.443748999999997</v>
      </c>
      <c r="AV31" s="156" t="s">
        <v>715</v>
      </c>
      <c r="AW31" s="781">
        <f>AI31+COUNTIFS(AI$19:AI31,AI31)*0.01</f>
        <v>2213.9719592865004</v>
      </c>
      <c r="AY31" s="336">
        <f>SUM(AY36:AY38)</f>
        <v>4250</v>
      </c>
      <c r="BA31" s="781">
        <f t="shared" si="55"/>
        <v>7</v>
      </c>
      <c r="BB31" s="781">
        <f>IF($BA31=0,AY31+COUNTIFS(AY$19:AY31,AY31)*0.01,0)</f>
        <v>0</v>
      </c>
      <c r="BC31" s="781">
        <f t="shared" si="54"/>
        <v>0</v>
      </c>
    </row>
    <row r="32" spans="1:55">
      <c r="A32" s="228">
        <v>14</v>
      </c>
      <c r="B32" s="225" t="str">
        <f t="shared" si="48"/>
        <v>Nhân sự</v>
      </c>
      <c r="C32" s="574">
        <f>IF($B32="Kế toán",SUM(C$36:C$38),IF($B32="Quản lý chất lượng",SUM(C$40:C$41),SUMIFS('GTTK chung'!AX$4:AX$143,'GTTK chung'!$G$4:$G$143,$B32)/10^6))</f>
        <v>0</v>
      </c>
      <c r="D32" s="574">
        <f>IF($B32="Kế toán",SUM(D$36:D$38),IF($B32="Quản lý chất lượng",SUM(D$40:D$41),SUMIFS('GTTK chung'!AY$4:AY$143,'GTTK chung'!$G$4:$G$143,$B32)/10^6))</f>
        <v>0</v>
      </c>
      <c r="E32" s="574">
        <f>IF($B32="Kế toán",SUM(E$36:E$38),IF($B32="Quản lý chất lượng",SUM(E$40:E$41),SUMIFS('GTTK chung'!AZ$4:AZ$143,'GTTK chung'!$G$4:$G$143,$B32)/10^6))</f>
        <v>0</v>
      </c>
      <c r="F32" s="574">
        <f>IF($B32="Kế toán",SUM(F$36:F$38),IF($B32="Quản lý chất lượng",SUM(F$40:F$41),SUMIFS('GTTK chung'!BA$4:BA$143,'GTTK chung'!$G$4:$G$143,$B32)/10^6))</f>
        <v>0</v>
      </c>
      <c r="G32" s="574">
        <f>IF($B32="Kế toán",SUM(G$36:G$38),IF($B32="Quản lý chất lượng",SUM(G$40:G$41),SUMIFS('GTTK chung'!BB$4:BB$143,'GTTK chung'!$G$4:$G$143,$B32)/10^6))</f>
        <v>0</v>
      </c>
      <c r="H32" s="574">
        <f>IF($B32="Kế toán",SUM(H$36:H$38),IF($B32="Quản lý chất lượng",SUM(H$40:H$41),SUMIFS('GTTK chung'!BC$4:BC$143,'GTTK chung'!$G$4:$G$143,$B32)/10^6))</f>
        <v>0</v>
      </c>
      <c r="I32" s="574">
        <f>IF($B32="Kế toán",SUM(I$36:I$38),IF($B32="Quản lý chất lượng",SUM(I$40:I$41),SUMIFS('GTTK chung'!BD$4:BD$143,'GTTK chung'!$G$4:$G$143,$B32)/10^6))</f>
        <v>0</v>
      </c>
      <c r="J32" s="574">
        <f>IF($B32="Kế toán",SUM(J$36:J$38),IF($B32="Quản lý chất lượng",SUM(J$40:J$41),SUMIFS('GTTK chung'!BE$4:BE$143,'GTTK chung'!$G$4:$G$143,$B32)/10^6))</f>
        <v>0</v>
      </c>
      <c r="K32" s="574">
        <f>IF($B32="Kế toán",SUM(K$36:K$38),IF($B32="Quản lý chất lượng",SUM(K$40:K$41),SUMIFS('GTTK chung'!BF$4:BF$143,'GTTK chung'!$G$4:$G$143,$B32)/10^6))</f>
        <v>0</v>
      </c>
      <c r="L32" s="574">
        <f>IF($B32="Kế toán",SUM(L$36:L$38),IF($B32="Quản lý chất lượng",SUM(L$40:L$41),SUMIFS('GTTK chung'!BG$4:BG$143,'GTTK chung'!$G$4:$G$143,$B32)/10^6))</f>
        <v>0</v>
      </c>
      <c r="M32" s="574">
        <f>IF($B32="Kế toán",SUM(M$36:M$38),IF($B32="Quản lý chất lượng",SUM(M$40:M$41),SUMIFS('GTTK chung'!BH$4:BH$143,'GTTK chung'!$G$4:$G$143,$B32)/10^6))</f>
        <v>0</v>
      </c>
      <c r="N32" s="574">
        <f>IF($B32="Kế toán",SUM(N$36:N$38),IF($B32="Quản lý chất lượng",SUM(N$40:N$41),SUMIFS('GTTK chung'!BI$4:BI$143,'GTTK chung'!$G$4:$G$143,$B32)/10^6))</f>
        <v>0</v>
      </c>
      <c r="O32" s="792">
        <f t="shared" si="49"/>
        <v>0</v>
      </c>
      <c r="P32" s="571">
        <f t="shared" si="50"/>
        <v>500</v>
      </c>
      <c r="Q32" s="572">
        <f t="shared" si="33"/>
        <v>220.15265199999999</v>
      </c>
      <c r="R32" s="789">
        <f t="shared" si="34"/>
        <v>0.44030530399999995</v>
      </c>
      <c r="S32" s="574">
        <f t="shared" si="51"/>
        <v>0</v>
      </c>
      <c r="T32" s="565">
        <f t="shared" si="35"/>
        <v>0</v>
      </c>
      <c r="U32" s="565">
        <f t="shared" si="36"/>
        <v>2</v>
      </c>
      <c r="V32" s="565">
        <f t="shared" si="37"/>
        <v>4</v>
      </c>
      <c r="W32" s="565">
        <f t="shared" si="38"/>
        <v>4</v>
      </c>
      <c r="X32" s="565">
        <f t="shared" si="39"/>
        <v>59.625999999999998</v>
      </c>
      <c r="Y32" s="565">
        <f t="shared" si="40"/>
        <v>15.892910000000001</v>
      </c>
      <c r="Z32" s="565">
        <f t="shared" si="41"/>
        <v>4</v>
      </c>
      <c r="AA32" s="565">
        <f t="shared" si="42"/>
        <v>61.790199999999999</v>
      </c>
      <c r="AB32" s="565">
        <f t="shared" si="43"/>
        <v>60.843541999999999</v>
      </c>
      <c r="AC32" s="565">
        <f t="shared" si="44"/>
        <v>4</v>
      </c>
      <c r="AD32" s="565">
        <f t="shared" si="45"/>
        <v>4</v>
      </c>
      <c r="AE32" s="541">
        <f t="shared" si="46"/>
        <v>5.6556631916829031E-3</v>
      </c>
      <c r="AF32" s="218">
        <f t="shared" si="52"/>
        <v>5</v>
      </c>
      <c r="AG32" s="1257">
        <v>14</v>
      </c>
      <c r="AH32" s="1258" t="s">
        <v>589</v>
      </c>
      <c r="AI32" s="1259">
        <f t="shared" si="56"/>
        <v>3053.6536129000006</v>
      </c>
      <c r="AJ32" s="1260">
        <f>SUM(AJ40:AJ41)</f>
        <v>273.36061999999998</v>
      </c>
      <c r="AK32" s="1260">
        <f t="shared" ref="AK32:AU32" si="60">SUM(AK40:AK41)</f>
        <v>13.202904</v>
      </c>
      <c r="AL32" s="1260">
        <f t="shared" si="60"/>
        <v>132.63109159999999</v>
      </c>
      <c r="AM32" s="1260">
        <f t="shared" si="60"/>
        <v>125.5316522</v>
      </c>
      <c r="AN32" s="1260">
        <f t="shared" si="60"/>
        <v>626.80466811999997</v>
      </c>
      <c r="AO32" s="1260">
        <f t="shared" si="60"/>
        <v>278.35134377999998</v>
      </c>
      <c r="AP32" s="1260">
        <f t="shared" si="60"/>
        <v>255.18687786000001</v>
      </c>
      <c r="AQ32" s="1260">
        <f t="shared" si="60"/>
        <v>394.27648398000002</v>
      </c>
      <c r="AR32" s="1260">
        <f t="shared" si="60"/>
        <v>346.92923836</v>
      </c>
      <c r="AS32" s="1260">
        <f t="shared" si="60"/>
        <v>190.64926498</v>
      </c>
      <c r="AT32" s="1260">
        <f t="shared" si="60"/>
        <v>233.43107202000002</v>
      </c>
      <c r="AU32" s="1260">
        <f t="shared" si="60"/>
        <v>183.298396</v>
      </c>
      <c r="AV32" s="156" t="s">
        <v>715</v>
      </c>
      <c r="AW32" s="781">
        <f>AI32+COUNTIFS(AI$19:AI32,AI32)*0.01</f>
        <v>3053.6636129000008</v>
      </c>
      <c r="AY32" s="336">
        <f>QLCL!O4/10^6</f>
        <v>4250</v>
      </c>
      <c r="BA32" s="781">
        <f t="shared" si="55"/>
        <v>5</v>
      </c>
      <c r="BB32" s="781">
        <f>IF($BA32=0,AY32+COUNTIFS(AY$19:AY32,AY32)*0.01,0)</f>
        <v>0</v>
      </c>
      <c r="BC32" s="781">
        <f t="shared" si="54"/>
        <v>0</v>
      </c>
    </row>
    <row r="33" spans="1:52">
      <c r="A33" s="252"/>
      <c r="B33" s="253" t="s">
        <v>376</v>
      </c>
      <c r="C33" s="566">
        <f t="shared" ref="C33:O33" si="61">SUM(C19:C32)</f>
        <v>1373.0045449180743</v>
      </c>
      <c r="D33" s="566">
        <f t="shared" si="61"/>
        <v>800.03972989382441</v>
      </c>
      <c r="E33" s="566">
        <f t="shared" si="61"/>
        <v>1588.4741873301414</v>
      </c>
      <c r="F33" s="566">
        <f t="shared" si="61"/>
        <v>1473.7038815787707</v>
      </c>
      <c r="G33" s="566">
        <f t="shared" si="61"/>
        <v>1692.3522984501178</v>
      </c>
      <c r="H33" s="566">
        <f t="shared" si="61"/>
        <v>1461.3108600632604</v>
      </c>
      <c r="I33" s="566">
        <f t="shared" si="61"/>
        <v>2024.4785582500501</v>
      </c>
      <c r="J33" s="566">
        <f t="shared" si="61"/>
        <v>5210.0132612825073</v>
      </c>
      <c r="K33" s="566">
        <f t="shared" si="61"/>
        <v>8720.2272588109554</v>
      </c>
      <c r="L33" s="566">
        <f t="shared" si="61"/>
        <v>2940.1261205922983</v>
      </c>
      <c r="M33" s="566">
        <f t="shared" si="61"/>
        <v>4517.3693241431802</v>
      </c>
      <c r="N33" s="566">
        <f t="shared" si="61"/>
        <v>3832.2541598875478</v>
      </c>
      <c r="O33" s="566">
        <f t="shared" si="61"/>
        <v>35633.354185200726</v>
      </c>
      <c r="P33" s="566">
        <f>SUM(P19:P32)</f>
        <v>50000</v>
      </c>
      <c r="Q33" s="566">
        <f>SUM(Q19:Q32)</f>
        <v>38926.054211246483</v>
      </c>
      <c r="R33" s="790">
        <f t="shared" si="34"/>
        <v>0.7785210842249296</v>
      </c>
      <c r="S33" s="566">
        <f t="shared" ref="S33" si="62">SUM(S19:S32)</f>
        <v>2819.4198219999998</v>
      </c>
      <c r="T33" s="566">
        <f t="shared" ref="T33" si="63">SUM(T19:T32)</f>
        <v>3540.6355283649859</v>
      </c>
      <c r="U33" s="566">
        <f t="shared" ref="U33" si="64">SUM(U19:U32)</f>
        <v>1384.2882353749999</v>
      </c>
      <c r="V33" s="566">
        <f t="shared" ref="V33" si="65">SUM(V19:V32)</f>
        <v>2451.4173852199997</v>
      </c>
      <c r="W33" s="566">
        <f t="shared" ref="W33" si="66">SUM(W19:W32)</f>
        <v>6343.0405559999999</v>
      </c>
      <c r="X33" s="566">
        <f t="shared" ref="X33" si="67">SUM(X19:X32)</f>
        <v>3559.9330220800002</v>
      </c>
      <c r="Y33" s="566">
        <f t="shared" ref="Y33" si="68">SUM(Y19:Y32)</f>
        <v>3634.5070940000001</v>
      </c>
      <c r="Z33" s="566">
        <f t="shared" ref="Z33" si="69">SUM(Z19:Z32)</f>
        <v>5611.7851942064999</v>
      </c>
      <c r="AA33" s="566">
        <f t="shared" ref="AA33" si="70">SUM(AA19:AA32)</f>
        <v>2951.3403479999997</v>
      </c>
      <c r="AB33" s="566">
        <f t="shared" ref="AB33" si="71">SUM(AB19:AB32)</f>
        <v>2936.5570029999999</v>
      </c>
      <c r="AC33" s="566">
        <f t="shared" ref="AC33" si="72">SUM(AC19:AC32)</f>
        <v>2089.5899810000001</v>
      </c>
      <c r="AD33" s="566">
        <f t="shared" ref="AD33" si="73">SUM(AD19:AD32)</f>
        <v>1603.5400420000001</v>
      </c>
      <c r="AG33" s="252"/>
      <c r="AH33" s="253" t="s">
        <v>376</v>
      </c>
      <c r="AI33" s="254">
        <f>SUM(AI19:AI32)</f>
        <v>38926.05421124649</v>
      </c>
      <c r="AJ33" s="254">
        <f t="shared" ref="AJ33:AU33" si="74">SUM(AJ19:AJ32)</f>
        <v>2819.4198219999994</v>
      </c>
      <c r="AK33" s="254">
        <f t="shared" si="74"/>
        <v>3540.6355283649864</v>
      </c>
      <c r="AL33" s="254">
        <f t="shared" si="74"/>
        <v>1384.2882353749999</v>
      </c>
      <c r="AM33" s="254">
        <f t="shared" si="74"/>
        <v>2451.4173852199997</v>
      </c>
      <c r="AN33" s="254">
        <f t="shared" si="74"/>
        <v>6343.0405559999999</v>
      </c>
      <c r="AO33" s="254">
        <f t="shared" si="74"/>
        <v>3559.9330220800002</v>
      </c>
      <c r="AP33" s="254">
        <f t="shared" si="74"/>
        <v>3634.5070940000005</v>
      </c>
      <c r="AQ33" s="254">
        <f t="shared" si="74"/>
        <v>5611.7851942064999</v>
      </c>
      <c r="AR33" s="254">
        <f t="shared" si="74"/>
        <v>2951.3403479999997</v>
      </c>
      <c r="AS33" s="254">
        <f t="shared" si="74"/>
        <v>2936.5570030000008</v>
      </c>
      <c r="AT33" s="254">
        <f t="shared" si="74"/>
        <v>2089.5899809999996</v>
      </c>
      <c r="AU33" s="254">
        <f t="shared" si="74"/>
        <v>1603.5400420000001</v>
      </c>
      <c r="AY33" s="337">
        <f>SUM(AY19:AY32)</f>
        <v>50000</v>
      </c>
      <c r="AZ33" s="258"/>
    </row>
    <row r="34" spans="1:52" s="241" customFormat="1" ht="14.5">
      <c r="B34" s="241" t="s">
        <v>340</v>
      </c>
      <c r="O34" s="251">
        <f>O33-'GTTK chung'!$BJ$143/10^6</f>
        <v>0</v>
      </c>
      <c r="Q34" s="251">
        <f>Q33-'GTTK chung'!$AV$143/10^6</f>
        <v>0</v>
      </c>
      <c r="AH34" s="241" t="s">
        <v>340</v>
      </c>
      <c r="AI34" s="242">
        <f>AI33-'GTTK chung'!$AV$143/10^6</f>
        <v>0</v>
      </c>
      <c r="AJ34" s="1243">
        <f>AJ33-'GTTK chung'!AJ143/10^6</f>
        <v>0</v>
      </c>
      <c r="AK34" s="1243">
        <f>AK33-'GTTK chung'!AK143/10^6</f>
        <v>0</v>
      </c>
      <c r="AL34" s="1243">
        <f>AL33-'GTTK chung'!AL143/10^6</f>
        <v>0</v>
      </c>
      <c r="AM34" s="1243">
        <f>AM33-'GTTK chung'!AM143/10^6</f>
        <v>0</v>
      </c>
      <c r="AN34" s="1243">
        <f>AN33-'GTTK chung'!AN143/10^6</f>
        <v>0</v>
      </c>
      <c r="AO34" s="1243">
        <f>AO33-'GTTK chung'!AO143/10^6</f>
        <v>0</v>
      </c>
      <c r="AP34" s="1243">
        <f>AP33-'GTTK chung'!AP143/10^6</f>
        <v>0</v>
      </c>
      <c r="AQ34" s="1243">
        <f>AQ33-'GTTK chung'!AQ143/10^6</f>
        <v>0</v>
      </c>
      <c r="AR34" s="1243">
        <f>AR33-'GTTK chung'!AR143/10^6</f>
        <v>0</v>
      </c>
      <c r="AS34" s="1243">
        <f>AS33-'GTTK chung'!AS143/10^6</f>
        <v>0</v>
      </c>
      <c r="AT34" s="1243">
        <f>AT33-'GTTK chung'!AT143/10^6</f>
        <v>0</v>
      </c>
      <c r="AU34" s="1243">
        <f>AU33-'GTTK chung'!AU143/10^6</f>
        <v>0</v>
      </c>
    </row>
    <row r="36" spans="1:52">
      <c r="B36" s="156" t="s">
        <v>58</v>
      </c>
      <c r="C36" s="218">
        <f>SUMIFS('GTTK chung'!AX$4:AX$143,'GTTK chung'!$G$4:$G$143,$B36)/10^6</f>
        <v>0</v>
      </c>
      <c r="D36" s="218">
        <f>SUMIFS('GTTK chung'!AY$4:AY$143,'GTTK chung'!$G$4:$G$143,$B36)/10^6</f>
        <v>0</v>
      </c>
      <c r="E36" s="218">
        <f>SUMIFS('GTTK chung'!AZ$4:AZ$143,'GTTK chung'!$G$4:$G$143,$B36)/10^6</f>
        <v>0</v>
      </c>
      <c r="F36" s="218">
        <f>SUMIFS('GTTK chung'!BA$4:BA$143,'GTTK chung'!$G$4:$G$143,$B36)/10^6</f>
        <v>0</v>
      </c>
      <c r="G36" s="218">
        <f>SUMIFS('GTTK chung'!BB$4:BB$143,'GTTK chung'!$G$4:$G$143,$B36)/10^6</f>
        <v>0</v>
      </c>
      <c r="H36" s="218">
        <f>SUMIFS('GTTK chung'!BC$4:BC$143,'GTTK chung'!$G$4:$G$143,$B36)/10^6</f>
        <v>115.33072900000001</v>
      </c>
      <c r="I36" s="218">
        <f>SUMIFS('GTTK chung'!BD$4:BD$143,'GTTK chung'!$G$4:$G$143,$B36)/10^6</f>
        <v>0</v>
      </c>
      <c r="J36" s="218">
        <f>SUMIFS('GTTK chung'!BE$4:BE$143,'GTTK chung'!$G$4:$G$143,$B36)/10^6</f>
        <v>0</v>
      </c>
      <c r="K36" s="218">
        <f>SUMIFS('GTTK chung'!BF$4:BF$143,'GTTK chung'!$G$4:$G$143,$B36)/10^6</f>
        <v>0</v>
      </c>
      <c r="L36" s="218">
        <f>SUMIFS('GTTK chung'!BG$4:BG$143,'GTTK chung'!$G$4:$G$143,$B36)/10^6</f>
        <v>2421.66</v>
      </c>
      <c r="M36" s="218">
        <f>SUMIFS('GTTK chung'!BH$4:BH$143,'GTTK chung'!$G$4:$G$143,$B36)/10^6</f>
        <v>49.335000000000001</v>
      </c>
      <c r="N36" s="218">
        <f>SUMIFS('GTTK chung'!BI$4:BI$143,'GTTK chung'!$G$4:$G$143,$B36)/10^6</f>
        <v>1183.8199999999995</v>
      </c>
      <c r="O36" s="234">
        <f t="shared" ref="O36:O38" si="75">SUM(C36:N36)</f>
        <v>3770.1457289999989</v>
      </c>
      <c r="AG36" s="156" t="s">
        <v>660</v>
      </c>
      <c r="AH36" s="156" t="s">
        <v>58</v>
      </c>
      <c r="AI36" s="234">
        <f>SUM(AJ36:AT36)</f>
        <v>1317.5558900000001</v>
      </c>
      <c r="AJ36" s="218">
        <f>SUMIFS('GTTK chung'!AJ$4:AJ$143,'GTTK chung'!$G$4:$G$143,$AH36)/10^6</f>
        <v>141.83500000000001</v>
      </c>
      <c r="AK36" s="218">
        <f>SUMIFS('GTTK chung'!AK$4:AK$143,'GTTK chung'!$G$4:$G$143,$AH36)/10^6</f>
        <v>73.452500000000001</v>
      </c>
      <c r="AL36" s="218">
        <f>SUMIFS('GTTK chung'!AL$4:AL$143,'GTTK chung'!$G$4:$G$143,$AH36)/10^6</f>
        <v>148.005</v>
      </c>
      <c r="AM36" s="218">
        <f>SUMIFS('GTTK chung'!AM$4:AM$143,'GTTK chung'!$G$4:$G$143,$AH36)/10^6</f>
        <v>0</v>
      </c>
      <c r="AN36" s="218">
        <f>SUMIFS('GTTK chung'!AN$4:AN$143,'GTTK chung'!$G$4:$G$143,$AH36)/10^6</f>
        <v>0</v>
      </c>
      <c r="AO36" s="218">
        <f>SUMIFS('GTTK chung'!AO$4:AO$143,'GTTK chung'!$G$4:$G$143,$AH36)/10^6</f>
        <v>910.04539</v>
      </c>
      <c r="AP36" s="218">
        <f>SUMIFS('GTTK chung'!AP$4:AP$143,'GTTK chung'!$G$4:$G$143,$AH36)/10^6</f>
        <v>10.218</v>
      </c>
      <c r="AQ36" s="218">
        <f>SUMIFS('GTTK chung'!AQ$4:AQ$143,'GTTK chung'!$G$4:$G$143,$AH36)/10^6</f>
        <v>0</v>
      </c>
      <c r="AR36" s="218">
        <f>SUMIFS('GTTK chung'!AR$4:AR$143,'GTTK chung'!$G$4:$G$143,$AH36)/10^6</f>
        <v>34</v>
      </c>
      <c r="AS36" s="218">
        <f>SUMIFS('GTTK chung'!AS$4:AS$143,'GTTK chung'!$G$4:$G$143,$AH36)/10^6</f>
        <v>0</v>
      </c>
      <c r="AT36" s="218">
        <f>SUMIFS('GTTK chung'!AT$4:AT$143,'GTTK chung'!$G$4:$G$143,$AH36)/10^6</f>
        <v>0</v>
      </c>
      <c r="AU36" s="218">
        <f>SUMIFS('GTTK chung'!AU$4:AU$143,'GTTK chung'!$G$4:$G$143,$AH36)/10^6</f>
        <v>0</v>
      </c>
      <c r="AY36" s="218">
        <f>KTQT!O4/10^6</f>
        <v>1000</v>
      </c>
    </row>
    <row r="37" spans="1:52">
      <c r="B37" s="156" t="s">
        <v>181</v>
      </c>
      <c r="C37" s="218">
        <f>SUMIFS('GTTK chung'!AX$4:AX$143,'GTTK chung'!$G$4:$G$143,$B37)/10^6</f>
        <v>0</v>
      </c>
      <c r="D37" s="218">
        <f>SUMIFS('GTTK chung'!AY$4:AY$143,'GTTK chung'!$G$4:$G$143,$B37)/10^6</f>
        <v>72</v>
      </c>
      <c r="E37" s="218">
        <f>SUMIFS('GTTK chung'!AZ$4:AZ$143,'GTTK chung'!$G$4:$G$143,$B37)/10^6</f>
        <v>56</v>
      </c>
      <c r="F37" s="218">
        <f>SUMIFS('GTTK chung'!BA$4:BA$143,'GTTK chung'!$G$4:$G$143,$B37)/10^6</f>
        <v>80</v>
      </c>
      <c r="G37" s="218">
        <f>SUMIFS('GTTK chung'!BB$4:BB$143,'GTTK chung'!$G$4:$G$143,$B37)/10^6</f>
        <v>98.351589041095878</v>
      </c>
      <c r="H37" s="218">
        <f>SUMIFS('GTTK chung'!BC$4:BC$143,'GTTK chung'!$G$4:$G$143,$B37)/10^6</f>
        <v>90</v>
      </c>
      <c r="I37" s="218">
        <f>SUMIFS('GTTK chung'!BD$4:BD$143,'GTTK chung'!$G$4:$G$143,$B37)/10^6</f>
        <v>291.614892</v>
      </c>
      <c r="J37" s="218">
        <f>SUMIFS('GTTK chung'!BE$4:BE$143,'GTTK chung'!$G$4:$G$143,$B37)/10^6</f>
        <v>711.98855584273986</v>
      </c>
      <c r="K37" s="218">
        <f>SUMIFS('GTTK chung'!BF$4:BF$143,'GTTK chung'!$G$4:$G$143,$B37)/10^6</f>
        <v>478</v>
      </c>
      <c r="L37" s="218">
        <f>SUMIFS('GTTK chung'!BG$4:BG$143,'GTTK chung'!$G$4:$G$143,$B37)/10^6</f>
        <v>194.556421</v>
      </c>
      <c r="M37" s="218">
        <f>SUMIFS('GTTK chung'!BH$4:BH$143,'GTTK chung'!$G$4:$G$143,$B37)/10^6</f>
        <v>238.78</v>
      </c>
      <c r="N37" s="218">
        <f>SUMIFS('GTTK chung'!BI$4:BI$143,'GTTK chung'!$G$4:$G$143,$B37)/10^6</f>
        <v>555.13</v>
      </c>
      <c r="O37" s="234">
        <f t="shared" si="75"/>
        <v>2866.421457883836</v>
      </c>
      <c r="AG37" s="156" t="s">
        <v>660</v>
      </c>
      <c r="AH37" s="156" t="s">
        <v>181</v>
      </c>
      <c r="AI37" s="234">
        <f>SUM(AJ37:AT37)</f>
        <v>856.96232028650002</v>
      </c>
      <c r="AJ37" s="218">
        <f>SUMIFS('GTTK chung'!AJ$4:AJ$143,'GTTK chung'!$G$4:$G$143,$AH37)/10^6</f>
        <v>312.05121300000002</v>
      </c>
      <c r="AK37" s="218">
        <f>SUMIFS('GTTK chung'!AK$4:AK$143,'GTTK chung'!$G$4:$G$143,$AH37)/10^6</f>
        <v>0</v>
      </c>
      <c r="AL37" s="218">
        <f>SUMIFS('GTTK chung'!AL$4:AL$143,'GTTK chung'!$G$4:$G$143,$AH37)/10^6</f>
        <v>0</v>
      </c>
      <c r="AM37" s="218">
        <f>SUMIFS('GTTK chung'!AM$4:AM$143,'GTTK chung'!$G$4:$G$143,$AH37)/10^6</f>
        <v>85.882796999999997</v>
      </c>
      <c r="AN37" s="218">
        <f>SUMIFS('GTTK chung'!AN$4:AN$143,'GTTK chung'!$G$4:$G$143,$AH37)/10^6</f>
        <v>38.098899000000003</v>
      </c>
      <c r="AO37" s="218">
        <f>SUMIFS('GTTK chung'!AO$4:AO$143,'GTTK chung'!$G$4:$G$143,$AH37)/10^6</f>
        <v>56.999127080000001</v>
      </c>
      <c r="AP37" s="218">
        <f>SUMIFS('GTTK chung'!AP$4:AP$143,'GTTK chung'!$G$4:$G$143,$AH37)/10^6</f>
        <v>50.301332000000002</v>
      </c>
      <c r="AQ37" s="218">
        <f>SUMIFS('GTTK chung'!AQ$4:AQ$143,'GTTK chung'!$G$4:$G$143,$AH37)/10^6</f>
        <v>103.37468020649999</v>
      </c>
      <c r="AR37" s="218">
        <f>SUMIFS('GTTK chung'!AR$4:AR$143,'GTTK chung'!$G$4:$G$143,$AH37)/10^6</f>
        <v>84.929400999999999</v>
      </c>
      <c r="AS37" s="218">
        <f>SUMIFS('GTTK chung'!AS$4:AS$143,'GTTK chung'!$G$4:$G$143,$AH37)/10^6</f>
        <v>70.134399000000002</v>
      </c>
      <c r="AT37" s="218">
        <f>SUMIFS('GTTK chung'!AT$4:AT$143,'GTTK chung'!$G$4:$G$143,$AH37)/10^6</f>
        <v>55.190472</v>
      </c>
      <c r="AU37" s="218">
        <f>SUMIFS('GTTK chung'!AU$4:AU$143,'GTTK chung'!$G$4:$G$143,$AH37)/10^6</f>
        <v>39.443748999999997</v>
      </c>
      <c r="AY37" s="218">
        <f>KTTC!O4/10^6</f>
        <v>1000</v>
      </c>
    </row>
    <row r="38" spans="1:52">
      <c r="B38" s="156" t="s">
        <v>693</v>
      </c>
      <c r="C38" s="218">
        <f>SUMIFS('GTTK chung'!AX$4:AX$143,'GTTK chung'!$G$4:$G$143,$B38)/10^6</f>
        <v>0</v>
      </c>
      <c r="D38" s="218">
        <f>SUMIFS('GTTK chung'!AY$4:AY$143,'GTTK chung'!$G$4:$G$143,$B38)/10^6</f>
        <v>0</v>
      </c>
      <c r="E38" s="218">
        <f>SUMIFS('GTTK chung'!AZ$4:AZ$143,'GTTK chung'!$G$4:$G$143,$B38)/10^6</f>
        <v>0</v>
      </c>
      <c r="F38" s="218">
        <f>SUMIFS('GTTK chung'!BA$4:BA$143,'GTTK chung'!$G$4:$G$143,$B38)/10^6</f>
        <v>0</v>
      </c>
      <c r="G38" s="218">
        <f>SUMIFS('GTTK chung'!BB$4:BB$143,'GTTK chung'!$G$4:$G$143,$B38)/10^6</f>
        <v>0</v>
      </c>
      <c r="H38" s="218">
        <f>SUMIFS('GTTK chung'!BC$4:BC$143,'GTTK chung'!$G$4:$G$143,$B38)/10^6</f>
        <v>0</v>
      </c>
      <c r="I38" s="218">
        <f>SUMIFS('GTTK chung'!BD$4:BD$143,'GTTK chung'!$G$4:$G$143,$B38)/10^6</f>
        <v>0</v>
      </c>
      <c r="J38" s="218">
        <f>SUMIFS('GTTK chung'!BE$4:BE$143,'GTTK chung'!$G$4:$G$143,$B38)/10^6</f>
        <v>0</v>
      </c>
      <c r="K38" s="218">
        <f>SUMIFS('GTTK chung'!BF$4:BF$143,'GTTK chung'!$G$4:$G$143,$B38)/10^6</f>
        <v>0</v>
      </c>
      <c r="L38" s="218">
        <f>SUMIFS('GTTK chung'!BG$4:BG$143,'GTTK chung'!$G$4:$G$143,$B38)/10^6</f>
        <v>0</v>
      </c>
      <c r="M38" s="218">
        <f>SUMIFS('GTTK chung'!BH$4:BH$143,'GTTK chung'!$G$4:$G$143,$B38)/10^6</f>
        <v>0</v>
      </c>
      <c r="N38" s="218">
        <f>SUMIFS('GTTK chung'!BI$4:BI$143,'GTTK chung'!$G$4:$G$143,$B38)/10^6</f>
        <v>0</v>
      </c>
      <c r="O38" s="234">
        <f t="shared" si="75"/>
        <v>0</v>
      </c>
      <c r="AG38" s="156" t="s">
        <v>660</v>
      </c>
      <c r="AH38" s="156" t="s">
        <v>693</v>
      </c>
      <c r="AI38" s="234">
        <f>SUM(AJ38:AT38)</f>
        <v>0</v>
      </c>
      <c r="AJ38" s="218">
        <f>SUMIFS('GTTK chung'!AJ$4:AJ$143,'GTTK chung'!$G$4:$G$143,$AH38)/10^6</f>
        <v>0</v>
      </c>
      <c r="AK38" s="218">
        <f>SUMIFS('GTTK chung'!AK$4:AK$143,'GTTK chung'!$G$4:$G$143,$AH38)/10^6</f>
        <v>0</v>
      </c>
      <c r="AL38" s="218">
        <f>SUMIFS('GTTK chung'!AL$4:AL$143,'GTTK chung'!$G$4:$G$143,$AH38)/10^6</f>
        <v>0</v>
      </c>
      <c r="AM38" s="218">
        <f>SUMIFS('GTTK chung'!AM$4:AM$143,'GTTK chung'!$G$4:$G$143,$AH38)/10^6</f>
        <v>0</v>
      </c>
      <c r="AN38" s="218">
        <f>SUMIFS('GTTK chung'!AN$4:AN$143,'GTTK chung'!$G$4:$G$143,$AH38)/10^6</f>
        <v>0</v>
      </c>
      <c r="AO38" s="218">
        <f>SUMIFS('GTTK chung'!AO$4:AO$143,'GTTK chung'!$G$4:$G$143,$AH38)/10^6</f>
        <v>0</v>
      </c>
      <c r="AP38" s="218">
        <f>SUMIFS('GTTK chung'!AP$4:AP$143,'GTTK chung'!$G$4:$G$143,$AH38)/10^6</f>
        <v>0</v>
      </c>
      <c r="AQ38" s="218">
        <f>SUMIFS('GTTK chung'!AQ$4:AQ$143,'GTTK chung'!$G$4:$G$143,$AH38)/10^6</f>
        <v>0</v>
      </c>
      <c r="AR38" s="218">
        <f>SUMIFS('GTTK chung'!AR$4:AR$143,'GTTK chung'!$G$4:$G$143,$AH38)/10^6</f>
        <v>0</v>
      </c>
      <c r="AS38" s="218">
        <f>SUMIFS('GTTK chung'!AS$4:AS$143,'GTTK chung'!$G$4:$G$143,$AH38)/10^6</f>
        <v>0</v>
      </c>
      <c r="AT38" s="218">
        <f>SUMIFS('GTTK chung'!AT$4:AT$143,'GTTK chung'!$G$4:$G$143,$AH38)/10^6</f>
        <v>0</v>
      </c>
      <c r="AU38" s="218">
        <f>SUMIFS('GTTK chung'!AU$4:AU$143,'GTTK chung'!$G$4:$G$143,$AH38)/10^6</f>
        <v>0</v>
      </c>
      <c r="AY38" s="218">
        <f>CFO!O4/10^6</f>
        <v>2250</v>
      </c>
    </row>
    <row r="40" spans="1:52">
      <c r="B40" s="156" t="s">
        <v>182</v>
      </c>
      <c r="C40" s="218">
        <f>SUMIFS('GTTK chung'!AX$4:AX$143,'GTTK chung'!$G$4:$G$143,$B40)/10^6</f>
        <v>0</v>
      </c>
      <c r="D40" s="218">
        <f>SUMIFS('GTTK chung'!AY$4:AY$143,'GTTK chung'!$G$4:$G$143,$B40)/10^6</f>
        <v>0</v>
      </c>
      <c r="E40" s="218">
        <f>SUMIFS('GTTK chung'!AZ$4:AZ$143,'GTTK chung'!$G$4:$G$143,$B40)/10^6</f>
        <v>0</v>
      </c>
      <c r="F40" s="218">
        <f>SUMIFS('GTTK chung'!BA$4:BA$143,'GTTK chung'!$G$4:$G$143,$B40)/10^6</f>
        <v>0</v>
      </c>
      <c r="G40" s="218">
        <f>SUMIFS('GTTK chung'!BB$4:BB$143,'GTTK chung'!$G$4:$G$143,$B40)/10^6</f>
        <v>0</v>
      </c>
      <c r="H40" s="218">
        <f>SUMIFS('GTTK chung'!BC$4:BC$143,'GTTK chung'!$G$4:$G$143,$B40)/10^6</f>
        <v>0</v>
      </c>
      <c r="I40" s="218">
        <f>SUMIFS('GTTK chung'!BD$4:BD$143,'GTTK chung'!$G$4:$G$143,$B40)/10^6</f>
        <v>356.466542</v>
      </c>
      <c r="J40" s="218">
        <f>SUMIFS('GTTK chung'!BE$4:BE$143,'GTTK chung'!$G$4:$G$143,$B40)/10^6</f>
        <v>0</v>
      </c>
      <c r="K40" s="218">
        <f>SUMIFS('GTTK chung'!BF$4:BF$143,'GTTK chung'!$G$4:$G$143,$B40)/10^6</f>
        <v>0</v>
      </c>
      <c r="L40" s="218">
        <f>SUMIFS('GTTK chung'!BG$4:BG$143,'GTTK chung'!$G$4:$G$143,$B40)/10^6</f>
        <v>0</v>
      </c>
      <c r="M40" s="218">
        <f>SUMIFS('GTTK chung'!BH$4:BH$143,'GTTK chung'!$G$4:$G$143,$B40)/10^6</f>
        <v>542.97082399999999</v>
      </c>
      <c r="N40" s="218">
        <f>SUMIFS('GTTK chung'!BI$4:BI$143,'GTTK chung'!$G$4:$G$143,$B40)/10^6</f>
        <v>32.437600000000003</v>
      </c>
      <c r="O40" s="234">
        <f t="shared" ref="O40:O41" si="76">SUM(C40:N40)</f>
        <v>931.87496599999997</v>
      </c>
      <c r="AG40" s="156" t="s">
        <v>589</v>
      </c>
      <c r="AH40" s="156" t="s">
        <v>182</v>
      </c>
      <c r="AI40" s="234">
        <f t="shared" ref="AI40:AI44" si="77">SUM(AJ40:AU40)</f>
        <v>205.43259799999998</v>
      </c>
      <c r="AJ40" s="218">
        <f>SUMIFS('GTTK chung'!AJ$4:AJ$143,'GTTK chung'!$G$4:$G$143,$AH40)/10^6</f>
        <v>0</v>
      </c>
      <c r="AK40" s="218">
        <f>SUMIFS('GTTK chung'!AK$4:AK$143,'GTTK chung'!$G$4:$G$143,$AH40)/10^6</f>
        <v>0</v>
      </c>
      <c r="AL40" s="218">
        <f>SUMIFS('GTTK chung'!AL$4:AL$143,'GTTK chung'!$G$4:$G$143,$AH40)/10^6</f>
        <v>0</v>
      </c>
      <c r="AM40" s="218">
        <f>SUMIFS('GTTK chung'!AM$4:AM$143,'GTTK chung'!$G$4:$G$143,$AH40)/10^6</f>
        <v>93.102999999999994</v>
      </c>
      <c r="AN40" s="218">
        <f>SUMIFS('GTTK chung'!AN$4:AN$143,'GTTK chung'!$G$4:$G$143,$AH40)/10^6</f>
        <v>0</v>
      </c>
      <c r="AO40" s="218">
        <f>SUMIFS('GTTK chung'!AO$4:AO$143,'GTTK chung'!$G$4:$G$143,$AH40)/10^6</f>
        <v>2.2592669999999999</v>
      </c>
      <c r="AP40" s="218">
        <f>SUMIFS('GTTK chung'!AP$4:AP$143,'GTTK chung'!$G$4:$G$143,$AH40)/10^6</f>
        <v>0</v>
      </c>
      <c r="AQ40" s="218">
        <f>SUMIFS('GTTK chung'!AQ$4:AQ$143,'GTTK chung'!$G$4:$G$143,$AH40)/10^6</f>
        <v>0</v>
      </c>
      <c r="AR40" s="218">
        <f>SUMIFS('GTTK chung'!AR$4:AR$143,'GTTK chung'!$G$4:$G$143,$AH40)/10^6</f>
        <v>29.820625</v>
      </c>
      <c r="AS40" s="218">
        <f>SUMIFS('GTTK chung'!AS$4:AS$143,'GTTK chung'!$G$4:$G$143,$AH40)/10^6</f>
        <v>0</v>
      </c>
      <c r="AT40" s="218">
        <f>SUMIFS('GTTK chung'!AT$4:AT$143,'GTTK chung'!$G$4:$G$143,$AH40)/10^6</f>
        <v>17.824636000000002</v>
      </c>
      <c r="AU40" s="218">
        <f>SUMIFS('GTTK chung'!AU$4:AU$143,'GTTK chung'!$G$4:$G$143,$AH40)/10^6</f>
        <v>62.425069999999998</v>
      </c>
    </row>
    <row r="41" spans="1:52">
      <c r="B41" s="156" t="s">
        <v>580</v>
      </c>
      <c r="C41" s="218">
        <f>SUMIFS('GTTK chung'!AX$4:AX$143,'GTTK chung'!$G$4:$G$143,$B41)/10^6</f>
        <v>0</v>
      </c>
      <c r="D41" s="218">
        <f>SUMIFS('GTTK chung'!AY$4:AY$143,'GTTK chung'!$G$4:$G$143,$B41)/10^6</f>
        <v>0</v>
      </c>
      <c r="E41" s="218">
        <f>SUMIFS('GTTK chung'!AZ$4:AZ$143,'GTTK chung'!$G$4:$G$143,$B41)/10^6</f>
        <v>0</v>
      </c>
      <c r="F41" s="218">
        <f>SUMIFS('GTTK chung'!BA$4:BA$143,'GTTK chung'!$G$4:$G$143,$B41)/10^6</f>
        <v>0</v>
      </c>
      <c r="G41" s="218">
        <f>SUMIFS('GTTK chung'!BB$4:BB$143,'GTTK chung'!$G$4:$G$143,$B41)/10^6</f>
        <v>25.717931769671441</v>
      </c>
      <c r="H41" s="218">
        <f>SUMIFS('GTTK chung'!BC$4:BC$143,'GTTK chung'!$G$4:$G$143,$B41)/10^6</f>
        <v>69.743085098737723</v>
      </c>
      <c r="I41" s="218">
        <f>SUMIFS('GTTK chung'!BD$4:BD$143,'GTTK chung'!$G$4:$G$143,$B41)/10^6</f>
        <v>0</v>
      </c>
      <c r="J41" s="218">
        <f>SUMIFS('GTTK chung'!BE$4:BE$143,'GTTK chung'!$G$4:$G$143,$B41)/10^6</f>
        <v>86.677684538970951</v>
      </c>
      <c r="K41" s="218">
        <f>SUMIFS('GTTK chung'!BF$4:BF$143,'GTTK chung'!$G$4:$G$143,$B41)/10^6</f>
        <v>-5.3623625282440184</v>
      </c>
      <c r="L41" s="218">
        <f>SUMIFS('GTTK chung'!BG$4:BG$143,'GTTK chung'!$G$4:$G$143,$B41)/10^6</f>
        <v>-347.14905154351806</v>
      </c>
      <c r="M41" s="218">
        <f>SUMIFS('GTTK chung'!BH$4:BH$143,'GTTK chung'!$G$4:$G$143,$B41)/10^6</f>
        <v>465.06530275984193</v>
      </c>
      <c r="N41" s="218">
        <f>SUMIFS('GTTK chung'!BI$4:BI$143,'GTTK chung'!$G$4:$G$143,$B41)/10^6</f>
        <v>277.48076311016848</v>
      </c>
      <c r="O41" s="234">
        <f t="shared" si="76"/>
        <v>572.17335320562847</v>
      </c>
      <c r="AG41" s="156" t="s">
        <v>589</v>
      </c>
      <c r="AH41" s="156" t="s">
        <v>580</v>
      </c>
      <c r="AI41" s="234">
        <f t="shared" si="77"/>
        <v>2848.2210148999993</v>
      </c>
      <c r="AJ41" s="218">
        <f>SUMIFS('GTTK chung'!AJ$4:AJ$143,'GTTK chung'!$G$4:$G$143,$AH41)/10^6</f>
        <v>273.36061999999998</v>
      </c>
      <c r="AK41" s="218">
        <f>SUMIFS('GTTK chung'!AK$4:AK$143,'GTTK chung'!$G$4:$G$143,$AH41)/10^6</f>
        <v>13.202904</v>
      </c>
      <c r="AL41" s="218">
        <f>SUMIFS('GTTK chung'!AL$4:AL$143,'GTTK chung'!$G$4:$G$143,$AH41)/10^6</f>
        <v>132.63109159999999</v>
      </c>
      <c r="AM41" s="218">
        <f>SUMIFS('GTTK chung'!AM$4:AM$143,'GTTK chung'!$G$4:$G$143,$AH41)/10^6</f>
        <v>32.428652200000002</v>
      </c>
      <c r="AN41" s="218">
        <f>SUMIFS('GTTK chung'!AN$4:AN$143,'GTTK chung'!$G$4:$G$143,$AH41)/10^6</f>
        <v>626.80466811999997</v>
      </c>
      <c r="AO41" s="218">
        <f>SUMIFS('GTTK chung'!AO$4:AO$143,'GTTK chung'!$G$4:$G$143,$AH41)/10^6</f>
        <v>276.09207677999996</v>
      </c>
      <c r="AP41" s="218">
        <f>SUMIFS('GTTK chung'!AP$4:AP$143,'GTTK chung'!$G$4:$G$143,$AH41)/10^6</f>
        <v>255.18687786000001</v>
      </c>
      <c r="AQ41" s="218">
        <f>SUMIFS('GTTK chung'!AQ$4:AQ$143,'GTTK chung'!$G$4:$G$143,$AH41)/10^6</f>
        <v>394.27648398000002</v>
      </c>
      <c r="AR41" s="218">
        <f>SUMIFS('GTTK chung'!AR$4:AR$143,'GTTK chung'!$G$4:$G$143,$AH41)/10^6</f>
        <v>317.10861335999999</v>
      </c>
      <c r="AS41" s="218">
        <f>SUMIFS('GTTK chung'!AS$4:AS$143,'GTTK chung'!$G$4:$G$143,$AH41)/10^6</f>
        <v>190.64926498</v>
      </c>
      <c r="AT41" s="218">
        <f>SUMIFS('GTTK chung'!AT$4:AT$143,'GTTK chung'!$G$4:$G$143,$AH41)/10^6</f>
        <v>215.60643602000002</v>
      </c>
      <c r="AU41" s="218">
        <f>SUMIFS('GTTK chung'!AU$4:AU$143,'GTTK chung'!$G$4:$G$143,$AH41)/10^6</f>
        <v>120.87332599999999</v>
      </c>
    </row>
    <row r="43" spans="1:52">
      <c r="AG43" s="156" t="s">
        <v>717</v>
      </c>
      <c r="AH43" s="156" t="s">
        <v>717</v>
      </c>
      <c r="AI43" s="234">
        <f t="shared" si="77"/>
        <v>130.400597</v>
      </c>
      <c r="AJ43" s="218">
        <f>SUMIFS('GTTK chung'!AJ$4:AJ$143,'GTTK chung'!$G$4:$G$143,$AH43)/10^6</f>
        <v>0</v>
      </c>
      <c r="AK43" s="218">
        <f>SUMIFS('GTTK chung'!AK$4:AK$143,'GTTK chung'!$G$4:$G$143,$AH43)/10^6</f>
        <v>0</v>
      </c>
      <c r="AL43" s="218">
        <f>SUMIFS('GTTK chung'!AL$4:AL$143,'GTTK chung'!$G$4:$G$143,$AH43)/10^6</f>
        <v>2</v>
      </c>
      <c r="AM43" s="218">
        <f>SUMIFS('GTTK chung'!AM$4:AM$143,'GTTK chung'!$G$4:$G$143,$AH43)/10^6</f>
        <v>4</v>
      </c>
      <c r="AN43" s="218">
        <f>SUMIFS('GTTK chung'!AN$4:AN$143,'GTTK chung'!$G$4:$G$143,$AH43)/10^6</f>
        <v>4</v>
      </c>
      <c r="AO43" s="218">
        <f>SUMIFS('GTTK chung'!AO$4:AO$143,'GTTK chung'!$G$4:$G$143,$AH43)/10^6</f>
        <v>50.625999999999998</v>
      </c>
      <c r="AP43" s="218">
        <f>SUMIFS('GTTK chung'!AP$4:AP$143,'GTTK chung'!$G$4:$G$143,$AH43)/10^6</f>
        <v>15.892910000000001</v>
      </c>
      <c r="AQ43" s="218">
        <f>SUMIFS('GTTK chung'!AQ$4:AQ$143,'GTTK chung'!$G$4:$G$143,$AH43)/10^6</f>
        <v>4</v>
      </c>
      <c r="AR43" s="218">
        <f>SUMIFS('GTTK chung'!AR$4:AR$143,'GTTK chung'!$G$4:$G$143,$AH43)/10^6</f>
        <v>4</v>
      </c>
      <c r="AS43" s="218">
        <f>SUMIFS('GTTK chung'!AS$4:AS$143,'GTTK chung'!$G$4:$G$143,$AH43)/10^6</f>
        <v>37.881686999999999</v>
      </c>
      <c r="AT43" s="218">
        <f>SUMIFS('GTTK chung'!AT$4:AT$143,'GTTK chung'!$G$4:$G$143,$AH43)/10^6</f>
        <v>4</v>
      </c>
      <c r="AU43" s="218">
        <f>SUMIFS('GTTK chung'!AU$4:AU$143,'GTTK chung'!$G$4:$G$143,$AH43)/10^6</f>
        <v>4</v>
      </c>
    </row>
    <row r="44" spans="1:52">
      <c r="AG44" s="156" t="s">
        <v>717</v>
      </c>
      <c r="AH44" s="156" t="s">
        <v>908</v>
      </c>
      <c r="AI44" s="234">
        <f t="shared" si="77"/>
        <v>89.752054999999999</v>
      </c>
      <c r="AJ44" s="218">
        <f>SUMIFS('GTTK chung'!AJ$4:AJ$143,'GTTK chung'!$G$4:$G$143,$AH44)/10^6</f>
        <v>0</v>
      </c>
      <c r="AK44" s="218">
        <f>SUMIFS('GTTK chung'!AK$4:AK$143,'GTTK chung'!$G$4:$G$143,$AH44)/10^6</f>
        <v>0</v>
      </c>
      <c r="AL44" s="218">
        <f>SUMIFS('GTTK chung'!AL$4:AL$143,'GTTK chung'!$G$4:$G$143,$AH44)/10^6</f>
        <v>0</v>
      </c>
      <c r="AM44" s="218">
        <f>SUMIFS('GTTK chung'!AM$4:AM$143,'GTTK chung'!$G$4:$G$143,$AH44)/10^6</f>
        <v>0</v>
      </c>
      <c r="AN44" s="218">
        <f>SUMIFS('GTTK chung'!AN$4:AN$143,'GTTK chung'!$G$4:$G$143,$AH44)/10^6</f>
        <v>0</v>
      </c>
      <c r="AO44" s="218">
        <f>SUMIFS('GTTK chung'!AO$4:AO$143,'GTTK chung'!$G$4:$G$143,$AH44)/10^6</f>
        <v>9</v>
      </c>
      <c r="AP44" s="218">
        <f>SUMIFS('GTTK chung'!AP$4:AP$143,'GTTK chung'!$G$4:$G$143,$AH44)/10^6</f>
        <v>0</v>
      </c>
      <c r="AQ44" s="218">
        <f>SUMIFS('GTTK chung'!AQ$4:AQ$143,'GTTK chung'!$G$4:$G$143,$AH44)/10^6</f>
        <v>0</v>
      </c>
      <c r="AR44" s="218">
        <f>SUMIFS('GTTK chung'!AR$4:AR$143,'GTTK chung'!$G$4:$G$143,$AH44)/10^6</f>
        <v>57.790199999999999</v>
      </c>
      <c r="AS44" s="218">
        <f>SUMIFS('GTTK chung'!AS$4:AS$143,'GTTK chung'!$G$4:$G$143,$AH44)/10^6</f>
        <v>22.961855</v>
      </c>
      <c r="AT44" s="218">
        <f>SUMIFS('GTTK chung'!AT$4:AT$143,'GTTK chung'!$G$4:$G$143,$AH44)/10^6</f>
        <v>0</v>
      </c>
      <c r="AU44" s="218">
        <f>SUMIFS('GTTK chung'!AU$4:AU$143,'GTTK chung'!$G$4:$G$143,$AH44)/10^6</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A1:BK184"/>
  <sheetViews>
    <sheetView showGridLines="0" zoomScale="40" zoomScaleNormal="40" zoomScaleSheetLayoutView="50" workbookViewId="0">
      <pane xSplit="21" ySplit="3" topLeftCell="V55" activePane="bottomRight" state="frozen"/>
      <selection activeCell="AQ3" sqref="AQ3"/>
      <selection pane="topRight" activeCell="AQ3" sqref="AQ3"/>
      <selection pane="bottomLeft" activeCell="AQ3" sqref="AQ3"/>
      <selection pane="bottomRight" activeCell="AQ3" sqref="AQ3"/>
    </sheetView>
  </sheetViews>
  <sheetFormatPr defaultColWidth="8.54296875" defaultRowHeight="41.9" customHeight="1" outlineLevelRow="1" outlineLevelCol="1"/>
  <cols>
    <col min="1" max="1" width="13.453125" style="34" customWidth="1" collapsed="1"/>
    <col min="2" max="2" width="30.54296875" style="34" hidden="1" customWidth="1" outlineLevel="1"/>
    <col min="3" max="3" width="36.453125" style="34" hidden="1" customWidth="1" outlineLevel="1"/>
    <col min="4" max="4" width="26.90625" style="34" customWidth="1" collapsed="1"/>
    <col min="5" max="5" width="46.54296875" style="34" customWidth="1"/>
    <col min="6" max="6" width="20.453125" style="34" customWidth="1"/>
    <col min="7" max="7" width="27.90625" style="34" customWidth="1"/>
    <col min="8" max="8" width="60.90625" style="34" customWidth="1"/>
    <col min="9" max="9" width="98.54296875" style="34" hidden="1" customWidth="1"/>
    <col min="10" max="10" width="32.54296875" style="34" hidden="1" customWidth="1"/>
    <col min="11" max="11" width="31.453125" style="34" customWidth="1"/>
    <col min="12" max="13" width="47.453125" style="34" hidden="1" customWidth="1" outlineLevel="1"/>
    <col min="14" max="14" width="16.54296875" style="34" hidden="1" customWidth="1" collapsed="1"/>
    <col min="15" max="15" width="21.90625" style="34" hidden="1" customWidth="1" outlineLevel="1"/>
    <col min="16" max="19" width="22.54296875" style="34" hidden="1" customWidth="1" outlineLevel="1"/>
    <col min="20" max="20" width="31.453125" style="34" customWidth="1" collapsed="1"/>
    <col min="21" max="21" width="3.08984375" style="34" customWidth="1"/>
    <col min="22" max="22" width="25.08984375" style="34" customWidth="1" outlineLevel="1"/>
    <col min="23" max="24" width="26.08984375" style="34" customWidth="1" outlineLevel="1"/>
    <col min="25" max="25" width="26.453125" style="34" customWidth="1" outlineLevel="1"/>
    <col min="26" max="26" width="26.08984375" style="34" customWidth="1" outlineLevel="1"/>
    <col min="27" max="30" width="25.54296875" style="34" customWidth="1" outlineLevel="1"/>
    <col min="31" max="33" width="26.08984375" style="34" customWidth="1" outlineLevel="1"/>
    <col min="34" max="34" width="38" style="34" bestFit="1" customWidth="1"/>
    <col min="35" max="35" width="3.08984375" style="34" customWidth="1"/>
    <col min="36" max="36" width="25.08984375" style="34" customWidth="1" outlineLevel="1"/>
    <col min="37" max="38" width="26.08984375" style="34" customWidth="1" outlineLevel="1"/>
    <col min="39" max="39" width="26.453125" style="34" customWidth="1" outlineLevel="1"/>
    <col min="40" max="40" width="26.08984375" style="34" customWidth="1" outlineLevel="1"/>
    <col min="41" max="44" width="25.54296875" style="34" customWidth="1" outlineLevel="1"/>
    <col min="45" max="47" width="26.08984375" style="34" customWidth="1" outlineLevel="1"/>
    <col min="48" max="48" width="38" style="34" bestFit="1" customWidth="1"/>
    <col min="49" max="49" width="3.08984375" style="34" customWidth="1"/>
    <col min="50" max="51" width="34.54296875" style="34" customWidth="1" outlineLevel="1"/>
    <col min="52" max="54" width="35.453125" style="34" customWidth="1" outlineLevel="1"/>
    <col min="55" max="56" width="36" style="34" customWidth="1" outlineLevel="1"/>
    <col min="57" max="60" width="35.453125" style="34" customWidth="1" outlineLevel="1"/>
    <col min="61" max="61" width="36" style="34" customWidth="1" outlineLevel="1"/>
    <col min="62" max="62" width="33.54296875" style="34" customWidth="1"/>
    <col min="63" max="63" width="52.54296875" style="37" customWidth="1"/>
    <col min="64" max="77" width="8.54296875" style="34"/>
    <col min="78" max="78" width="8.54296875" style="34" customWidth="1"/>
    <col min="79" max="16384" width="8.54296875" style="34"/>
  </cols>
  <sheetData>
    <row r="1" spans="1:63" ht="12.75" customHeight="1" outlineLevel="1"/>
    <row r="2" spans="1:63" s="40" customFormat="1" ht="41.9" customHeight="1">
      <c r="A2" s="1540" t="s">
        <v>0</v>
      </c>
      <c r="B2" s="1540" t="s">
        <v>115</v>
      </c>
      <c r="C2" s="1540" t="s">
        <v>116</v>
      </c>
      <c r="D2" s="1540" t="s">
        <v>161</v>
      </c>
      <c r="E2" s="1541" t="s">
        <v>112</v>
      </c>
      <c r="F2" s="1541" t="s">
        <v>113</v>
      </c>
      <c r="G2" s="1541" t="s">
        <v>1</v>
      </c>
      <c r="H2" s="1541" t="s">
        <v>2</v>
      </c>
      <c r="I2" s="1541" t="s">
        <v>210</v>
      </c>
      <c r="J2" s="1541" t="s">
        <v>3</v>
      </c>
      <c r="K2" s="1541" t="s">
        <v>4</v>
      </c>
      <c r="L2" s="1541" t="s">
        <v>381</v>
      </c>
      <c r="M2" s="1541" t="s">
        <v>382</v>
      </c>
      <c r="N2" s="1541" t="s">
        <v>5</v>
      </c>
      <c r="O2" s="1542" t="s">
        <v>396</v>
      </c>
      <c r="P2" s="1542" t="s">
        <v>742</v>
      </c>
      <c r="Q2" s="1542" t="s">
        <v>397</v>
      </c>
      <c r="R2" s="1542" t="s">
        <v>400</v>
      </c>
      <c r="S2" s="995" t="s">
        <v>804</v>
      </c>
      <c r="T2" s="1541" t="s">
        <v>979</v>
      </c>
      <c r="V2" s="1545" t="s">
        <v>993</v>
      </c>
      <c r="W2" s="1545"/>
      <c r="X2" s="1545"/>
      <c r="Y2" s="1545"/>
      <c r="Z2" s="1545"/>
      <c r="AA2" s="1545"/>
      <c r="AB2" s="1545"/>
      <c r="AC2" s="1545"/>
      <c r="AD2" s="1545"/>
      <c r="AE2" s="1545"/>
      <c r="AF2" s="1545"/>
      <c r="AG2" s="1545"/>
      <c r="AH2" s="1545"/>
      <c r="AJ2" s="1544" t="s">
        <v>680</v>
      </c>
      <c r="AK2" s="1544"/>
      <c r="AL2" s="1544"/>
      <c r="AM2" s="1544"/>
      <c r="AN2" s="1544"/>
      <c r="AO2" s="1544"/>
      <c r="AP2" s="1544"/>
      <c r="AQ2" s="1544"/>
      <c r="AR2" s="1544"/>
      <c r="AS2" s="1544"/>
      <c r="AT2" s="1544"/>
      <c r="AU2" s="1544"/>
      <c r="AV2" s="1544"/>
      <c r="AX2" s="1543" t="s">
        <v>679</v>
      </c>
      <c r="AY2" s="1543"/>
      <c r="AZ2" s="1543"/>
      <c r="BA2" s="1543"/>
      <c r="BB2" s="1543"/>
      <c r="BC2" s="1543"/>
      <c r="BD2" s="1543"/>
      <c r="BE2" s="1543"/>
      <c r="BF2" s="1543"/>
      <c r="BG2" s="1543"/>
      <c r="BH2" s="1543"/>
      <c r="BI2" s="1543"/>
      <c r="BJ2" s="1543"/>
      <c r="BK2" s="39"/>
    </row>
    <row r="3" spans="1:63" s="43" customFormat="1" ht="41.9" customHeight="1">
      <c r="A3" s="1540"/>
      <c r="B3" s="1540"/>
      <c r="C3" s="1540"/>
      <c r="D3" s="1540"/>
      <c r="E3" s="1541"/>
      <c r="F3" s="1541"/>
      <c r="G3" s="1541"/>
      <c r="H3" s="1541"/>
      <c r="I3" s="1541"/>
      <c r="J3" s="1541"/>
      <c r="K3" s="1541"/>
      <c r="L3" s="1541"/>
      <c r="M3" s="1541"/>
      <c r="N3" s="1541"/>
      <c r="O3" s="1542"/>
      <c r="P3" s="1542"/>
      <c r="Q3" s="1542"/>
      <c r="R3" s="1542"/>
      <c r="S3" s="995" t="s">
        <v>678</v>
      </c>
      <c r="T3" s="1541"/>
      <c r="V3" s="586" t="s">
        <v>6</v>
      </c>
      <c r="W3" s="586" t="s">
        <v>7</v>
      </c>
      <c r="X3" s="586" t="s">
        <v>8</v>
      </c>
      <c r="Y3" s="586" t="s">
        <v>9</v>
      </c>
      <c r="Z3" s="586" t="s">
        <v>10</v>
      </c>
      <c r="AA3" s="586" t="s">
        <v>11</v>
      </c>
      <c r="AB3" s="586" t="s">
        <v>12</v>
      </c>
      <c r="AC3" s="586" t="s">
        <v>13</v>
      </c>
      <c r="AD3" s="586" t="s">
        <v>14</v>
      </c>
      <c r="AE3" s="586" t="s">
        <v>15</v>
      </c>
      <c r="AF3" s="586" t="s">
        <v>16</v>
      </c>
      <c r="AG3" s="586" t="s">
        <v>17</v>
      </c>
      <c r="AH3" s="586" t="s">
        <v>232</v>
      </c>
      <c r="AJ3" s="1453" t="s">
        <v>6</v>
      </c>
      <c r="AK3" s="1453" t="s">
        <v>7</v>
      </c>
      <c r="AL3" s="1453" t="s">
        <v>8</v>
      </c>
      <c r="AM3" s="1453" t="s">
        <v>9</v>
      </c>
      <c r="AN3" s="1453" t="s">
        <v>10</v>
      </c>
      <c r="AO3" s="1453" t="s">
        <v>11</v>
      </c>
      <c r="AP3" s="1453" t="s">
        <v>12</v>
      </c>
      <c r="AQ3" s="1453" t="s">
        <v>13</v>
      </c>
      <c r="AR3" s="1453" t="s">
        <v>14</v>
      </c>
      <c r="AS3" s="1453" t="s">
        <v>15</v>
      </c>
      <c r="AT3" s="1453" t="s">
        <v>16</v>
      </c>
      <c r="AU3" s="1453" t="s">
        <v>17</v>
      </c>
      <c r="AV3" s="1453" t="s">
        <v>232</v>
      </c>
      <c r="AX3" s="590" t="s">
        <v>6</v>
      </c>
      <c r="AY3" s="590" t="s">
        <v>7</v>
      </c>
      <c r="AZ3" s="590" t="s">
        <v>8</v>
      </c>
      <c r="BA3" s="590" t="s">
        <v>9</v>
      </c>
      <c r="BB3" s="590" t="s">
        <v>10</v>
      </c>
      <c r="BC3" s="590" t="s">
        <v>11</v>
      </c>
      <c r="BD3" s="590" t="s">
        <v>12</v>
      </c>
      <c r="BE3" s="590" t="s">
        <v>13</v>
      </c>
      <c r="BF3" s="590" t="s">
        <v>14</v>
      </c>
      <c r="BG3" s="590" t="s">
        <v>15</v>
      </c>
      <c r="BH3" s="590" t="s">
        <v>16</v>
      </c>
      <c r="BI3" s="590" t="s">
        <v>17</v>
      </c>
      <c r="BJ3" s="590" t="s">
        <v>232</v>
      </c>
      <c r="BK3" s="41" t="s">
        <v>285</v>
      </c>
    </row>
    <row r="4" spans="1:63" s="43" customFormat="1" ht="117.5">
      <c r="A4" s="582">
        <f>IF(G4&lt;&gt;"",SUBTOTAL(103,$G$4:G4),"")</f>
        <v>1</v>
      </c>
      <c r="B4" s="44" t="s">
        <v>121</v>
      </c>
      <c r="C4" s="45" t="s">
        <v>141</v>
      </c>
      <c r="D4" s="45" t="s">
        <v>591</v>
      </c>
      <c r="E4" s="46" t="s">
        <v>171</v>
      </c>
      <c r="F4" s="44" t="s">
        <v>117</v>
      </c>
      <c r="G4" s="47" t="s">
        <v>18</v>
      </c>
      <c r="H4" s="48" t="s">
        <v>19</v>
      </c>
      <c r="I4" s="48" t="s">
        <v>215</v>
      </c>
      <c r="J4" s="49" t="s">
        <v>20</v>
      </c>
      <c r="K4" s="47" t="s">
        <v>22</v>
      </c>
      <c r="L4" s="48" t="s">
        <v>237</v>
      </c>
      <c r="M4" s="48" t="s">
        <v>238</v>
      </c>
      <c r="N4" s="50" t="s">
        <v>209</v>
      </c>
      <c r="O4" s="259">
        <v>20</v>
      </c>
      <c r="P4" s="972">
        <v>2024</v>
      </c>
      <c r="Q4" s="259">
        <v>1</v>
      </c>
      <c r="R4" s="267" t="s">
        <v>401</v>
      </c>
      <c r="S4" s="47"/>
      <c r="T4" s="47"/>
      <c r="V4" s="760"/>
      <c r="W4" s="760"/>
      <c r="X4" s="760"/>
      <c r="Y4" s="760"/>
      <c r="Z4" s="760"/>
      <c r="AA4" s="760"/>
      <c r="AB4" s="760"/>
      <c r="AC4" s="760"/>
      <c r="AD4" s="760"/>
      <c r="AE4" s="760"/>
      <c r="AF4" s="760"/>
      <c r="AG4" s="761"/>
      <c r="AH4" s="748">
        <f>SUM(V4:AG4)</f>
        <v>0</v>
      </c>
      <c r="AJ4" s="760"/>
      <c r="AK4" s="760"/>
      <c r="AL4" s="760"/>
      <c r="AM4" s="760"/>
      <c r="AN4" s="760"/>
      <c r="AO4" s="760"/>
      <c r="AP4" s="760"/>
      <c r="AQ4" s="760"/>
      <c r="AR4" s="760"/>
      <c r="AS4" s="760"/>
      <c r="AT4" s="760"/>
      <c r="AU4" s="761"/>
      <c r="AV4" s="748">
        <f t="shared" ref="AV4:AV67" si="0">SUM(AJ4:AU4)</f>
        <v>0</v>
      </c>
      <c r="AX4" s="51">
        <v>104930709</v>
      </c>
      <c r="AY4" s="51">
        <v>80998381</v>
      </c>
      <c r="AZ4" s="51">
        <v>144516214</v>
      </c>
      <c r="BA4" s="51">
        <v>310305600</v>
      </c>
      <c r="BB4" s="51">
        <v>150463738</v>
      </c>
      <c r="BC4" s="52">
        <v>91260015</v>
      </c>
      <c r="BD4" s="52">
        <v>136620660</v>
      </c>
      <c r="BE4" s="52">
        <v>115502640</v>
      </c>
      <c r="BF4" s="52">
        <v>151273980</v>
      </c>
      <c r="BG4" s="52"/>
      <c r="BH4" s="52"/>
      <c r="BI4" s="52"/>
      <c r="BJ4" s="53">
        <f>SUM(AX4:BI4)</f>
        <v>1285871937</v>
      </c>
      <c r="BK4" s="54" t="e">
        <f>VLOOKUP($D4,'Trình bày'!$A:$A,1,0)</f>
        <v>#N/A</v>
      </c>
    </row>
    <row r="5" spans="1:63" s="43" customFormat="1" ht="202.4" customHeight="1">
      <c r="A5" s="583">
        <f>IF(G5&lt;&gt;"",SUBTOTAL(103,$G$4:G5),"")</f>
        <v>2</v>
      </c>
      <c r="B5" s="55" t="s">
        <v>122</v>
      </c>
      <c r="C5" s="45" t="s">
        <v>142</v>
      </c>
      <c r="D5" s="45" t="s">
        <v>194</v>
      </c>
      <c r="E5" s="46" t="s">
        <v>164</v>
      </c>
      <c r="F5" s="44" t="s">
        <v>117</v>
      </c>
      <c r="G5" s="47" t="s">
        <v>18</v>
      </c>
      <c r="H5" s="56" t="s">
        <v>21</v>
      </c>
      <c r="I5" s="56" t="s">
        <v>216</v>
      </c>
      <c r="J5" s="57"/>
      <c r="K5" s="58" t="s">
        <v>22</v>
      </c>
      <c r="L5" s="56" t="s">
        <v>241</v>
      </c>
      <c r="M5" s="56" t="s">
        <v>242</v>
      </c>
      <c r="N5" s="50" t="s">
        <v>209</v>
      </c>
      <c r="O5" s="260">
        <v>29</v>
      </c>
      <c r="P5" s="973">
        <v>2024</v>
      </c>
      <c r="Q5" s="260">
        <v>2</v>
      </c>
      <c r="R5" s="268" t="s">
        <v>403</v>
      </c>
      <c r="S5" s="58"/>
      <c r="T5" s="58"/>
      <c r="V5" s="760"/>
      <c r="W5" s="760"/>
      <c r="X5" s="760"/>
      <c r="Y5" s="760"/>
      <c r="Z5" s="760"/>
      <c r="AA5" s="760"/>
      <c r="AB5" s="760"/>
      <c r="AC5" s="760"/>
      <c r="AD5" s="760"/>
      <c r="AE5" s="760"/>
      <c r="AF5" s="760"/>
      <c r="AG5" s="761"/>
      <c r="AH5" s="749">
        <f t="shared" ref="AH5:AH68" si="1">SUM(V5:AG5)</f>
        <v>0</v>
      </c>
      <c r="AJ5" s="760"/>
      <c r="AK5" s="760"/>
      <c r="AL5" s="760"/>
      <c r="AM5" s="760"/>
      <c r="AN5" s="760"/>
      <c r="AO5" s="760"/>
      <c r="AP5" s="760"/>
      <c r="AQ5" s="760"/>
      <c r="AR5" s="760"/>
      <c r="AS5" s="760"/>
      <c r="AT5" s="760"/>
      <c r="AU5" s="761"/>
      <c r="AV5" s="749">
        <f t="shared" si="0"/>
        <v>0</v>
      </c>
      <c r="AX5" s="59" t="s">
        <v>23</v>
      </c>
      <c r="AY5" s="59">
        <v>21600000</v>
      </c>
      <c r="AZ5" s="59">
        <v>19920000</v>
      </c>
      <c r="BA5" s="59"/>
      <c r="BB5" s="59"/>
      <c r="BC5" s="60"/>
      <c r="BD5" s="60"/>
      <c r="BE5" s="60"/>
      <c r="BF5" s="60">
        <v>0</v>
      </c>
      <c r="BG5" s="60"/>
      <c r="BH5" s="60"/>
      <c r="BI5" s="60"/>
      <c r="BJ5" s="61">
        <f>SUM(AX5:BI5)</f>
        <v>41520000</v>
      </c>
      <c r="BK5" s="54" t="str">
        <f>VLOOKUP($D5,'Trình bày'!$A:$A,1,0)</f>
        <v xml:space="preserve">2023-SANXUAT-TK-706 </v>
      </c>
    </row>
    <row r="6" spans="1:63" s="43" customFormat="1" ht="398.15" customHeight="1">
      <c r="A6" s="582">
        <f>IF(G6&lt;&gt;"",SUBTOTAL(103,$G$4:G6),"")</f>
        <v>3</v>
      </c>
      <c r="B6" s="55" t="s">
        <v>123</v>
      </c>
      <c r="C6" s="45" t="s">
        <v>143</v>
      </c>
      <c r="D6" s="45" t="s">
        <v>592</v>
      </c>
      <c r="E6" s="46" t="s">
        <v>164</v>
      </c>
      <c r="F6" s="44" t="s">
        <v>117</v>
      </c>
      <c r="G6" s="47" t="s">
        <v>18</v>
      </c>
      <c r="H6" s="62" t="s">
        <v>24</v>
      </c>
      <c r="I6" s="62" t="s">
        <v>217</v>
      </c>
      <c r="J6" s="57" t="s">
        <v>20</v>
      </c>
      <c r="K6" s="58" t="s">
        <v>22</v>
      </c>
      <c r="L6" s="62" t="s">
        <v>384</v>
      </c>
      <c r="M6" s="62" t="s">
        <v>385</v>
      </c>
      <c r="N6" s="50" t="s">
        <v>209</v>
      </c>
      <c r="O6" s="261">
        <v>4</v>
      </c>
      <c r="P6" s="974">
        <v>2024</v>
      </c>
      <c r="Q6" s="261">
        <v>1</v>
      </c>
      <c r="R6" s="269"/>
      <c r="S6" s="58"/>
      <c r="T6" s="58"/>
      <c r="V6" s="771"/>
      <c r="W6" s="771"/>
      <c r="X6" s="771"/>
      <c r="Y6" s="771"/>
      <c r="Z6" s="771"/>
      <c r="AA6" s="771"/>
      <c r="AB6" s="771"/>
      <c r="AC6" s="771"/>
      <c r="AD6" s="771"/>
      <c r="AE6" s="771"/>
      <c r="AF6" s="771"/>
      <c r="AG6" s="772"/>
      <c r="AH6" s="750">
        <f t="shared" si="1"/>
        <v>0</v>
      </c>
      <c r="AJ6" s="771"/>
      <c r="AK6" s="771"/>
      <c r="AL6" s="771"/>
      <c r="AM6" s="771"/>
      <c r="AN6" s="771"/>
      <c r="AO6" s="771"/>
      <c r="AP6" s="771"/>
      <c r="AQ6" s="771"/>
      <c r="AR6" s="771"/>
      <c r="AS6" s="771"/>
      <c r="AT6" s="771"/>
      <c r="AU6" s="772"/>
      <c r="AV6" s="750">
        <f t="shared" si="0"/>
        <v>0</v>
      </c>
      <c r="AX6" s="63">
        <v>116158365.47474091</v>
      </c>
      <c r="AY6" s="63">
        <v>86409609.693824425</v>
      </c>
      <c r="AZ6" s="63">
        <v>111750459.48306371</v>
      </c>
      <c r="BA6" s="63">
        <v>110332241.76819605</v>
      </c>
      <c r="BB6" s="63">
        <v>89224169.671999067</v>
      </c>
      <c r="BC6" s="64">
        <v>82239479.066322684</v>
      </c>
      <c r="BD6" s="60">
        <v>65764738.949565664</v>
      </c>
      <c r="BE6" s="60">
        <v>67444084.456715256</v>
      </c>
      <c r="BF6" s="60">
        <v>74761187.975680873</v>
      </c>
      <c r="BG6" s="60">
        <v>88168700.166213378</v>
      </c>
      <c r="BH6" s="60">
        <v>94570586.723249212</v>
      </c>
      <c r="BI6" s="60">
        <v>81503980</v>
      </c>
      <c r="BJ6" s="61">
        <f t="shared" ref="BJ6:BJ25" si="2">SUM(AX6:BI6)</f>
        <v>1068327603.4295712</v>
      </c>
      <c r="BK6" s="54" t="e">
        <f>VLOOKUP($D6,'Trình bày'!$A:$A,1,0)</f>
        <v>#N/A</v>
      </c>
    </row>
    <row r="7" spans="1:63" s="43" customFormat="1" ht="164.5">
      <c r="A7" s="583">
        <f>IF(G7&lt;&gt;"",SUBTOTAL(103,$G$4:G7),"")</f>
        <v>4</v>
      </c>
      <c r="B7" s="55" t="s">
        <v>124</v>
      </c>
      <c r="C7" s="45" t="s">
        <v>144</v>
      </c>
      <c r="D7" s="45" t="s">
        <v>196</v>
      </c>
      <c r="E7" s="46" t="s">
        <v>164</v>
      </c>
      <c r="F7" s="44" t="s">
        <v>118</v>
      </c>
      <c r="G7" s="47" t="s">
        <v>25</v>
      </c>
      <c r="H7" s="62" t="s">
        <v>26</v>
      </c>
      <c r="I7" s="62" t="s">
        <v>218</v>
      </c>
      <c r="J7" s="57"/>
      <c r="K7" s="65" t="s">
        <v>27</v>
      </c>
      <c r="L7" s="62"/>
      <c r="M7" s="62"/>
      <c r="N7" s="50" t="s">
        <v>209</v>
      </c>
      <c r="O7" s="260">
        <v>38</v>
      </c>
      <c r="P7" s="973">
        <v>2024</v>
      </c>
      <c r="Q7" s="260">
        <v>2</v>
      </c>
      <c r="R7" s="260"/>
      <c r="S7" s="65"/>
      <c r="T7" s="65"/>
      <c r="V7" s="769"/>
      <c r="W7" s="769"/>
      <c r="X7" s="769"/>
      <c r="Y7" s="769"/>
      <c r="Z7" s="769"/>
      <c r="AA7" s="769"/>
      <c r="AB7" s="769"/>
      <c r="AC7" s="769"/>
      <c r="AD7" s="769"/>
      <c r="AE7" s="769"/>
      <c r="AF7" s="769"/>
      <c r="AG7" s="770"/>
      <c r="AH7" s="61">
        <f t="shared" si="1"/>
        <v>0</v>
      </c>
      <c r="AJ7" s="769"/>
      <c r="AK7" s="769"/>
      <c r="AL7" s="769"/>
      <c r="AM7" s="769"/>
      <c r="AN7" s="769"/>
      <c r="AO7" s="769"/>
      <c r="AP7" s="769"/>
      <c r="AQ7" s="769"/>
      <c r="AR7" s="769"/>
      <c r="AS7" s="769"/>
      <c r="AT7" s="769"/>
      <c r="AU7" s="770"/>
      <c r="AV7" s="61">
        <f t="shared" si="0"/>
        <v>0</v>
      </c>
      <c r="AX7" s="59">
        <v>19623664.360000003</v>
      </c>
      <c r="AY7" s="63">
        <v>22166309.200000003</v>
      </c>
      <c r="AZ7" s="63">
        <v>35837215.167999998</v>
      </c>
      <c r="BA7" s="63">
        <v>3573170.0999999996</v>
      </c>
      <c r="BB7" s="63">
        <v>2038364.6100000013</v>
      </c>
      <c r="BC7" s="64">
        <v>5338696.6499999985</v>
      </c>
      <c r="BD7" s="60">
        <v>4785509.5999999996</v>
      </c>
      <c r="BE7" s="60">
        <v>12771756.37499998</v>
      </c>
      <c r="BF7" s="60">
        <v>8660188.8333333358</v>
      </c>
      <c r="BG7" s="60">
        <v>31908267.999999996</v>
      </c>
      <c r="BH7" s="60">
        <v>31712997.9025</v>
      </c>
      <c r="BI7" s="60">
        <v>20655136.400000013</v>
      </c>
      <c r="BJ7" s="61">
        <f t="shared" si="2"/>
        <v>199071277.19883332</v>
      </c>
      <c r="BK7" s="54" t="str">
        <f>VLOOKUP($D7,'Trình bày'!$A:$A,1,0)</f>
        <v>2024-SANXUAT-TK-180</v>
      </c>
    </row>
    <row r="8" spans="1:63" s="43" customFormat="1" ht="141">
      <c r="A8" s="582">
        <f>IF(G8&lt;&gt;"",SUBTOTAL(103,$G$4:G8),"")</f>
        <v>5</v>
      </c>
      <c r="B8" s="55" t="s">
        <v>125</v>
      </c>
      <c r="C8" s="45" t="s">
        <v>145</v>
      </c>
      <c r="D8" s="45" t="s">
        <v>197</v>
      </c>
      <c r="E8" s="46" t="s">
        <v>164</v>
      </c>
      <c r="F8" s="44" t="s">
        <v>118</v>
      </c>
      <c r="G8" s="47" t="s">
        <v>25</v>
      </c>
      <c r="H8" s="62" t="s">
        <v>28</v>
      </c>
      <c r="I8" s="62" t="s">
        <v>219</v>
      </c>
      <c r="J8" s="57" t="s">
        <v>20</v>
      </c>
      <c r="K8" s="65" t="s">
        <v>27</v>
      </c>
      <c r="L8" s="62"/>
      <c r="M8" s="62"/>
      <c r="N8" s="50" t="s">
        <v>209</v>
      </c>
      <c r="O8" s="261">
        <v>7.5</v>
      </c>
      <c r="P8" s="974">
        <v>2024</v>
      </c>
      <c r="Q8" s="261">
        <v>1</v>
      </c>
      <c r="R8" s="261"/>
      <c r="S8" s="65"/>
      <c r="T8" s="65"/>
      <c r="V8" s="758"/>
      <c r="W8" s="758"/>
      <c r="X8" s="758"/>
      <c r="Y8" s="758"/>
      <c r="Z8" s="758"/>
      <c r="AA8" s="758"/>
      <c r="AB8" s="758"/>
      <c r="AC8" s="758"/>
      <c r="AD8" s="758"/>
      <c r="AE8" s="758"/>
      <c r="AF8" s="758"/>
      <c r="AG8" s="759"/>
      <c r="AH8" s="751">
        <f t="shared" si="1"/>
        <v>0</v>
      </c>
      <c r="AJ8" s="758"/>
      <c r="AK8" s="758"/>
      <c r="AL8" s="758"/>
      <c r="AM8" s="758"/>
      <c r="AN8" s="758"/>
      <c r="AO8" s="758"/>
      <c r="AP8" s="758"/>
      <c r="AQ8" s="758"/>
      <c r="AR8" s="758"/>
      <c r="AS8" s="758"/>
      <c r="AT8" s="758"/>
      <c r="AU8" s="759"/>
      <c r="AV8" s="751">
        <f t="shared" si="0"/>
        <v>0</v>
      </c>
      <c r="AX8" s="63">
        <v>55690500</v>
      </c>
      <c r="AY8" s="63">
        <v>9157750.0000000019</v>
      </c>
      <c r="AZ8" s="63">
        <v>21918750</v>
      </c>
      <c r="BA8" s="63">
        <v>9527000</v>
      </c>
      <c r="BB8" s="63">
        <v>25760350.000000007</v>
      </c>
      <c r="BC8" s="64">
        <v>12239500.000000002</v>
      </c>
      <c r="BD8" s="60">
        <v>25791499.999999996</v>
      </c>
      <c r="BE8" s="60">
        <v>54762750.000000015</v>
      </c>
      <c r="BF8" s="60">
        <v>25592000.000000004</v>
      </c>
      <c r="BG8" s="60">
        <v>6299125</v>
      </c>
      <c r="BH8" s="60">
        <v>20042750</v>
      </c>
      <c r="BI8" s="60">
        <v>14456750</v>
      </c>
      <c r="BJ8" s="61">
        <f t="shared" si="2"/>
        <v>281238725</v>
      </c>
      <c r="BK8" s="42" t="str">
        <f>VLOOKUP($D8,'Trình bày'!$A:$A,1,0)</f>
        <v>2024-SANXUAT-TK-183</v>
      </c>
    </row>
    <row r="9" spans="1:63" s="43" customFormat="1" ht="94">
      <c r="A9" s="583">
        <f>IF(G9&lt;&gt;"",SUBTOTAL(103,$G$4:G9),"")</f>
        <v>6</v>
      </c>
      <c r="B9" s="55" t="s">
        <v>126</v>
      </c>
      <c r="C9" s="45" t="s">
        <v>146</v>
      </c>
      <c r="D9" s="45" t="s">
        <v>198</v>
      </c>
      <c r="E9" s="46" t="s">
        <v>171</v>
      </c>
      <c r="F9" s="44" t="s">
        <v>118</v>
      </c>
      <c r="G9" s="47" t="s">
        <v>25</v>
      </c>
      <c r="H9" s="62" t="s">
        <v>29</v>
      </c>
      <c r="I9" s="62" t="s">
        <v>220</v>
      </c>
      <c r="J9" s="57">
        <v>45451</v>
      </c>
      <c r="K9" s="65" t="s">
        <v>30</v>
      </c>
      <c r="L9" s="62" t="s">
        <v>286</v>
      </c>
      <c r="M9" s="62" t="s">
        <v>289</v>
      </c>
      <c r="N9" s="50" t="s">
        <v>209</v>
      </c>
      <c r="O9" s="260"/>
      <c r="P9" s="973">
        <v>2024</v>
      </c>
      <c r="Q9" s="260">
        <v>5</v>
      </c>
      <c r="R9" s="260"/>
      <c r="S9" s="65"/>
      <c r="T9" s="65" t="s">
        <v>980</v>
      </c>
      <c r="V9" s="763"/>
      <c r="W9" s="763"/>
      <c r="X9" s="763"/>
      <c r="Y9" s="763"/>
      <c r="Z9" s="758"/>
      <c r="AA9" s="758"/>
      <c r="AB9" s="758"/>
      <c r="AC9" s="758"/>
      <c r="AD9" s="758"/>
      <c r="AE9" s="758"/>
      <c r="AF9" s="758"/>
      <c r="AG9" s="758"/>
      <c r="AH9" s="61">
        <f t="shared" si="1"/>
        <v>0</v>
      </c>
      <c r="AJ9" s="763">
        <v>2325522.9999999884</v>
      </c>
      <c r="AK9" s="763"/>
      <c r="AL9" s="763"/>
      <c r="AM9" s="763"/>
      <c r="AN9" s="758"/>
      <c r="AO9" s="758"/>
      <c r="AP9" s="758"/>
      <c r="AQ9" s="758"/>
      <c r="AR9" s="758"/>
      <c r="AS9" s="758"/>
      <c r="AT9" s="758"/>
      <c r="AU9" s="758"/>
      <c r="AV9" s="61">
        <f t="shared" si="0"/>
        <v>2325522.9999999884</v>
      </c>
      <c r="AX9" s="59" t="s">
        <v>23</v>
      </c>
      <c r="AY9" s="59" t="s">
        <v>23</v>
      </c>
      <c r="AZ9" s="59"/>
      <c r="BA9" s="59"/>
      <c r="BB9" s="63">
        <v>446153370</v>
      </c>
      <c r="BC9" s="64">
        <v>222153328</v>
      </c>
      <c r="BD9" s="60">
        <v>0</v>
      </c>
      <c r="BE9" s="60"/>
      <c r="BF9" s="60">
        <v>26012299</v>
      </c>
      <c r="BG9" s="60"/>
      <c r="BH9" s="60"/>
      <c r="BI9" s="60"/>
      <c r="BJ9" s="61">
        <f t="shared" si="2"/>
        <v>694318997</v>
      </c>
      <c r="BK9" s="42" t="str">
        <f>VLOOKUP($D9,'Trình bày'!$A:$A,1,0)</f>
        <v>2024-SANXUAT-TK-186</v>
      </c>
    </row>
    <row r="10" spans="1:63" s="43" customFormat="1" ht="204.65" customHeight="1">
      <c r="A10" s="582">
        <f>IF(G10&lt;&gt;"",SUBTOTAL(103,$G$4:G10),"")</f>
        <v>7</v>
      </c>
      <c r="B10" s="55" t="s">
        <v>127</v>
      </c>
      <c r="C10" s="46" t="s">
        <v>147</v>
      </c>
      <c r="D10" s="46" t="s">
        <v>199</v>
      </c>
      <c r="E10" s="46" t="s">
        <v>164</v>
      </c>
      <c r="F10" s="44" t="s">
        <v>117</v>
      </c>
      <c r="G10" s="47" t="s">
        <v>31</v>
      </c>
      <c r="H10" s="62" t="s">
        <v>32</v>
      </c>
      <c r="I10" s="62" t="s">
        <v>221</v>
      </c>
      <c r="J10" s="57" t="s">
        <v>20</v>
      </c>
      <c r="K10" s="65" t="s">
        <v>33</v>
      </c>
      <c r="L10" s="62" t="s">
        <v>245</v>
      </c>
      <c r="M10" s="62" t="s">
        <v>246</v>
      </c>
      <c r="N10" s="50" t="s">
        <v>209</v>
      </c>
      <c r="O10" s="261">
        <v>10</v>
      </c>
      <c r="P10" s="974">
        <v>2024</v>
      </c>
      <c r="Q10" s="261">
        <v>1</v>
      </c>
      <c r="R10" s="269" t="s">
        <v>402</v>
      </c>
      <c r="S10" s="65"/>
      <c r="T10" s="65"/>
      <c r="V10" s="771"/>
      <c r="W10" s="771"/>
      <c r="X10" s="771"/>
      <c r="Y10" s="771"/>
      <c r="Z10" s="771"/>
      <c r="AA10" s="771"/>
      <c r="AB10" s="771"/>
      <c r="AC10" s="771"/>
      <c r="AD10" s="771"/>
      <c r="AE10" s="771"/>
      <c r="AF10" s="771"/>
      <c r="AG10" s="772"/>
      <c r="AH10" s="750">
        <f t="shared" si="1"/>
        <v>0</v>
      </c>
      <c r="AJ10" s="771"/>
      <c r="AK10" s="771"/>
      <c r="AL10" s="771"/>
      <c r="AM10" s="771"/>
      <c r="AN10" s="771"/>
      <c r="AO10" s="771"/>
      <c r="AP10" s="771"/>
      <c r="AQ10" s="771"/>
      <c r="AR10" s="771"/>
      <c r="AS10" s="771"/>
      <c r="AT10" s="771"/>
      <c r="AU10" s="772"/>
      <c r="AV10" s="750">
        <f t="shared" si="0"/>
        <v>0</v>
      </c>
      <c r="AX10" s="63">
        <v>24239333</v>
      </c>
      <c r="AY10" s="63">
        <v>17903333</v>
      </c>
      <c r="AZ10" s="63">
        <v>36588667</v>
      </c>
      <c r="BA10" s="63">
        <v>15791333</v>
      </c>
      <c r="BB10" s="63">
        <v>23183333</v>
      </c>
      <c r="BC10" s="64">
        <v>35855333</v>
      </c>
      <c r="BD10" s="60">
        <v>30575333</v>
      </c>
      <c r="BE10" s="60">
        <v>26351333</v>
      </c>
      <c r="BF10" s="60">
        <v>26400000</v>
      </c>
      <c r="BG10" s="60">
        <v>0</v>
      </c>
      <c r="BH10" s="60"/>
      <c r="BI10" s="60"/>
      <c r="BJ10" s="61">
        <f t="shared" si="2"/>
        <v>236887998</v>
      </c>
      <c r="BK10" s="42" t="str">
        <f>VLOOKUP($D10,'Trình bày'!$A:$A,1,0)</f>
        <v xml:space="preserve">2023-VANPHONG-TK-466 </v>
      </c>
    </row>
    <row r="11" spans="1:63" s="43" customFormat="1" ht="188">
      <c r="A11" s="583">
        <f>IF(G11&lt;&gt;"",SUBTOTAL(103,$G$4:G11),"")</f>
        <v>8</v>
      </c>
      <c r="B11" s="55" t="s">
        <v>128</v>
      </c>
      <c r="C11" s="46" t="s">
        <v>148</v>
      </c>
      <c r="D11" s="46" t="s">
        <v>200</v>
      </c>
      <c r="E11" s="46" t="s">
        <v>31</v>
      </c>
      <c r="F11" s="44" t="s">
        <v>117</v>
      </c>
      <c r="G11" s="47" t="s">
        <v>31</v>
      </c>
      <c r="H11" s="62" t="s">
        <v>34</v>
      </c>
      <c r="I11" s="62"/>
      <c r="J11" s="57" t="s">
        <v>20</v>
      </c>
      <c r="K11" s="65" t="s">
        <v>33</v>
      </c>
      <c r="L11" s="62" t="s">
        <v>249</v>
      </c>
      <c r="M11" s="62" t="s">
        <v>250</v>
      </c>
      <c r="N11" s="50" t="s">
        <v>209</v>
      </c>
      <c r="O11" s="261"/>
      <c r="P11" s="974">
        <v>2024</v>
      </c>
      <c r="Q11" s="261">
        <v>1</v>
      </c>
      <c r="R11" s="269"/>
      <c r="S11" s="65"/>
      <c r="T11" s="65"/>
      <c r="V11" s="771"/>
      <c r="W11" s="771"/>
      <c r="X11" s="771"/>
      <c r="Y11" s="771"/>
      <c r="Z11" s="771"/>
      <c r="AA11" s="771"/>
      <c r="AB11" s="771"/>
      <c r="AC11" s="771"/>
      <c r="AD11" s="771"/>
      <c r="AE11" s="771"/>
      <c r="AF11" s="771"/>
      <c r="AG11" s="772"/>
      <c r="AH11" s="750">
        <f t="shared" si="1"/>
        <v>0</v>
      </c>
      <c r="AJ11" s="771"/>
      <c r="AK11" s="771"/>
      <c r="AL11" s="771"/>
      <c r="AM11" s="771"/>
      <c r="AN11" s="771"/>
      <c r="AO11" s="771"/>
      <c r="AP11" s="771"/>
      <c r="AQ11" s="771"/>
      <c r="AR11" s="771"/>
      <c r="AS11" s="771"/>
      <c r="AT11" s="771"/>
      <c r="AU11" s="772"/>
      <c r="AV11" s="750">
        <f t="shared" si="0"/>
        <v>0</v>
      </c>
      <c r="AX11" s="63">
        <v>386361250</v>
      </c>
      <c r="AY11" s="63">
        <v>92051947</v>
      </c>
      <c r="AZ11" s="63">
        <v>131326790</v>
      </c>
      <c r="BA11" s="63">
        <v>108801000</v>
      </c>
      <c r="BB11" s="63">
        <v>114861900</v>
      </c>
      <c r="BC11" s="64">
        <v>103701600</v>
      </c>
      <c r="BD11" s="60">
        <v>57646800</v>
      </c>
      <c r="BE11" s="60">
        <v>63532800</v>
      </c>
      <c r="BF11" s="60">
        <v>91345371</v>
      </c>
      <c r="BG11" s="60">
        <v>123447771</v>
      </c>
      <c r="BH11" s="60">
        <v>120913371</v>
      </c>
      <c r="BI11" s="60">
        <v>103172571</v>
      </c>
      <c r="BJ11" s="61">
        <f>SUM(AX11:BI11)</f>
        <v>1497163171</v>
      </c>
      <c r="BK11" s="54" t="str">
        <f>VLOOKUP($D11,'Trình bày'!$A:$A,1,0)</f>
        <v>RECKT-23.182.045</v>
      </c>
    </row>
    <row r="12" spans="1:63" s="43" customFormat="1" ht="282">
      <c r="A12" s="582">
        <f>IF(G12&lt;&gt;"",SUBTOTAL(103,$G$4:G12),"")</f>
        <v>9</v>
      </c>
      <c r="B12" s="55" t="s">
        <v>129</v>
      </c>
      <c r="C12" s="46" t="s">
        <v>149</v>
      </c>
      <c r="D12" s="46" t="s">
        <v>223</v>
      </c>
      <c r="E12" s="46" t="s">
        <v>164</v>
      </c>
      <c r="F12" s="44" t="s">
        <v>117</v>
      </c>
      <c r="G12" s="47" t="s">
        <v>31</v>
      </c>
      <c r="H12" s="62" t="s">
        <v>35</v>
      </c>
      <c r="I12" s="62" t="s">
        <v>222</v>
      </c>
      <c r="J12" s="57" t="s">
        <v>20</v>
      </c>
      <c r="K12" s="65" t="s">
        <v>33</v>
      </c>
      <c r="L12" s="62" t="s">
        <v>386</v>
      </c>
      <c r="M12" s="62" t="s">
        <v>266</v>
      </c>
      <c r="N12" s="50" t="s">
        <v>209</v>
      </c>
      <c r="O12" s="261">
        <v>2.4</v>
      </c>
      <c r="P12" s="974">
        <v>2024</v>
      </c>
      <c r="Q12" s="261">
        <v>1</v>
      </c>
      <c r="R12" s="269"/>
      <c r="S12" s="65"/>
      <c r="T12" s="65"/>
      <c r="V12" s="771"/>
      <c r="W12" s="771"/>
      <c r="X12" s="771"/>
      <c r="Y12" s="771"/>
      <c r="Z12" s="771"/>
      <c r="AA12" s="771"/>
      <c r="AB12" s="771"/>
      <c r="AC12" s="771"/>
      <c r="AD12" s="771"/>
      <c r="AE12" s="771"/>
      <c r="AF12" s="771"/>
      <c r="AG12" s="772"/>
      <c r="AH12" s="750">
        <f t="shared" si="1"/>
        <v>0</v>
      </c>
      <c r="AJ12" s="771"/>
      <c r="AK12" s="771"/>
      <c r="AL12" s="771"/>
      <c r="AM12" s="771"/>
      <c r="AN12" s="771"/>
      <c r="AO12" s="771"/>
      <c r="AP12" s="771"/>
      <c r="AQ12" s="771"/>
      <c r="AR12" s="771"/>
      <c r="AS12" s="771"/>
      <c r="AT12" s="771"/>
      <c r="AU12" s="772"/>
      <c r="AV12" s="750">
        <f t="shared" si="0"/>
        <v>0</v>
      </c>
      <c r="AX12" s="63">
        <v>63360000</v>
      </c>
      <c r="AY12" s="63">
        <v>39195200</v>
      </c>
      <c r="AZ12" s="63">
        <v>70976400</v>
      </c>
      <c r="BA12" s="63">
        <v>66528000</v>
      </c>
      <c r="BB12" s="63">
        <v>92928000</v>
      </c>
      <c r="BC12" s="64">
        <v>42240000</v>
      </c>
      <c r="BD12" s="60">
        <v>57024000</v>
      </c>
      <c r="BE12" s="60">
        <v>52800000</v>
      </c>
      <c r="BF12" s="60">
        <v>42240000</v>
      </c>
      <c r="BG12" s="60">
        <v>41184000</v>
      </c>
      <c r="BH12" s="60">
        <v>47520000</v>
      </c>
      <c r="BI12" s="60">
        <v>44352000</v>
      </c>
      <c r="BJ12" s="61">
        <f t="shared" si="2"/>
        <v>660347600</v>
      </c>
      <c r="BK12" s="42" t="str">
        <f>VLOOKUP($D12,'Trình bày'!$A:$A,1,0)</f>
        <v>2023-VANPHONG-TK-560</v>
      </c>
    </row>
    <row r="13" spans="1:63" s="77" customFormat="1" ht="63.65" customHeight="1">
      <c r="A13" s="1158">
        <f>IF(G13&lt;&gt;"",SUBTOTAL(103,$G$4:G13),"")</f>
        <v>10</v>
      </c>
      <c r="B13" s="66" t="s">
        <v>130</v>
      </c>
      <c r="C13" s="67" t="s">
        <v>150</v>
      </c>
      <c r="D13" s="67"/>
      <c r="E13" s="67" t="s">
        <v>361</v>
      </c>
      <c r="F13" s="266" t="s">
        <v>119</v>
      </c>
      <c r="G13" s="66" t="s">
        <v>36</v>
      </c>
      <c r="H13" s="68" t="s">
        <v>114</v>
      </c>
      <c r="I13" s="68"/>
      <c r="J13" s="69">
        <v>45599</v>
      </c>
      <c r="K13" s="70" t="s">
        <v>37</v>
      </c>
      <c r="L13" s="68"/>
      <c r="M13" s="68"/>
      <c r="N13" s="71" t="s">
        <v>209</v>
      </c>
      <c r="O13" s="262">
        <v>3</v>
      </c>
      <c r="P13" s="975">
        <v>2024</v>
      </c>
      <c r="Q13" s="262">
        <v>1</v>
      </c>
      <c r="R13" s="262"/>
      <c r="S13" s="70"/>
      <c r="T13" s="70" t="s">
        <v>981</v>
      </c>
      <c r="V13" s="764"/>
      <c r="W13" s="764"/>
      <c r="X13" s="764"/>
      <c r="Y13" s="764"/>
      <c r="Z13" s="764"/>
      <c r="AA13" s="764"/>
      <c r="AB13" s="764"/>
      <c r="AC13" s="764"/>
      <c r="AD13" s="764"/>
      <c r="AE13" s="764"/>
      <c r="AF13" s="764"/>
      <c r="AG13" s="765"/>
      <c r="AH13" s="752">
        <f t="shared" si="1"/>
        <v>0</v>
      </c>
      <c r="AJ13" s="764">
        <v>1471270900</v>
      </c>
      <c r="AK13" s="764">
        <v>369184226</v>
      </c>
      <c r="AL13" s="764">
        <v>124330739</v>
      </c>
      <c r="AM13" s="764">
        <v>442386366</v>
      </c>
      <c r="AN13" s="764">
        <v>1012228539</v>
      </c>
      <c r="AO13" s="764">
        <v>439632993</v>
      </c>
      <c r="AP13" s="764">
        <v>1513628125</v>
      </c>
      <c r="AQ13" s="764">
        <v>2022914472</v>
      </c>
      <c r="AR13" s="764">
        <v>194098996</v>
      </c>
      <c r="AS13" s="764">
        <v>6750210</v>
      </c>
      <c r="AT13" s="764">
        <v>92094600</v>
      </c>
      <c r="AU13" s="765"/>
      <c r="AV13" s="752">
        <f t="shared" si="0"/>
        <v>7688520166</v>
      </c>
      <c r="AX13" s="72">
        <v>28443000</v>
      </c>
      <c r="AY13" s="72">
        <v>41204000</v>
      </c>
      <c r="AZ13" s="72">
        <v>901893375</v>
      </c>
      <c r="BA13" s="73">
        <v>668329146</v>
      </c>
      <c r="BB13" s="72">
        <v>229238473</v>
      </c>
      <c r="BC13" s="74">
        <v>124531585</v>
      </c>
      <c r="BD13" s="74">
        <v>28271900</v>
      </c>
      <c r="BE13" s="74">
        <v>434304485</v>
      </c>
      <c r="BF13" s="74">
        <v>7403465480</v>
      </c>
      <c r="BG13" s="74">
        <v>42219000</v>
      </c>
      <c r="BH13" s="74">
        <v>143238519</v>
      </c>
      <c r="BI13" s="74">
        <v>14459268</v>
      </c>
      <c r="BJ13" s="75">
        <f>SUM(AX13:BI13)</f>
        <v>10059598231</v>
      </c>
      <c r="BK13" s="76" t="e">
        <f>VLOOKUP($D13,'Trình bày'!$A:$A,1,0)</f>
        <v>#N/A</v>
      </c>
    </row>
    <row r="14" spans="1:63" s="43" customFormat="1" ht="63.65" customHeight="1">
      <c r="A14" s="582">
        <f>IF(G14&lt;&gt;"",SUBTOTAL(103,$G$4:G14),"")</f>
        <v>11</v>
      </c>
      <c r="B14" s="55" t="s">
        <v>131</v>
      </c>
      <c r="C14" s="46" t="s">
        <v>151</v>
      </c>
      <c r="D14" s="46"/>
      <c r="E14" s="46" t="s">
        <v>361</v>
      </c>
      <c r="F14" s="44" t="s">
        <v>117</v>
      </c>
      <c r="G14" s="55" t="s">
        <v>38</v>
      </c>
      <c r="H14" s="62" t="s">
        <v>40</v>
      </c>
      <c r="I14" s="62"/>
      <c r="J14" s="78" t="s">
        <v>39</v>
      </c>
      <c r="K14" s="65" t="s">
        <v>41</v>
      </c>
      <c r="L14" s="62"/>
      <c r="M14" s="62"/>
      <c r="N14" s="773" t="s">
        <v>209</v>
      </c>
      <c r="O14" s="261"/>
      <c r="P14" s="974">
        <v>2024</v>
      </c>
      <c r="Q14" s="261">
        <v>1</v>
      </c>
      <c r="R14" s="269"/>
      <c r="S14" s="65"/>
      <c r="T14" s="65"/>
      <c r="V14" s="771"/>
      <c r="W14" s="771"/>
      <c r="X14" s="771"/>
      <c r="Y14" s="771"/>
      <c r="Z14" s="771"/>
      <c r="AA14" s="771"/>
      <c r="AB14" s="771"/>
      <c r="AC14" s="771"/>
      <c r="AD14" s="771"/>
      <c r="AE14" s="771"/>
      <c r="AF14" s="771"/>
      <c r="AG14" s="772"/>
      <c r="AH14" s="750">
        <f t="shared" si="1"/>
        <v>0</v>
      </c>
      <c r="AJ14" s="771"/>
      <c r="AK14" s="771"/>
      <c r="AL14" s="771"/>
      <c r="AM14" s="771"/>
      <c r="AN14" s="771"/>
      <c r="AO14" s="771"/>
      <c r="AP14" s="771"/>
      <c r="AQ14" s="771"/>
      <c r="AR14" s="771"/>
      <c r="AS14" s="771"/>
      <c r="AT14" s="771"/>
      <c r="AU14" s="772"/>
      <c r="AV14" s="750">
        <f t="shared" si="0"/>
        <v>0</v>
      </c>
      <c r="AX14" s="63">
        <f>2467275641/12</f>
        <v>205606303.41666666</v>
      </c>
      <c r="AY14" s="63"/>
      <c r="AZ14" s="63"/>
      <c r="BA14" s="774"/>
      <c r="BB14" s="63"/>
      <c r="BC14" s="64"/>
      <c r="BD14" s="64"/>
      <c r="BE14" s="64"/>
      <c r="BF14" s="64">
        <v>0</v>
      </c>
      <c r="BG14" s="64"/>
      <c r="BH14" s="64"/>
      <c r="BI14" s="64"/>
      <c r="BJ14" s="61">
        <f t="shared" si="2"/>
        <v>205606303.41666666</v>
      </c>
      <c r="BK14" s="42" t="e">
        <f>VLOOKUP($D14,'Trình bày'!$A:$A,1,0)</f>
        <v>#N/A</v>
      </c>
    </row>
    <row r="15" spans="1:63" s="43" customFormat="1" ht="63.65" customHeight="1">
      <c r="A15" s="583">
        <f>IF(G15&lt;&gt;"",SUBTOTAL(103,$G$4:G15),"")</f>
        <v>12</v>
      </c>
      <c r="B15" s="55" t="s">
        <v>132</v>
      </c>
      <c r="C15" s="46" t="s">
        <v>152</v>
      </c>
      <c r="D15" s="46"/>
      <c r="E15" s="46" t="s">
        <v>361</v>
      </c>
      <c r="F15" s="44" t="s">
        <v>117</v>
      </c>
      <c r="G15" s="55" t="s">
        <v>38</v>
      </c>
      <c r="H15" s="62" t="s">
        <v>42</v>
      </c>
      <c r="I15" s="62"/>
      <c r="J15" s="78" t="s">
        <v>39</v>
      </c>
      <c r="K15" s="65" t="s">
        <v>41</v>
      </c>
      <c r="L15" s="62"/>
      <c r="M15" s="62"/>
      <c r="N15" s="773" t="s">
        <v>209</v>
      </c>
      <c r="O15" s="261"/>
      <c r="P15" s="974">
        <v>2024</v>
      </c>
      <c r="Q15" s="261">
        <v>1</v>
      </c>
      <c r="R15" s="269"/>
      <c r="S15" s="65"/>
      <c r="T15" s="65"/>
      <c r="V15" s="771"/>
      <c r="W15" s="771"/>
      <c r="X15" s="771"/>
      <c r="Y15" s="771"/>
      <c r="Z15" s="771"/>
      <c r="AA15" s="771"/>
      <c r="AB15" s="771"/>
      <c r="AC15" s="771"/>
      <c r="AD15" s="771"/>
      <c r="AE15" s="771"/>
      <c r="AF15" s="771"/>
      <c r="AG15" s="772"/>
      <c r="AH15" s="750">
        <f t="shared" si="1"/>
        <v>0</v>
      </c>
      <c r="AJ15" s="771"/>
      <c r="AK15" s="771"/>
      <c r="AL15" s="771"/>
      <c r="AM15" s="771"/>
      <c r="AN15" s="771"/>
      <c r="AO15" s="771"/>
      <c r="AP15" s="771"/>
      <c r="AQ15" s="771"/>
      <c r="AR15" s="771"/>
      <c r="AS15" s="771"/>
      <c r="AT15" s="771"/>
      <c r="AU15" s="772"/>
      <c r="AV15" s="750">
        <f t="shared" si="0"/>
        <v>0</v>
      </c>
      <c r="AX15" s="63">
        <f>14408180/12</f>
        <v>1200681.6666666667</v>
      </c>
      <c r="AY15" s="63"/>
      <c r="AZ15" s="63"/>
      <c r="BA15" s="774"/>
      <c r="BB15" s="63"/>
      <c r="BC15" s="64"/>
      <c r="BD15" s="64"/>
      <c r="BE15" s="64"/>
      <c r="BF15" s="64">
        <v>0</v>
      </c>
      <c r="BG15" s="64"/>
      <c r="BH15" s="64"/>
      <c r="BI15" s="64"/>
      <c r="BJ15" s="79">
        <f t="shared" si="2"/>
        <v>1200681.6666666667</v>
      </c>
      <c r="BK15" s="42" t="e">
        <f>VLOOKUP($D15,'Trình bày'!$A:$A,1,0)</f>
        <v>#N/A</v>
      </c>
    </row>
    <row r="16" spans="1:63" s="43" customFormat="1" ht="141">
      <c r="A16" s="582">
        <f>IF(G16&lt;&gt;"",SUBTOTAL(103,$G$4:G16),"")</f>
        <v>13</v>
      </c>
      <c r="B16" s="55" t="s">
        <v>133</v>
      </c>
      <c r="C16" s="46" t="s">
        <v>153</v>
      </c>
      <c r="D16" s="46" t="s">
        <v>201</v>
      </c>
      <c r="E16" s="46" t="s">
        <v>167</v>
      </c>
      <c r="F16" s="44" t="s">
        <v>117</v>
      </c>
      <c r="G16" s="47" t="s">
        <v>38</v>
      </c>
      <c r="H16" s="62" t="s">
        <v>120</v>
      </c>
      <c r="I16" s="62" t="s">
        <v>224</v>
      </c>
      <c r="J16" s="65" t="s">
        <v>43</v>
      </c>
      <c r="K16" s="65" t="s">
        <v>44</v>
      </c>
      <c r="L16" s="62" t="s">
        <v>290</v>
      </c>
      <c r="M16" s="62" t="s">
        <v>292</v>
      </c>
      <c r="N16" s="50" t="s">
        <v>209</v>
      </c>
      <c r="O16" s="261">
        <v>0.3</v>
      </c>
      <c r="P16" s="974">
        <v>2024</v>
      </c>
      <c r="Q16" s="261">
        <v>3</v>
      </c>
      <c r="R16" s="269"/>
      <c r="S16" s="65"/>
      <c r="T16" s="65" t="s">
        <v>980</v>
      </c>
      <c r="V16" s="762"/>
      <c r="W16" s="762"/>
      <c r="X16" s="771"/>
      <c r="Y16" s="771"/>
      <c r="Z16" s="771"/>
      <c r="AA16" s="771"/>
      <c r="AB16" s="771"/>
      <c r="AC16" s="771"/>
      <c r="AD16" s="771"/>
      <c r="AE16" s="771"/>
      <c r="AF16" s="771"/>
      <c r="AG16" s="772"/>
      <c r="AH16" s="750">
        <f t="shared" si="1"/>
        <v>0</v>
      </c>
      <c r="AJ16" s="762">
        <v>19545754</v>
      </c>
      <c r="AK16" s="762">
        <v>19545754</v>
      </c>
      <c r="AL16" s="771"/>
      <c r="AM16" s="771"/>
      <c r="AN16" s="771"/>
      <c r="AO16" s="771"/>
      <c r="AP16" s="771"/>
      <c r="AQ16" s="771"/>
      <c r="AR16" s="771"/>
      <c r="AS16" s="771"/>
      <c r="AT16" s="771"/>
      <c r="AU16" s="772"/>
      <c r="AV16" s="750">
        <f t="shared" si="0"/>
        <v>39091508</v>
      </c>
      <c r="AX16" s="63"/>
      <c r="AY16" s="63"/>
      <c r="AZ16" s="63">
        <v>19545754.285714284</v>
      </c>
      <c r="BA16" s="63">
        <v>19545754.285714284</v>
      </c>
      <c r="BB16" s="63">
        <v>19545754.285714284</v>
      </c>
      <c r="BC16" s="64">
        <v>19545754.285714284</v>
      </c>
      <c r="BD16" s="60">
        <v>19545754.285714284</v>
      </c>
      <c r="BE16" s="60">
        <v>19545754.285714284</v>
      </c>
      <c r="BF16" s="60">
        <v>19545754.285714284</v>
      </c>
      <c r="BG16" s="60">
        <v>19545754.285714284</v>
      </c>
      <c r="BH16" s="60">
        <v>19545754.285714284</v>
      </c>
      <c r="BI16" s="60">
        <v>19545754.285714284</v>
      </c>
      <c r="BJ16" s="61">
        <f>SUM(AX16:BI16)</f>
        <v>195457542.85714281</v>
      </c>
      <c r="BK16" s="42" t="str">
        <f>VLOOKUP($D16,'Trình bày'!$A:$A,1,0)</f>
        <v>2024-KT-CTST-64</v>
      </c>
    </row>
    <row r="17" spans="1:63" s="43" customFormat="1" ht="141">
      <c r="A17" s="583">
        <f>IF(G17&lt;&gt;"",SUBTOTAL(103,$G$4:G17),"")</f>
        <v>14</v>
      </c>
      <c r="B17" s="55" t="s">
        <v>134</v>
      </c>
      <c r="C17" s="46" t="s">
        <v>154</v>
      </c>
      <c r="D17" s="46" t="s">
        <v>202</v>
      </c>
      <c r="E17" s="46" t="s">
        <v>164</v>
      </c>
      <c r="F17" s="44" t="s">
        <v>117</v>
      </c>
      <c r="G17" s="47" t="s">
        <v>38</v>
      </c>
      <c r="H17" s="62" t="s">
        <v>45</v>
      </c>
      <c r="I17" s="62" t="s">
        <v>45</v>
      </c>
      <c r="J17" s="65" t="s">
        <v>43</v>
      </c>
      <c r="K17" s="65" t="s">
        <v>41</v>
      </c>
      <c r="L17" s="62" t="s">
        <v>294</v>
      </c>
      <c r="M17" s="62" t="s">
        <v>295</v>
      </c>
      <c r="N17" s="50" t="s">
        <v>209</v>
      </c>
      <c r="O17" s="261">
        <v>6.2</v>
      </c>
      <c r="P17" s="974">
        <v>2024</v>
      </c>
      <c r="Q17" s="261">
        <v>3</v>
      </c>
      <c r="R17" s="269"/>
      <c r="S17" s="65"/>
      <c r="T17" s="65" t="s">
        <v>980</v>
      </c>
      <c r="V17" s="762"/>
      <c r="W17" s="762"/>
      <c r="X17" s="771"/>
      <c r="Y17" s="771"/>
      <c r="Z17" s="771"/>
      <c r="AA17" s="771"/>
      <c r="AB17" s="771"/>
      <c r="AC17" s="771"/>
      <c r="AD17" s="771"/>
      <c r="AE17" s="771"/>
      <c r="AF17" s="771"/>
      <c r="AG17" s="772"/>
      <c r="AH17" s="750">
        <f t="shared" si="1"/>
        <v>0</v>
      </c>
      <c r="AJ17" s="762">
        <v>100639554</v>
      </c>
      <c r="AK17" s="762">
        <v>84473783</v>
      </c>
      <c r="AL17" s="771"/>
      <c r="AM17" s="771"/>
      <c r="AN17" s="771"/>
      <c r="AO17" s="771"/>
      <c r="AP17" s="771"/>
      <c r="AQ17" s="771"/>
      <c r="AR17" s="771"/>
      <c r="AS17" s="771"/>
      <c r="AT17" s="771"/>
      <c r="AU17" s="772"/>
      <c r="AV17" s="750">
        <f t="shared" si="0"/>
        <v>185113337</v>
      </c>
      <c r="AX17" s="63">
        <v>0</v>
      </c>
      <c r="AY17" s="63">
        <v>0</v>
      </c>
      <c r="AZ17" s="63">
        <v>4932962.393363337</v>
      </c>
      <c r="BA17" s="63">
        <v>48896451.424860328</v>
      </c>
      <c r="BB17" s="63">
        <v>79878707.596227616</v>
      </c>
      <c r="BC17" s="64">
        <v>70655249.88314876</v>
      </c>
      <c r="BD17" s="60">
        <v>23625935.113495946</v>
      </c>
      <c r="BE17" s="60">
        <v>21895381.96066685</v>
      </c>
      <c r="BF17" s="60">
        <v>69502564.715685442</v>
      </c>
      <c r="BG17" s="60">
        <v>76283009.763950348</v>
      </c>
      <c r="BH17" s="60">
        <v>114751895.51704624</v>
      </c>
      <c r="BI17" s="60">
        <v>64621270.669534497</v>
      </c>
      <c r="BJ17" s="61">
        <f>SUM(AX17:BI17)</f>
        <v>575043429.03797925</v>
      </c>
      <c r="BK17" s="54" t="str">
        <f>VLOOKUP($D17,'Trình bày'!$A:$A,1,0)</f>
        <v>2024-KT-CTST-56</v>
      </c>
    </row>
    <row r="18" spans="1:63" s="43" customFormat="1" ht="164.5">
      <c r="A18" s="582">
        <f>IF(G18&lt;&gt;"",SUBTOTAL(103,$G$4:G18),"")</f>
        <v>15</v>
      </c>
      <c r="B18" s="55" t="s">
        <v>135</v>
      </c>
      <c r="C18" s="46" t="s">
        <v>155</v>
      </c>
      <c r="D18" s="46" t="s">
        <v>203</v>
      </c>
      <c r="E18" s="46" t="s">
        <v>164</v>
      </c>
      <c r="F18" s="44" t="s">
        <v>118</v>
      </c>
      <c r="G18" s="47" t="s">
        <v>38</v>
      </c>
      <c r="H18" s="56" t="s">
        <v>46</v>
      </c>
      <c r="I18" s="56" t="s">
        <v>226</v>
      </c>
      <c r="J18" s="57" t="s">
        <v>47</v>
      </c>
      <c r="K18" s="58" t="s">
        <v>48</v>
      </c>
      <c r="L18" s="56" t="s">
        <v>299</v>
      </c>
      <c r="M18" s="56" t="s">
        <v>387</v>
      </c>
      <c r="N18" s="50" t="s">
        <v>209</v>
      </c>
      <c r="O18" s="261">
        <v>2.6</v>
      </c>
      <c r="P18" s="974">
        <v>2024</v>
      </c>
      <c r="Q18" s="261">
        <v>4</v>
      </c>
      <c r="R18" s="261"/>
      <c r="S18" s="58"/>
      <c r="T18" s="58" t="s">
        <v>980</v>
      </c>
      <c r="V18" s="756"/>
      <c r="W18" s="756"/>
      <c r="X18" s="756"/>
      <c r="Y18" s="758"/>
      <c r="Z18" s="758"/>
      <c r="AA18" s="758"/>
      <c r="AB18" s="758"/>
      <c r="AC18" s="758"/>
      <c r="AD18" s="758"/>
      <c r="AE18" s="758"/>
      <c r="AF18" s="758"/>
      <c r="AG18" s="759"/>
      <c r="AH18" s="751">
        <f t="shared" si="1"/>
        <v>0</v>
      </c>
      <c r="AJ18" s="756">
        <v>20662785</v>
      </c>
      <c r="AK18" s="756">
        <v>20662785</v>
      </c>
      <c r="AL18" s="756">
        <v>20662785</v>
      </c>
      <c r="AM18" s="758"/>
      <c r="AN18" s="758"/>
      <c r="AO18" s="758"/>
      <c r="AP18" s="758"/>
      <c r="AQ18" s="758"/>
      <c r="AR18" s="758"/>
      <c r="AS18" s="758"/>
      <c r="AT18" s="758"/>
      <c r="AU18" s="759"/>
      <c r="AV18" s="751">
        <f t="shared" si="0"/>
        <v>61988355</v>
      </c>
      <c r="AX18" s="63"/>
      <c r="AY18" s="63"/>
      <c r="AZ18" s="63"/>
      <c r="BA18" s="63">
        <v>20662785</v>
      </c>
      <c r="BB18" s="63">
        <v>20662785</v>
      </c>
      <c r="BC18" s="64">
        <f>247953420/12</f>
        <v>20662785</v>
      </c>
      <c r="BD18" s="60">
        <v>20662785</v>
      </c>
      <c r="BE18" s="60">
        <v>20662785</v>
      </c>
      <c r="BF18" s="60">
        <v>20662785</v>
      </c>
      <c r="BG18" s="60">
        <v>20662785</v>
      </c>
      <c r="BH18" s="60">
        <v>20662785</v>
      </c>
      <c r="BI18" s="60">
        <v>20662785</v>
      </c>
      <c r="BJ18" s="61">
        <f t="shared" si="2"/>
        <v>185965065</v>
      </c>
      <c r="BK18" s="54" t="str">
        <f>VLOOKUP($D18,'Trình bày'!$A:$A,1,0)</f>
        <v>2024-NL-CTST-63</v>
      </c>
    </row>
    <row r="19" spans="1:63" s="43" customFormat="1" ht="47">
      <c r="A19" s="583">
        <f>IF(G19&lt;&gt;"",SUBTOTAL(103,$G$4:G19),"")</f>
        <v>16</v>
      </c>
      <c r="B19" s="55" t="s">
        <v>136</v>
      </c>
      <c r="C19" s="46" t="s">
        <v>156</v>
      </c>
      <c r="D19" s="46" t="s">
        <v>204</v>
      </c>
      <c r="E19" s="46" t="s">
        <v>361</v>
      </c>
      <c r="F19" s="44" t="s">
        <v>118</v>
      </c>
      <c r="G19" s="47" t="s">
        <v>38</v>
      </c>
      <c r="H19" s="62" t="s">
        <v>49</v>
      </c>
      <c r="I19" s="62" t="s">
        <v>227</v>
      </c>
      <c r="J19" s="78" t="s">
        <v>50</v>
      </c>
      <c r="K19" s="1354" t="s">
        <v>41</v>
      </c>
      <c r="L19" s="62" t="s">
        <v>388</v>
      </c>
      <c r="M19" s="62"/>
      <c r="N19" s="50" t="s">
        <v>209</v>
      </c>
      <c r="O19" s="261">
        <v>15</v>
      </c>
      <c r="P19" s="974">
        <v>2024</v>
      </c>
      <c r="Q19" s="261">
        <v>5</v>
      </c>
      <c r="R19" s="261"/>
      <c r="S19" s="65"/>
      <c r="T19" s="1354" t="s">
        <v>980</v>
      </c>
      <c r="V19" s="756"/>
      <c r="W19" s="756"/>
      <c r="X19" s="756"/>
      <c r="Y19" s="756"/>
      <c r="Z19" s="756"/>
      <c r="AA19" s="756"/>
      <c r="AB19" s="756"/>
      <c r="AC19" s="756"/>
      <c r="AD19" s="756"/>
      <c r="AE19" s="756"/>
      <c r="AF19" s="758"/>
      <c r="AG19" s="759"/>
      <c r="AH19" s="1353">
        <f t="shared" si="1"/>
        <v>0</v>
      </c>
      <c r="AJ19" s="756">
        <v>4160044</v>
      </c>
      <c r="AK19" s="756">
        <v>73747994</v>
      </c>
      <c r="AL19" s="756">
        <v>4160043.375</v>
      </c>
      <c r="AM19" s="756">
        <v>4160044</v>
      </c>
      <c r="AN19" s="756">
        <v>4160043</v>
      </c>
      <c r="AO19" s="756"/>
      <c r="AP19" s="756">
        <v>215954214</v>
      </c>
      <c r="AQ19" s="756">
        <v>4162391</v>
      </c>
      <c r="AR19" s="756">
        <v>212274784</v>
      </c>
      <c r="AS19" s="756"/>
      <c r="AT19" s="758"/>
      <c r="AU19" s="759"/>
      <c r="AV19" s="1353">
        <f t="shared" si="0"/>
        <v>522779557.375</v>
      </c>
      <c r="AX19" s="759">
        <v>0</v>
      </c>
      <c r="AY19" s="759">
        <v>0</v>
      </c>
      <c r="AZ19" s="759">
        <v>0</v>
      </c>
      <c r="BA19" s="759">
        <v>0</v>
      </c>
      <c r="BB19" s="759">
        <v>0</v>
      </c>
      <c r="BC19" s="759">
        <v>0</v>
      </c>
      <c r="BD19" s="759">
        <v>0</v>
      </c>
      <c r="BE19" s="759">
        <v>0</v>
      </c>
      <c r="BF19" s="759">
        <v>0</v>
      </c>
      <c r="BG19" s="759">
        <v>0</v>
      </c>
      <c r="BH19" s="60">
        <v>77908037.375</v>
      </c>
      <c r="BI19" s="60"/>
      <c r="BJ19" s="79">
        <f>SUM(AX19:BI19)</f>
        <v>77908037.375</v>
      </c>
      <c r="BK19" s="42" t="str">
        <f>VLOOKUP($D19,'Trình bày'!$A:$A,1,0)</f>
        <v>2024-KT-TK-39</v>
      </c>
    </row>
    <row r="20" spans="1:63" s="43" customFormat="1" ht="117.5">
      <c r="A20" s="582">
        <f>IF(G20&lt;&gt;"",SUBTOTAL(103,$G$4:G20),"")</f>
        <v>17</v>
      </c>
      <c r="B20" s="55" t="s">
        <v>137</v>
      </c>
      <c r="C20" s="46" t="s">
        <v>157</v>
      </c>
      <c r="D20" s="46" t="s">
        <v>205</v>
      </c>
      <c r="E20" s="46" t="s">
        <v>164</v>
      </c>
      <c r="F20" s="44" t="s">
        <v>117</v>
      </c>
      <c r="G20" s="47" t="s">
        <v>51</v>
      </c>
      <c r="H20" s="62" t="s">
        <v>52</v>
      </c>
      <c r="I20" s="62" t="s">
        <v>225</v>
      </c>
      <c r="J20" s="78" t="s">
        <v>50</v>
      </c>
      <c r="K20" s="1354" t="s">
        <v>53</v>
      </c>
      <c r="L20" s="62"/>
      <c r="M20" s="62"/>
      <c r="N20" s="50" t="s">
        <v>209</v>
      </c>
      <c r="O20" s="261">
        <v>4.5</v>
      </c>
      <c r="P20" s="974">
        <v>2024</v>
      </c>
      <c r="Q20" s="261">
        <v>5</v>
      </c>
      <c r="R20" s="269"/>
      <c r="S20" s="65"/>
      <c r="T20" s="1354" t="s">
        <v>980</v>
      </c>
      <c r="V20" s="762"/>
      <c r="W20" s="762"/>
      <c r="X20" s="762"/>
      <c r="Y20" s="762"/>
      <c r="Z20" s="771"/>
      <c r="AA20" s="771"/>
      <c r="AB20" s="771"/>
      <c r="AC20" s="771"/>
      <c r="AD20" s="771"/>
      <c r="AE20" s="771"/>
      <c r="AF20" s="771"/>
      <c r="AG20" s="772"/>
      <c r="AH20" s="750">
        <f t="shared" si="1"/>
        <v>0</v>
      </c>
      <c r="AJ20" s="762">
        <v>112657694</v>
      </c>
      <c r="AK20" s="762">
        <v>87741300.364986032</v>
      </c>
      <c r="AL20" s="762">
        <v>170766283</v>
      </c>
      <c r="AM20" s="762">
        <v>151634053</v>
      </c>
      <c r="AN20" s="771"/>
      <c r="AO20" s="771"/>
      <c r="AP20" s="771"/>
      <c r="AQ20" s="771"/>
      <c r="AR20" s="771"/>
      <c r="AS20" s="771"/>
      <c r="AT20" s="771"/>
      <c r="AU20" s="772"/>
      <c r="AV20" s="750">
        <f t="shared" si="0"/>
        <v>522799330.36498606</v>
      </c>
      <c r="AX20" s="63">
        <v>0</v>
      </c>
      <c r="AY20" s="63">
        <v>0</v>
      </c>
      <c r="AZ20" s="63">
        <v>0</v>
      </c>
      <c r="BA20" s="63">
        <v>0</v>
      </c>
      <c r="BB20" s="63">
        <v>166583888.7254096</v>
      </c>
      <c r="BC20" s="64">
        <v>143447237.51354715</v>
      </c>
      <c r="BD20" s="60">
        <v>4538343.1223268621</v>
      </c>
      <c r="BE20" s="60">
        <v>61509838.912700474</v>
      </c>
      <c r="BF20" s="60">
        <v>102791611.08092067</v>
      </c>
      <c r="BG20" s="60">
        <v>139123636.49136671</v>
      </c>
      <c r="BH20" s="60">
        <v>158486060.80125767</v>
      </c>
      <c r="BI20" s="60">
        <v>149231400.31651267</v>
      </c>
      <c r="BJ20" s="61">
        <f t="shared" si="2"/>
        <v>925712016.96404183</v>
      </c>
      <c r="BK20" s="42" t="str">
        <f>VLOOKUP($D20,'Trình bày'!$A:$A,1,0)</f>
        <v>2024-DTR-TK-206</v>
      </c>
    </row>
    <row r="21" spans="1:63" s="43" customFormat="1" ht="141">
      <c r="A21" s="583">
        <f>IF(G21&lt;&gt;"",SUBTOTAL(103,$G$4:G21),"")</f>
        <v>18</v>
      </c>
      <c r="B21" s="55" t="s">
        <v>138</v>
      </c>
      <c r="C21" s="46" t="s">
        <v>158</v>
      </c>
      <c r="D21" s="46" t="s">
        <v>206</v>
      </c>
      <c r="E21" s="46" t="s">
        <v>167</v>
      </c>
      <c r="F21" s="44" t="s">
        <v>117</v>
      </c>
      <c r="G21" s="47" t="s">
        <v>38</v>
      </c>
      <c r="H21" s="62" t="s">
        <v>54</v>
      </c>
      <c r="I21" s="62" t="s">
        <v>54</v>
      </c>
      <c r="J21" s="78" t="s">
        <v>55</v>
      </c>
      <c r="K21" s="65" t="s">
        <v>57</v>
      </c>
      <c r="L21" s="62"/>
      <c r="M21" s="62"/>
      <c r="N21" s="50" t="s">
        <v>209</v>
      </c>
      <c r="O21" s="261">
        <v>0.1</v>
      </c>
      <c r="P21" s="974">
        <v>2024</v>
      </c>
      <c r="Q21" s="261">
        <v>5</v>
      </c>
      <c r="R21" s="269"/>
      <c r="S21" s="65"/>
      <c r="T21" s="65" t="s">
        <v>980</v>
      </c>
      <c r="V21" s="762"/>
      <c r="W21" s="762"/>
      <c r="X21" s="762"/>
      <c r="Y21" s="762"/>
      <c r="Z21" s="771"/>
      <c r="AA21" s="771"/>
      <c r="AB21" s="771"/>
      <c r="AC21" s="771"/>
      <c r="AD21" s="771"/>
      <c r="AE21" s="771"/>
      <c r="AF21" s="771"/>
      <c r="AG21" s="772"/>
      <c r="AH21" s="750">
        <f t="shared" si="1"/>
        <v>0</v>
      </c>
      <c r="AJ21" s="762"/>
      <c r="AK21" s="762">
        <v>6864375</v>
      </c>
      <c r="AL21" s="762">
        <v>5557125</v>
      </c>
      <c r="AM21" s="762">
        <v>5062313</v>
      </c>
      <c r="AN21" s="771"/>
      <c r="AO21" s="771"/>
      <c r="AP21" s="771"/>
      <c r="AQ21" s="771"/>
      <c r="AR21" s="771"/>
      <c r="AS21" s="771"/>
      <c r="AT21" s="771"/>
      <c r="AU21" s="772"/>
      <c r="AV21" s="750">
        <f t="shared" si="0"/>
        <v>17483813</v>
      </c>
      <c r="AX21" s="63">
        <v>0</v>
      </c>
      <c r="AY21" s="63">
        <v>0</v>
      </c>
      <c r="AZ21" s="63">
        <v>0</v>
      </c>
      <c r="BA21" s="63">
        <v>0</v>
      </c>
      <c r="BB21" s="63">
        <v>5228343.75</v>
      </c>
      <c r="BC21" s="64">
        <v>4752956.2499999991</v>
      </c>
      <c r="BD21" s="60">
        <v>0</v>
      </c>
      <c r="BE21" s="60">
        <v>2628937.4999999995</v>
      </c>
      <c r="BF21" s="60">
        <v>3844312.5</v>
      </c>
      <c r="BG21" s="60">
        <v>4541250</v>
      </c>
      <c r="BH21" s="60">
        <v>5102343.75</v>
      </c>
      <c r="BI21" s="60">
        <v>4612125</v>
      </c>
      <c r="BJ21" s="61">
        <f t="shared" si="2"/>
        <v>30710268.75</v>
      </c>
      <c r="BK21" s="42" t="str">
        <f>VLOOKUP($D21,'Trình bày'!$A:$A,1,0)</f>
        <v>2024-KT-TK-182</v>
      </c>
    </row>
    <row r="22" spans="1:63" s="43" customFormat="1" ht="332.15" customHeight="1">
      <c r="A22" s="582">
        <f>IF(G22&lt;&gt;"",SUBTOTAL(103,$G$4:G22),"")</f>
        <v>19</v>
      </c>
      <c r="B22" s="55" t="s">
        <v>139</v>
      </c>
      <c r="C22" s="46" t="s">
        <v>159</v>
      </c>
      <c r="D22" s="46" t="s">
        <v>207</v>
      </c>
      <c r="E22" s="46" t="s">
        <v>164</v>
      </c>
      <c r="F22" s="44" t="s">
        <v>117</v>
      </c>
      <c r="G22" s="47" t="s">
        <v>38</v>
      </c>
      <c r="H22" s="62" t="s">
        <v>56</v>
      </c>
      <c r="I22" s="62" t="s">
        <v>56</v>
      </c>
      <c r="J22" s="78" t="s">
        <v>50</v>
      </c>
      <c r="K22" s="65" t="s">
        <v>57</v>
      </c>
      <c r="L22" s="62"/>
      <c r="M22" s="62"/>
      <c r="N22" s="50" t="s">
        <v>209</v>
      </c>
      <c r="O22" s="261">
        <v>0.6</v>
      </c>
      <c r="P22" s="974">
        <v>2024</v>
      </c>
      <c r="Q22" s="261">
        <v>5</v>
      </c>
      <c r="R22" s="269"/>
      <c r="S22" s="65"/>
      <c r="T22" s="65"/>
      <c r="V22" s="762"/>
      <c r="W22" s="762"/>
      <c r="X22" s="762"/>
      <c r="Y22" s="771"/>
      <c r="Z22" s="771"/>
      <c r="AA22" s="771"/>
      <c r="AB22" s="771"/>
      <c r="AC22" s="771"/>
      <c r="AD22" s="771"/>
      <c r="AE22" s="771"/>
      <c r="AF22" s="771"/>
      <c r="AG22" s="772"/>
      <c r="AH22" s="750">
        <f t="shared" si="1"/>
        <v>0</v>
      </c>
      <c r="AJ22" s="762"/>
      <c r="AK22" s="762"/>
      <c r="AL22" s="762"/>
      <c r="AM22" s="771"/>
      <c r="AN22" s="771"/>
      <c r="AO22" s="771"/>
      <c r="AP22" s="771"/>
      <c r="AQ22" s="771"/>
      <c r="AR22" s="771"/>
      <c r="AS22" s="771"/>
      <c r="AT22" s="771"/>
      <c r="AU22" s="772"/>
      <c r="AV22" s="750">
        <f t="shared" si="0"/>
        <v>0</v>
      </c>
      <c r="AX22" s="63">
        <v>0</v>
      </c>
      <c r="AY22" s="63">
        <v>0</v>
      </c>
      <c r="AZ22" s="63">
        <v>0</v>
      </c>
      <c r="BA22" s="63">
        <v>0</v>
      </c>
      <c r="BB22" s="63">
        <v>0</v>
      </c>
      <c r="BC22" s="64">
        <v>33055526.315789472</v>
      </c>
      <c r="BD22" s="60">
        <v>145506631.57894737</v>
      </c>
      <c r="BE22" s="60">
        <v>0</v>
      </c>
      <c r="BF22" s="60">
        <v>7652473.684210524</v>
      </c>
      <c r="BG22" s="60">
        <v>0</v>
      </c>
      <c r="BH22" s="60">
        <v>0</v>
      </c>
      <c r="BI22" s="60">
        <v>189000000</v>
      </c>
      <c r="BJ22" s="79">
        <f>SUM(AX22:BI22)</f>
        <v>375214631.57894737</v>
      </c>
      <c r="BK22" s="42" t="str">
        <f>VLOOKUP($D22,'Trình bày'!$A:$A,1,0)</f>
        <v>2024-KT-TK-290</v>
      </c>
    </row>
    <row r="23" spans="1:63" s="43" customFormat="1" ht="141">
      <c r="A23" s="583">
        <f>IF(G23&lt;&gt;"",SUBTOTAL(103,$G$4:G23),"")</f>
        <v>20</v>
      </c>
      <c r="B23" s="55" t="s">
        <v>140</v>
      </c>
      <c r="C23" s="46" t="s">
        <v>160</v>
      </c>
      <c r="D23" s="46">
        <v>240607002</v>
      </c>
      <c r="E23" s="46" t="s">
        <v>361</v>
      </c>
      <c r="F23" s="44" t="s">
        <v>119</v>
      </c>
      <c r="G23" s="47" t="s">
        <v>58</v>
      </c>
      <c r="H23" s="62" t="s">
        <v>59</v>
      </c>
      <c r="I23" s="62" t="s">
        <v>228</v>
      </c>
      <c r="J23" s="78"/>
      <c r="K23" s="65" t="s">
        <v>546</v>
      </c>
      <c r="L23" s="62" t="s">
        <v>389</v>
      </c>
      <c r="M23" s="62" t="s">
        <v>390</v>
      </c>
      <c r="N23" s="50" t="s">
        <v>209</v>
      </c>
      <c r="O23" s="261">
        <v>0.17164229387172386</v>
      </c>
      <c r="P23" s="974">
        <v>2024</v>
      </c>
      <c r="Q23" s="261">
        <v>6</v>
      </c>
      <c r="R23" s="261"/>
      <c r="S23" s="65"/>
      <c r="T23" s="65"/>
      <c r="V23" s="756"/>
      <c r="W23" s="756"/>
      <c r="X23" s="756"/>
      <c r="Y23" s="756"/>
      <c r="Z23" s="756"/>
      <c r="AA23" s="756"/>
      <c r="AB23" s="756"/>
      <c r="AC23" s="756"/>
      <c r="AD23" s="756"/>
      <c r="AE23" s="756"/>
      <c r="AF23" s="756"/>
      <c r="AG23" s="757"/>
      <c r="AH23" s="751">
        <f t="shared" si="1"/>
        <v>0</v>
      </c>
      <c r="AJ23" s="756"/>
      <c r="AK23" s="756"/>
      <c r="AL23" s="756"/>
      <c r="AM23" s="756"/>
      <c r="AN23" s="756"/>
      <c r="AO23" s="756"/>
      <c r="AP23" s="756"/>
      <c r="AQ23" s="756"/>
      <c r="AR23" s="756"/>
      <c r="AS23" s="756"/>
      <c r="AT23" s="756"/>
      <c r="AU23" s="757"/>
      <c r="AV23" s="751">
        <f t="shared" si="0"/>
        <v>0</v>
      </c>
      <c r="AX23" s="63"/>
      <c r="AY23" s="63"/>
      <c r="AZ23" s="63"/>
      <c r="BA23" s="63"/>
      <c r="BB23" s="63"/>
      <c r="BC23" s="64">
        <v>115330729</v>
      </c>
      <c r="BD23" s="60"/>
      <c r="BE23" s="60"/>
      <c r="BF23" s="60">
        <v>0</v>
      </c>
      <c r="BG23" s="60">
        <v>13760000</v>
      </c>
      <c r="BH23" s="60"/>
      <c r="BI23" s="60"/>
      <c r="BJ23" s="79">
        <f t="shared" si="2"/>
        <v>129090729</v>
      </c>
      <c r="BK23" s="42" t="e">
        <f>VLOOKUP($D23,'Trình bày'!$A:$A,1,0)</f>
        <v>#N/A</v>
      </c>
    </row>
    <row r="24" spans="1:63" s="43" customFormat="1" ht="141">
      <c r="A24" s="582">
        <f>IF(G24&lt;&gt;"",SUBTOTAL(103,$G$4:G24),"")</f>
        <v>21</v>
      </c>
      <c r="B24" s="55" t="s">
        <v>177</v>
      </c>
      <c r="C24" s="46" t="s">
        <v>189</v>
      </c>
      <c r="D24" s="46">
        <v>240723008</v>
      </c>
      <c r="E24" s="46" t="s">
        <v>175</v>
      </c>
      <c r="F24" s="44" t="s">
        <v>119</v>
      </c>
      <c r="G24" s="47" t="s">
        <v>181</v>
      </c>
      <c r="H24" s="62" t="s">
        <v>183</v>
      </c>
      <c r="I24" s="62" t="s">
        <v>231</v>
      </c>
      <c r="J24" s="78"/>
      <c r="K24" s="65" t="s">
        <v>187</v>
      </c>
      <c r="L24" s="62"/>
      <c r="M24" s="62"/>
      <c r="N24" s="50" t="s">
        <v>209</v>
      </c>
      <c r="O24" s="261">
        <v>0.35993032331310992</v>
      </c>
      <c r="P24" s="974">
        <v>2024</v>
      </c>
      <c r="Q24" s="261">
        <v>7</v>
      </c>
      <c r="R24" s="261"/>
      <c r="S24" s="65"/>
      <c r="T24" s="65" t="s">
        <v>980</v>
      </c>
      <c r="V24" s="756"/>
      <c r="W24" s="758"/>
      <c r="X24" s="758"/>
      <c r="Y24" s="758"/>
      <c r="Z24" s="758"/>
      <c r="AA24" s="758"/>
      <c r="AB24" s="758"/>
      <c r="AC24" s="758"/>
      <c r="AD24" s="758"/>
      <c r="AE24" s="758"/>
      <c r="AF24" s="758"/>
      <c r="AG24" s="759"/>
      <c r="AH24" s="751">
        <f t="shared" si="1"/>
        <v>0</v>
      </c>
      <c r="AJ24" s="756">
        <v>128373614</v>
      </c>
      <c r="AK24" s="758"/>
      <c r="AL24" s="758"/>
      <c r="AM24" s="758"/>
      <c r="AN24" s="758"/>
      <c r="AO24" s="758"/>
      <c r="AP24" s="758"/>
      <c r="AQ24" s="758"/>
      <c r="AR24" s="758"/>
      <c r="AS24" s="758"/>
      <c r="AT24" s="758"/>
      <c r="AU24" s="759"/>
      <c r="AV24" s="751">
        <f t="shared" si="0"/>
        <v>128373614</v>
      </c>
      <c r="AX24" s="63"/>
      <c r="AY24" s="63"/>
      <c r="AZ24" s="63"/>
      <c r="BA24" s="63"/>
      <c r="BB24" s="63"/>
      <c r="BC24" s="64"/>
      <c r="BD24" s="60">
        <v>241846142</v>
      </c>
      <c r="BE24" s="60"/>
      <c r="BF24" s="60">
        <v>0</v>
      </c>
      <c r="BG24" s="60"/>
      <c r="BH24" s="60"/>
      <c r="BI24" s="60"/>
      <c r="BJ24" s="148">
        <f>SUM(AX24:BI24)</f>
        <v>241846142</v>
      </c>
      <c r="BK24" s="42" t="e">
        <f>VLOOKUP($D24,'Trình bày'!$A:$A,1,0)</f>
        <v>#N/A</v>
      </c>
    </row>
    <row r="25" spans="1:63" s="43" customFormat="1" ht="47">
      <c r="A25" s="583">
        <f>IF(G25&lt;&gt;"",SUBTOTAL(103,$G$4:G25),"")</f>
        <v>22</v>
      </c>
      <c r="B25" s="55" t="s">
        <v>178</v>
      </c>
      <c r="C25" s="46" t="s">
        <v>190</v>
      </c>
      <c r="D25" s="46">
        <v>240723007</v>
      </c>
      <c r="E25" s="46" t="s">
        <v>175</v>
      </c>
      <c r="F25" s="44" t="s">
        <v>119</v>
      </c>
      <c r="G25" s="47" t="s">
        <v>181</v>
      </c>
      <c r="H25" s="62" t="s">
        <v>184</v>
      </c>
      <c r="I25" s="62" t="s">
        <v>230</v>
      </c>
      <c r="J25" s="78"/>
      <c r="K25" s="65" t="s">
        <v>187</v>
      </c>
      <c r="L25" s="62"/>
      <c r="M25" s="62"/>
      <c r="N25" s="50" t="s">
        <v>209</v>
      </c>
      <c r="O25" s="261">
        <v>0.93502824748398683</v>
      </c>
      <c r="P25" s="974">
        <v>2024</v>
      </c>
      <c r="Q25" s="261">
        <v>7</v>
      </c>
      <c r="R25" s="261"/>
      <c r="S25" s="65"/>
      <c r="T25" s="65" t="s">
        <v>980</v>
      </c>
      <c r="V25" s="756"/>
      <c r="W25" s="758"/>
      <c r="X25" s="758"/>
      <c r="Y25" s="758"/>
      <c r="Z25" s="758"/>
      <c r="AA25" s="758"/>
      <c r="AB25" s="758"/>
      <c r="AC25" s="758"/>
      <c r="AD25" s="758"/>
      <c r="AE25" s="758"/>
      <c r="AF25" s="758"/>
      <c r="AG25" s="759"/>
      <c r="AH25" s="751">
        <f t="shared" si="1"/>
        <v>0</v>
      </c>
      <c r="AJ25" s="756">
        <v>159050000</v>
      </c>
      <c r="AK25" s="758"/>
      <c r="AL25" s="758"/>
      <c r="AM25" s="758"/>
      <c r="AN25" s="758"/>
      <c r="AO25" s="758"/>
      <c r="AP25" s="758"/>
      <c r="AQ25" s="758"/>
      <c r="AR25" s="758"/>
      <c r="AS25" s="758"/>
      <c r="AT25" s="758"/>
      <c r="AU25" s="759"/>
      <c r="AV25" s="751">
        <f t="shared" si="0"/>
        <v>159050000</v>
      </c>
      <c r="AX25" s="63">
        <v>0</v>
      </c>
      <c r="AY25" s="63">
        <v>72000000</v>
      </c>
      <c r="AZ25" s="63">
        <v>56000000</v>
      </c>
      <c r="BA25" s="63">
        <v>80000000</v>
      </c>
      <c r="BB25" s="63">
        <v>63000000</v>
      </c>
      <c r="BC25" s="64">
        <v>90000000</v>
      </c>
      <c r="BD25" s="60">
        <v>49768750</v>
      </c>
      <c r="BE25" s="60">
        <v>456380000</v>
      </c>
      <c r="BF25" s="60">
        <v>478000000</v>
      </c>
      <c r="BG25" s="60">
        <v>166060000</v>
      </c>
      <c r="BH25" s="60">
        <v>238780000</v>
      </c>
      <c r="BI25" s="60">
        <v>555130000</v>
      </c>
      <c r="BJ25" s="148">
        <f t="shared" si="2"/>
        <v>2305118750</v>
      </c>
      <c r="BK25" s="42" t="e">
        <f>VLOOKUP($D25,'Trình bày'!$A:$A,1,0)</f>
        <v>#N/A</v>
      </c>
    </row>
    <row r="26" spans="1:63" s="43" customFormat="1" ht="47">
      <c r="A26" s="582">
        <f>IF(G26&lt;&gt;"",SUBTOTAL(103,$G$4:G26),"")</f>
        <v>23</v>
      </c>
      <c r="B26" s="55" t="s">
        <v>179</v>
      </c>
      <c r="C26" s="46" t="s">
        <v>191</v>
      </c>
      <c r="D26" s="46">
        <v>240724007</v>
      </c>
      <c r="E26" s="46" t="s">
        <v>175</v>
      </c>
      <c r="F26" s="44" t="s">
        <v>119</v>
      </c>
      <c r="G26" s="47" t="s">
        <v>181</v>
      </c>
      <c r="H26" s="62" t="s">
        <v>185</v>
      </c>
      <c r="I26" s="62" t="s">
        <v>229</v>
      </c>
      <c r="J26" s="78"/>
      <c r="K26" s="65" t="s">
        <v>187</v>
      </c>
      <c r="L26" s="62"/>
      <c r="M26" s="62"/>
      <c r="N26" s="50" t="s">
        <v>209</v>
      </c>
      <c r="O26" s="261">
        <v>0.1</v>
      </c>
      <c r="P26" s="974">
        <v>2024</v>
      </c>
      <c r="Q26" s="261">
        <v>7</v>
      </c>
      <c r="R26" s="261"/>
      <c r="S26" s="65"/>
      <c r="T26" s="65"/>
      <c r="V26" s="756"/>
      <c r="W26" s="756"/>
      <c r="X26" s="756"/>
      <c r="Y26" s="756"/>
      <c r="Z26" s="758"/>
      <c r="AA26" s="758"/>
      <c r="AB26" s="758"/>
      <c r="AC26" s="758"/>
      <c r="AD26" s="758"/>
      <c r="AE26" s="758"/>
      <c r="AF26" s="758"/>
      <c r="AG26" s="759"/>
      <c r="AH26" s="751">
        <f t="shared" si="1"/>
        <v>0</v>
      </c>
      <c r="AJ26" s="756"/>
      <c r="AK26" s="756"/>
      <c r="AL26" s="756"/>
      <c r="AM26" s="756"/>
      <c r="AN26" s="758"/>
      <c r="AO26" s="758"/>
      <c r="AP26" s="758"/>
      <c r="AQ26" s="758"/>
      <c r="AR26" s="758"/>
      <c r="AS26" s="758"/>
      <c r="AT26" s="758"/>
      <c r="AU26" s="759"/>
      <c r="AV26" s="751">
        <f t="shared" si="0"/>
        <v>0</v>
      </c>
      <c r="AX26" s="63">
        <v>0</v>
      </c>
      <c r="AY26" s="63">
        <v>0</v>
      </c>
      <c r="AZ26" s="63">
        <v>0</v>
      </c>
      <c r="BA26" s="63">
        <v>0</v>
      </c>
      <c r="BB26" s="63">
        <v>35351589.04109589</v>
      </c>
      <c r="BC26" s="64">
        <v>0</v>
      </c>
      <c r="BD26" s="60">
        <v>0</v>
      </c>
      <c r="BE26" s="60">
        <v>255608555.84273979</v>
      </c>
      <c r="BF26" s="60">
        <v>0</v>
      </c>
      <c r="BG26" s="60">
        <v>0</v>
      </c>
      <c r="BH26" s="60">
        <v>0</v>
      </c>
      <c r="BI26" s="60">
        <v>0</v>
      </c>
      <c r="BJ26" s="148">
        <f>SUM(AX26:BI26)</f>
        <v>290960144.88383567</v>
      </c>
      <c r="BK26" s="42" t="e">
        <f>VLOOKUP($D26,'Trình bày'!$A:$A,1,0)</f>
        <v>#N/A</v>
      </c>
    </row>
    <row r="27" spans="1:63" s="43" customFormat="1" ht="360.65" customHeight="1">
      <c r="A27" s="583">
        <f>IF(G27&lt;&gt;"",SUBTOTAL(103,$G$4:G27),"")</f>
        <v>24</v>
      </c>
      <c r="B27" s="55" t="s">
        <v>180</v>
      </c>
      <c r="C27" s="45" t="s">
        <v>192</v>
      </c>
      <c r="D27" s="46">
        <v>240624005</v>
      </c>
      <c r="E27" s="46" t="s">
        <v>173</v>
      </c>
      <c r="F27" s="44" t="s">
        <v>118</v>
      </c>
      <c r="G27" s="47" t="s">
        <v>182</v>
      </c>
      <c r="H27" s="62" t="s">
        <v>186</v>
      </c>
      <c r="I27" s="62" t="s">
        <v>186</v>
      </c>
      <c r="J27" s="78"/>
      <c r="K27" s="65" t="s">
        <v>188</v>
      </c>
      <c r="L27" s="62" t="s">
        <v>313</v>
      </c>
      <c r="M27" s="62" t="s">
        <v>314</v>
      </c>
      <c r="N27" s="50" t="s">
        <v>209</v>
      </c>
      <c r="O27" s="261"/>
      <c r="P27" s="974">
        <v>2024</v>
      </c>
      <c r="Q27" s="261">
        <v>7</v>
      </c>
      <c r="R27" s="261"/>
      <c r="S27" s="65"/>
      <c r="T27" s="65"/>
      <c r="V27" s="756"/>
      <c r="W27" s="756"/>
      <c r="X27" s="756"/>
      <c r="Y27" s="758"/>
      <c r="Z27" s="758"/>
      <c r="AA27" s="758"/>
      <c r="AB27" s="758"/>
      <c r="AC27" s="758"/>
      <c r="AD27" s="758"/>
      <c r="AE27" s="758"/>
      <c r="AF27" s="758"/>
      <c r="AG27" s="759"/>
      <c r="AH27" s="751">
        <f t="shared" si="1"/>
        <v>0</v>
      </c>
      <c r="AJ27" s="756"/>
      <c r="AK27" s="756"/>
      <c r="AL27" s="756"/>
      <c r="AM27" s="758"/>
      <c r="AN27" s="758"/>
      <c r="AO27" s="758"/>
      <c r="AP27" s="758"/>
      <c r="AQ27" s="758"/>
      <c r="AR27" s="758"/>
      <c r="AS27" s="758"/>
      <c r="AT27" s="758"/>
      <c r="AU27" s="759"/>
      <c r="AV27" s="751">
        <f t="shared" si="0"/>
        <v>0</v>
      </c>
      <c r="AX27" s="63"/>
      <c r="AY27" s="63"/>
      <c r="AZ27" s="63"/>
      <c r="BA27" s="63"/>
      <c r="BB27" s="63"/>
      <c r="BC27" s="64"/>
      <c r="BD27" s="60">
        <v>356466542</v>
      </c>
      <c r="BE27" s="60"/>
      <c r="BF27" s="60">
        <v>0</v>
      </c>
      <c r="BG27" s="60"/>
      <c r="BH27" s="60"/>
      <c r="BI27" s="60"/>
      <c r="BJ27" s="79">
        <f>SUM(AX27:BI27)</f>
        <v>356466542</v>
      </c>
      <c r="BK27" s="42">
        <f>VLOOKUP($D27,'Trình bày'!$A:$A,1,0)</f>
        <v>240624005</v>
      </c>
    </row>
    <row r="28" spans="1:63" s="43" customFormat="1" ht="141">
      <c r="A28" s="583">
        <f>IF(G28&lt;&gt;"",SUBTOTAL(103,$G$4:G28),"")</f>
        <v>25</v>
      </c>
      <c r="B28" s="55" t="s">
        <v>327</v>
      </c>
      <c r="C28" s="45" t="s">
        <v>344</v>
      </c>
      <c r="D28" s="46">
        <v>240719002</v>
      </c>
      <c r="E28" s="46" t="s">
        <v>31</v>
      </c>
      <c r="F28" s="44" t="s">
        <v>117</v>
      </c>
      <c r="G28" s="47" t="s">
        <v>31</v>
      </c>
      <c r="H28" s="62" t="s">
        <v>758</v>
      </c>
      <c r="I28" s="62"/>
      <c r="J28" s="78"/>
      <c r="K28" s="65" t="s">
        <v>33</v>
      </c>
      <c r="L28" s="62" t="s">
        <v>391</v>
      </c>
      <c r="M28" s="62" t="s">
        <v>392</v>
      </c>
      <c r="N28" s="50" t="s">
        <v>209</v>
      </c>
      <c r="O28" s="261"/>
      <c r="P28" s="974">
        <v>2024</v>
      </c>
      <c r="Q28" s="261">
        <v>8</v>
      </c>
      <c r="R28" s="269"/>
      <c r="S28" s="65"/>
      <c r="T28" s="65" t="s">
        <v>980</v>
      </c>
      <c r="V28" s="1002"/>
      <c r="W28" s="1006"/>
      <c r="X28" s="1002"/>
      <c r="Y28" s="1002"/>
      <c r="Z28" s="1002"/>
      <c r="AA28" s="1002"/>
      <c r="AB28" s="1002"/>
      <c r="AC28" s="1002"/>
      <c r="AD28" s="1003"/>
      <c r="AE28" s="1003"/>
      <c r="AF28" s="1003"/>
      <c r="AG28" s="1004"/>
      <c r="AH28" s="1005">
        <f t="shared" si="1"/>
        <v>0</v>
      </c>
      <c r="AJ28" s="1002"/>
      <c r="AK28" s="1006">
        <v>58000000</v>
      </c>
      <c r="AL28" s="1002">
        <v>20791199</v>
      </c>
      <c r="AM28" s="1002">
        <v>19781549</v>
      </c>
      <c r="AN28" s="1002">
        <v>39376622</v>
      </c>
      <c r="AO28" s="1002">
        <v>35929208</v>
      </c>
      <c r="AP28" s="1002">
        <v>37808824</v>
      </c>
      <c r="AQ28" s="1002">
        <v>38803463</v>
      </c>
      <c r="AR28" s="1003"/>
      <c r="AS28" s="1003"/>
      <c r="AT28" s="1003"/>
      <c r="AU28" s="1004"/>
      <c r="AV28" s="1005">
        <f t="shared" si="0"/>
        <v>250490865</v>
      </c>
      <c r="AX28" s="577"/>
      <c r="AY28" s="577"/>
      <c r="AZ28" s="577"/>
      <c r="BA28" s="577"/>
      <c r="BB28" s="577"/>
      <c r="BC28" s="577"/>
      <c r="BD28" s="577"/>
      <c r="BE28" s="577"/>
      <c r="BF28" s="577">
        <f>30014571.4285714/2</f>
        <v>15007285.7142857</v>
      </c>
      <c r="BG28" s="577">
        <f t="shared" ref="BG28:BI29" si="3">30014571.4285714/2</f>
        <v>15007285.7142857</v>
      </c>
      <c r="BH28" s="577">
        <f t="shared" si="3"/>
        <v>15007285.7142857</v>
      </c>
      <c r="BI28" s="577">
        <f t="shared" si="3"/>
        <v>15007285.7142857</v>
      </c>
      <c r="BJ28" s="79">
        <f t="shared" ref="BJ28:BJ46" si="4">SUM(AX28:BI28)</f>
        <v>60029142.857142799</v>
      </c>
      <c r="BK28" s="42" t="e">
        <f>VLOOKUP($D28,'Trình bày'!$A:$A,1,0)</f>
        <v>#N/A</v>
      </c>
    </row>
    <row r="29" spans="1:63" s="43" customFormat="1" ht="141">
      <c r="A29" s="583">
        <f>IF(G29&lt;&gt;"",SUBTOTAL(103,$G$4:G29),"")</f>
        <v>26</v>
      </c>
      <c r="B29" s="55" t="s">
        <v>327</v>
      </c>
      <c r="C29" s="45" t="s">
        <v>344</v>
      </c>
      <c r="D29" s="46">
        <v>240719002</v>
      </c>
      <c r="E29" s="46" t="s">
        <v>31</v>
      </c>
      <c r="F29" s="44" t="s">
        <v>117</v>
      </c>
      <c r="G29" s="47" t="s">
        <v>18</v>
      </c>
      <c r="H29" s="62" t="s">
        <v>758</v>
      </c>
      <c r="I29" s="62"/>
      <c r="J29" s="78"/>
      <c r="K29" s="65" t="s">
        <v>22</v>
      </c>
      <c r="L29" s="62" t="s">
        <v>391</v>
      </c>
      <c r="M29" s="62" t="s">
        <v>392</v>
      </c>
      <c r="N29" s="50" t="s">
        <v>209</v>
      </c>
      <c r="O29" s="261"/>
      <c r="P29" s="974">
        <v>2024</v>
      </c>
      <c r="Q29" s="261">
        <v>8</v>
      </c>
      <c r="R29" s="269"/>
      <c r="S29" s="65"/>
      <c r="T29" s="65" t="s">
        <v>980</v>
      </c>
      <c r="V29" s="766"/>
      <c r="W29" s="1006"/>
      <c r="X29" s="766"/>
      <c r="Y29" s="766"/>
      <c r="Z29" s="766"/>
      <c r="AA29" s="766"/>
      <c r="AB29" s="766"/>
      <c r="AC29" s="766"/>
      <c r="AD29" s="1000"/>
      <c r="AE29" s="1000"/>
      <c r="AF29" s="1000"/>
      <c r="AG29" s="1001"/>
      <c r="AH29" s="753">
        <f t="shared" si="1"/>
        <v>0</v>
      </c>
      <c r="AJ29" s="766"/>
      <c r="AK29" s="1006">
        <v>58000000</v>
      </c>
      <c r="AL29" s="766">
        <v>20791199</v>
      </c>
      <c r="AM29" s="766">
        <v>19781549</v>
      </c>
      <c r="AN29" s="766"/>
      <c r="AO29" s="766"/>
      <c r="AP29" s="766"/>
      <c r="AQ29" s="766"/>
      <c r="AR29" s="1000"/>
      <c r="AS29" s="1000"/>
      <c r="AT29" s="1000"/>
      <c r="AU29" s="1001"/>
      <c r="AV29" s="753">
        <f t="shared" si="0"/>
        <v>98572748</v>
      </c>
      <c r="AX29" s="577"/>
      <c r="AY29" s="577"/>
      <c r="AZ29" s="577"/>
      <c r="BA29" s="577"/>
      <c r="BB29" s="577"/>
      <c r="BC29" s="577"/>
      <c r="BD29" s="577"/>
      <c r="BE29" s="577"/>
      <c r="BF29" s="577">
        <f>30014571.4285714/2</f>
        <v>15007285.7142857</v>
      </c>
      <c r="BG29" s="577">
        <f t="shared" si="3"/>
        <v>15007285.7142857</v>
      </c>
      <c r="BH29" s="577">
        <f t="shared" si="3"/>
        <v>15007285.7142857</v>
      </c>
      <c r="BI29" s="577">
        <f t="shared" si="3"/>
        <v>15007285.7142857</v>
      </c>
      <c r="BJ29" s="79">
        <f t="shared" ref="BJ29:BJ30" si="5">SUM(AX29:BI29)</f>
        <v>60029142.857142799</v>
      </c>
      <c r="BK29" s="42" t="e">
        <f>VLOOKUP($D29,'Trình bày'!$A:$A,1,0)</f>
        <v>#N/A</v>
      </c>
    </row>
    <row r="30" spans="1:63" s="43" customFormat="1" ht="141">
      <c r="A30" s="583">
        <f>IF(G30&lt;&gt;"",SUBTOTAL(103,$G$4:G30),"")</f>
        <v>27</v>
      </c>
      <c r="B30" s="55" t="s">
        <v>327</v>
      </c>
      <c r="C30" s="45" t="s">
        <v>344</v>
      </c>
      <c r="D30" s="46">
        <v>240719002</v>
      </c>
      <c r="E30" s="46" t="s">
        <v>31</v>
      </c>
      <c r="F30" s="44" t="s">
        <v>117</v>
      </c>
      <c r="G30" s="47" t="s">
        <v>31</v>
      </c>
      <c r="H30" s="62" t="s">
        <v>759</v>
      </c>
      <c r="I30" s="62"/>
      <c r="J30" s="78"/>
      <c r="K30" s="65" t="s">
        <v>33</v>
      </c>
      <c r="L30" s="62" t="s">
        <v>391</v>
      </c>
      <c r="M30" s="62" t="s">
        <v>392</v>
      </c>
      <c r="N30" s="50" t="s">
        <v>209</v>
      </c>
      <c r="O30" s="261"/>
      <c r="P30" s="974">
        <v>2024</v>
      </c>
      <c r="Q30" s="261">
        <v>8</v>
      </c>
      <c r="R30" s="269"/>
      <c r="S30" s="65"/>
      <c r="T30" s="65" t="s">
        <v>982</v>
      </c>
      <c r="V30" s="1002"/>
      <c r="W30" s="1006"/>
      <c r="X30" s="1002"/>
      <c r="Y30" s="1002"/>
      <c r="Z30" s="1002"/>
      <c r="AA30" s="1002"/>
      <c r="AB30" s="1002"/>
      <c r="AC30" s="1002"/>
      <c r="AD30" s="1007"/>
      <c r="AE30" s="1007"/>
      <c r="AF30" s="1007"/>
      <c r="AG30" s="1008"/>
      <c r="AH30" s="1009">
        <f t="shared" si="1"/>
        <v>0</v>
      </c>
      <c r="AJ30" s="1002"/>
      <c r="AK30" s="1006">
        <v>95500000</v>
      </c>
      <c r="AL30" s="1002">
        <v>67273462</v>
      </c>
      <c r="AM30" s="1002">
        <v>59788479</v>
      </c>
      <c r="AN30" s="1002">
        <v>130199816</v>
      </c>
      <c r="AO30" s="1002">
        <v>123855735</v>
      </c>
      <c r="AP30" s="1002">
        <v>117815351</v>
      </c>
      <c r="AQ30" s="1002">
        <v>110789989</v>
      </c>
      <c r="AR30" s="1007">
        <v>104551617</v>
      </c>
      <c r="AS30" s="1007">
        <v>121157233</v>
      </c>
      <c r="AT30" s="1007">
        <v>108313735</v>
      </c>
      <c r="AU30" s="1008">
        <v>103170063</v>
      </c>
      <c r="AV30" s="1009">
        <f t="shared" si="0"/>
        <v>1142415480</v>
      </c>
      <c r="AX30" s="577"/>
      <c r="AY30" s="577"/>
      <c r="AZ30" s="577"/>
      <c r="BA30" s="577"/>
      <c r="BB30" s="577"/>
      <c r="BC30" s="577"/>
      <c r="BD30" s="577"/>
      <c r="BE30" s="577"/>
      <c r="BF30" s="577"/>
      <c r="BG30" s="577"/>
      <c r="BH30" s="577"/>
      <c r="BI30" s="577"/>
      <c r="BJ30" s="79">
        <f t="shared" si="5"/>
        <v>0</v>
      </c>
      <c r="BK30" s="42" t="e">
        <f>VLOOKUP($D30,'Trình bày'!$A:$A,1,0)</f>
        <v>#N/A</v>
      </c>
    </row>
    <row r="31" spans="1:63" s="43" customFormat="1" ht="141">
      <c r="A31" s="583">
        <f>IF(G31&lt;&gt;"",SUBTOTAL(103,$G$4:G31),"")</f>
        <v>28</v>
      </c>
      <c r="B31" s="55" t="s">
        <v>327</v>
      </c>
      <c r="C31" s="45" t="s">
        <v>344</v>
      </c>
      <c r="D31" s="46">
        <v>240719002</v>
      </c>
      <c r="E31" s="46" t="s">
        <v>31</v>
      </c>
      <c r="F31" s="44" t="s">
        <v>117</v>
      </c>
      <c r="G31" s="47" t="s">
        <v>18</v>
      </c>
      <c r="H31" s="62" t="s">
        <v>759</v>
      </c>
      <c r="I31" s="62"/>
      <c r="J31" s="78"/>
      <c r="K31" s="65" t="s">
        <v>22</v>
      </c>
      <c r="L31" s="62" t="s">
        <v>391</v>
      </c>
      <c r="M31" s="62" t="s">
        <v>392</v>
      </c>
      <c r="N31" s="50" t="s">
        <v>209</v>
      </c>
      <c r="O31" s="261"/>
      <c r="P31" s="974">
        <v>2024</v>
      </c>
      <c r="Q31" s="261">
        <v>8</v>
      </c>
      <c r="R31" s="269"/>
      <c r="S31" s="65"/>
      <c r="T31" s="65" t="s">
        <v>982</v>
      </c>
      <c r="V31" s="766"/>
      <c r="W31" s="1006"/>
      <c r="X31" s="766"/>
      <c r="Y31" s="766"/>
      <c r="Z31" s="766"/>
      <c r="AA31" s="766"/>
      <c r="AB31" s="766"/>
      <c r="AC31" s="766"/>
      <c r="AD31" s="1010"/>
      <c r="AE31" s="1010"/>
      <c r="AF31" s="1010"/>
      <c r="AG31" s="1011"/>
      <c r="AH31" s="1012">
        <f t="shared" si="1"/>
        <v>0</v>
      </c>
      <c r="AJ31" s="766"/>
      <c r="AK31" s="1006">
        <v>95500000</v>
      </c>
      <c r="AL31" s="766">
        <v>67273462</v>
      </c>
      <c r="AM31" s="766">
        <v>59788479</v>
      </c>
      <c r="AN31" s="766"/>
      <c r="AO31" s="766"/>
      <c r="AP31" s="766"/>
      <c r="AQ31" s="766"/>
      <c r="AR31" s="1010"/>
      <c r="AS31" s="1010"/>
      <c r="AT31" s="1010"/>
      <c r="AU31" s="1011"/>
      <c r="AV31" s="1012">
        <f t="shared" si="0"/>
        <v>222561941</v>
      </c>
      <c r="AX31" s="577"/>
      <c r="AY31" s="577"/>
      <c r="AZ31" s="577"/>
      <c r="BA31" s="577"/>
      <c r="BB31" s="577"/>
      <c r="BC31" s="577"/>
      <c r="BD31" s="577"/>
      <c r="BE31" s="577"/>
      <c r="BF31" s="577"/>
      <c r="BG31" s="577"/>
      <c r="BH31" s="577"/>
      <c r="BI31" s="577"/>
      <c r="BJ31" s="79">
        <f t="shared" ref="BJ31" si="6">SUM(AX31:BI31)</f>
        <v>0</v>
      </c>
      <c r="BK31" s="42" t="e">
        <f>VLOOKUP($D31,'Trình bày'!$A:$A,1,0)</f>
        <v>#N/A</v>
      </c>
    </row>
    <row r="32" spans="1:63" s="43" customFormat="1" ht="188">
      <c r="A32" s="583">
        <f>IF(G32&lt;&gt;"",SUBTOTAL(103,$G$4:G32),"")</f>
        <v>29</v>
      </c>
      <c r="B32" s="55" t="s">
        <v>328</v>
      </c>
      <c r="C32" s="45" t="s">
        <v>345</v>
      </c>
      <c r="D32" s="46">
        <v>240731003</v>
      </c>
      <c r="E32" s="46" t="s">
        <v>173</v>
      </c>
      <c r="F32" s="44" t="s">
        <v>117</v>
      </c>
      <c r="G32" s="47" t="s">
        <v>331</v>
      </c>
      <c r="H32" s="62" t="s">
        <v>329</v>
      </c>
      <c r="I32" s="62"/>
      <c r="J32" s="78"/>
      <c r="K32" s="65" t="s">
        <v>330</v>
      </c>
      <c r="L32" s="62" t="s">
        <v>393</v>
      </c>
      <c r="M32" s="62" t="s">
        <v>394</v>
      </c>
      <c r="N32" s="50" t="s">
        <v>209</v>
      </c>
      <c r="O32" s="261"/>
      <c r="P32" s="974">
        <v>2024</v>
      </c>
      <c r="Q32" s="261">
        <v>8</v>
      </c>
      <c r="R32" s="269"/>
      <c r="S32" s="65"/>
      <c r="T32" s="65"/>
      <c r="V32" s="758"/>
      <c r="W32" s="758"/>
      <c r="X32" s="758"/>
      <c r="Y32" s="758"/>
      <c r="Z32" s="758"/>
      <c r="AA32" s="758"/>
      <c r="AB32" s="758"/>
      <c r="AC32" s="758"/>
      <c r="AD32" s="758"/>
      <c r="AE32" s="758"/>
      <c r="AF32" s="758"/>
      <c r="AG32" s="758"/>
      <c r="AH32" s="750">
        <f t="shared" si="1"/>
        <v>0</v>
      </c>
      <c r="AJ32" s="758"/>
      <c r="AK32" s="758"/>
      <c r="AL32" s="758"/>
      <c r="AM32" s="758"/>
      <c r="AN32" s="758"/>
      <c r="AO32" s="758"/>
      <c r="AP32" s="758"/>
      <c r="AQ32" s="758"/>
      <c r="AR32" s="758"/>
      <c r="AS32" s="758"/>
      <c r="AT32" s="758"/>
      <c r="AU32" s="758"/>
      <c r="AV32" s="750">
        <f t="shared" si="0"/>
        <v>0</v>
      </c>
      <c r="AX32" s="63"/>
      <c r="AY32" s="63"/>
      <c r="AZ32" s="63"/>
      <c r="BA32" s="63"/>
      <c r="BB32" s="63"/>
      <c r="BC32" s="64"/>
      <c r="BD32" s="60"/>
      <c r="BE32" s="60">
        <v>3324719230</v>
      </c>
      <c r="BF32" s="60">
        <v>0</v>
      </c>
      <c r="BG32" s="60"/>
      <c r="BH32" s="60">
        <v>21399812</v>
      </c>
      <c r="BI32" s="60"/>
      <c r="BJ32" s="79">
        <f t="shared" si="4"/>
        <v>3346119042</v>
      </c>
      <c r="BK32" s="42" t="e">
        <f>VLOOKUP($D32,'Trình bày'!$A:$A,1,0)</f>
        <v>#N/A</v>
      </c>
    </row>
    <row r="33" spans="1:63" s="43" customFormat="1" ht="47">
      <c r="A33" s="583">
        <f>IF(G33&lt;&gt;"",SUBTOTAL(103,$G$4:G33),"")</f>
        <v>30</v>
      </c>
      <c r="B33" s="55" t="s">
        <v>332</v>
      </c>
      <c r="C33" s="45" t="s">
        <v>192</v>
      </c>
      <c r="D33" s="46">
        <v>240628008</v>
      </c>
      <c r="E33" s="46" t="s">
        <v>175</v>
      </c>
      <c r="F33" s="44" t="s">
        <v>118</v>
      </c>
      <c r="G33" s="47" t="s">
        <v>25</v>
      </c>
      <c r="H33" s="62" t="s">
        <v>334</v>
      </c>
      <c r="I33" s="62"/>
      <c r="J33" s="78"/>
      <c r="K33" s="65" t="s">
        <v>335</v>
      </c>
      <c r="L33" s="62"/>
      <c r="M33" s="62"/>
      <c r="N33" s="50" t="s">
        <v>209</v>
      </c>
      <c r="O33" s="261"/>
      <c r="P33" s="974">
        <v>2024</v>
      </c>
      <c r="Q33" s="261"/>
      <c r="R33" s="261"/>
      <c r="S33" s="65"/>
      <c r="T33" s="65" t="s">
        <v>980</v>
      </c>
      <c r="V33" s="756"/>
      <c r="W33" s="756"/>
      <c r="X33" s="756"/>
      <c r="Y33" s="756"/>
      <c r="Z33" s="756"/>
      <c r="AA33" s="756"/>
      <c r="AB33" s="756"/>
      <c r="AC33" s="756"/>
      <c r="AD33" s="758"/>
      <c r="AE33" s="758"/>
      <c r="AF33" s="758"/>
      <c r="AG33" s="759"/>
      <c r="AH33" s="751">
        <f t="shared" si="1"/>
        <v>0</v>
      </c>
      <c r="AJ33" s="756"/>
      <c r="AK33" s="756">
        <v>91995754</v>
      </c>
      <c r="AL33" s="756">
        <v>52686468</v>
      </c>
      <c r="AM33" s="756">
        <v>58407661</v>
      </c>
      <c r="AN33" s="756"/>
      <c r="AO33" s="756"/>
      <c r="AP33" s="756"/>
      <c r="AQ33" s="756">
        <v>136965300</v>
      </c>
      <c r="AR33" s="758"/>
      <c r="AS33" s="758"/>
      <c r="AT33" s="758"/>
      <c r="AU33" s="759"/>
      <c r="AV33" s="751">
        <f t="shared" si="0"/>
        <v>340055183</v>
      </c>
      <c r="AX33" s="63" t="s">
        <v>23</v>
      </c>
      <c r="AY33" s="63" t="s">
        <v>23</v>
      </c>
      <c r="AZ33" s="63" t="s">
        <v>23</v>
      </c>
      <c r="BA33" s="63" t="s">
        <v>23</v>
      </c>
      <c r="BB33" s="63" t="s">
        <v>23</v>
      </c>
      <c r="BC33" s="64" t="s">
        <v>23</v>
      </c>
      <c r="BD33" s="60" t="s">
        <v>23</v>
      </c>
      <c r="BE33" s="60" t="s">
        <v>23</v>
      </c>
      <c r="BF33" s="60">
        <v>76499700</v>
      </c>
      <c r="BG33" s="60">
        <v>0</v>
      </c>
      <c r="BH33" s="60">
        <v>60145362.599999994</v>
      </c>
      <c r="BI33" s="60">
        <v>60145356.900000006</v>
      </c>
      <c r="BJ33" s="79">
        <f t="shared" si="4"/>
        <v>196790419.5</v>
      </c>
      <c r="BK33" s="42">
        <f>VLOOKUP($D33,'Trình bày'!$A:$A,1,0)</f>
        <v>240628008</v>
      </c>
    </row>
    <row r="34" spans="1:63" s="43" customFormat="1" ht="70.5">
      <c r="A34" s="583">
        <f>IF(G34&lt;&gt;"",SUBTOTAL(103,$G$4:G34),"")</f>
        <v>31</v>
      </c>
      <c r="B34" s="55" t="s">
        <v>333</v>
      </c>
      <c r="C34" s="45" t="s">
        <v>346</v>
      </c>
      <c r="D34" s="46">
        <v>240824002</v>
      </c>
      <c r="E34" s="46" t="s">
        <v>175</v>
      </c>
      <c r="F34" s="44" t="s">
        <v>118</v>
      </c>
      <c r="G34" s="47" t="s">
        <v>25</v>
      </c>
      <c r="H34" s="62" t="s">
        <v>336</v>
      </c>
      <c r="I34" s="62"/>
      <c r="J34" s="78"/>
      <c r="K34" s="65" t="s">
        <v>335</v>
      </c>
      <c r="L34" s="62"/>
      <c r="M34" s="62"/>
      <c r="N34" s="50" t="s">
        <v>209</v>
      </c>
      <c r="O34" s="261"/>
      <c r="P34" s="974">
        <v>2024</v>
      </c>
      <c r="Q34" s="261"/>
      <c r="R34" s="261"/>
      <c r="S34" s="65"/>
      <c r="T34" s="65"/>
      <c r="V34" s="758"/>
      <c r="W34" s="758"/>
      <c r="X34" s="758"/>
      <c r="Y34" s="758"/>
      <c r="Z34" s="758"/>
      <c r="AA34" s="758"/>
      <c r="AB34" s="758"/>
      <c r="AC34" s="758"/>
      <c r="AD34" s="758"/>
      <c r="AE34" s="758"/>
      <c r="AF34" s="758"/>
      <c r="AG34" s="758"/>
      <c r="AH34" s="751">
        <f t="shared" si="1"/>
        <v>0</v>
      </c>
      <c r="AJ34" s="758"/>
      <c r="AK34" s="758"/>
      <c r="AL34" s="758"/>
      <c r="AM34" s="758"/>
      <c r="AN34" s="758"/>
      <c r="AO34" s="758"/>
      <c r="AP34" s="758"/>
      <c r="AQ34" s="758"/>
      <c r="AR34" s="758"/>
      <c r="AS34" s="758"/>
      <c r="AT34" s="758"/>
      <c r="AU34" s="758"/>
      <c r="AV34" s="751">
        <f t="shared" si="0"/>
        <v>0</v>
      </c>
      <c r="AX34" s="63">
        <v>480000</v>
      </c>
      <c r="AY34" s="63">
        <v>0</v>
      </c>
      <c r="AZ34" s="63">
        <v>960000</v>
      </c>
      <c r="BA34" s="63">
        <v>0</v>
      </c>
      <c r="BB34" s="63">
        <v>0</v>
      </c>
      <c r="BC34" s="64">
        <v>525600</v>
      </c>
      <c r="BD34" s="60">
        <v>595248</v>
      </c>
      <c r="BE34" s="60">
        <v>0</v>
      </c>
      <c r="BF34" s="60">
        <v>0</v>
      </c>
      <c r="BG34" s="60">
        <v>670080</v>
      </c>
      <c r="BH34" s="60">
        <v>175248</v>
      </c>
      <c r="BI34" s="60">
        <v>506496</v>
      </c>
      <c r="BJ34" s="79">
        <f t="shared" si="4"/>
        <v>3912672</v>
      </c>
      <c r="BK34" s="42">
        <f>VLOOKUP($D34,'Trình bày'!$A:$A,1,0)</f>
        <v>240824002</v>
      </c>
    </row>
    <row r="35" spans="1:63" s="43" customFormat="1" ht="70.5">
      <c r="A35" s="583">
        <f>IF(G35&lt;&gt;"",SUBTOTAL(103,$G$4:G35),"")</f>
        <v>32</v>
      </c>
      <c r="B35" s="55" t="s">
        <v>342</v>
      </c>
      <c r="C35" s="46" t="s">
        <v>347</v>
      </c>
      <c r="D35" s="46">
        <v>240523002</v>
      </c>
      <c r="E35" s="46" t="s">
        <v>175</v>
      </c>
      <c r="F35" s="55" t="s">
        <v>118</v>
      </c>
      <c r="G35" s="58" t="s">
        <v>25</v>
      </c>
      <c r="H35" s="62" t="s">
        <v>343</v>
      </c>
      <c r="I35" s="62"/>
      <c r="J35" s="78"/>
      <c r="K35" s="65" t="s">
        <v>335</v>
      </c>
      <c r="L35" s="62"/>
      <c r="M35" s="62"/>
      <c r="N35" s="50" t="s">
        <v>209</v>
      </c>
      <c r="O35" s="261"/>
      <c r="P35" s="974">
        <v>2024</v>
      </c>
      <c r="Q35" s="261"/>
      <c r="R35" s="261"/>
      <c r="S35" s="65"/>
      <c r="T35" s="65" t="s">
        <v>980</v>
      </c>
      <c r="V35" s="756"/>
      <c r="W35" s="756"/>
      <c r="X35" s="756"/>
      <c r="Y35" s="756"/>
      <c r="Z35" s="756"/>
      <c r="AA35" s="756"/>
      <c r="AB35" s="758"/>
      <c r="AC35" s="758"/>
      <c r="AD35" s="758"/>
      <c r="AE35" s="758"/>
      <c r="AF35" s="758"/>
      <c r="AG35" s="758"/>
      <c r="AH35" s="751">
        <f t="shared" si="1"/>
        <v>0</v>
      </c>
      <c r="AJ35" s="756"/>
      <c r="AK35" s="756"/>
      <c r="AL35" s="756">
        <v>12003442</v>
      </c>
      <c r="AM35" s="756">
        <v>23892796.21999979</v>
      </c>
      <c r="AN35" s="756">
        <v>33465338</v>
      </c>
      <c r="AO35" s="756">
        <v>11591158</v>
      </c>
      <c r="AP35" s="758"/>
      <c r="AQ35" s="758"/>
      <c r="AR35" s="758"/>
      <c r="AS35" s="758"/>
      <c r="AT35" s="758"/>
      <c r="AU35" s="758"/>
      <c r="AV35" s="751">
        <f t="shared" si="0"/>
        <v>80952734.21999979</v>
      </c>
      <c r="AX35" s="758"/>
      <c r="AY35" s="758"/>
      <c r="AZ35" s="758"/>
      <c r="BA35" s="758"/>
      <c r="BB35" s="758"/>
      <c r="BC35" s="758"/>
      <c r="BD35" s="60">
        <v>44967073.599999905</v>
      </c>
      <c r="BE35" s="60">
        <v>116603244.40999985</v>
      </c>
      <c r="BF35" s="60">
        <v>53793541.835082293</v>
      </c>
      <c r="BG35" s="60"/>
      <c r="BH35" s="60"/>
      <c r="BI35" s="60"/>
      <c r="BJ35" s="79">
        <f t="shared" ref="BJ35:BJ36" si="7">SUM(AX35:BI35)</f>
        <v>215363859.84508204</v>
      </c>
      <c r="BK35" s="42"/>
    </row>
    <row r="36" spans="1:63" s="43" customFormat="1" ht="181.4" customHeight="1">
      <c r="A36" s="584">
        <f>IF(G36&lt;&gt;"",SUBTOTAL(103,$G$4:G36),"")</f>
        <v>33</v>
      </c>
      <c r="B36" s="341" t="s">
        <v>342</v>
      </c>
      <c r="C36" s="343" t="s">
        <v>347</v>
      </c>
      <c r="D36" s="343"/>
      <c r="E36" s="343" t="s">
        <v>175</v>
      </c>
      <c r="F36" s="341" t="s">
        <v>119</v>
      </c>
      <c r="G36" s="344" t="s">
        <v>181</v>
      </c>
      <c r="H36" s="345" t="s">
        <v>542</v>
      </c>
      <c r="I36" s="345"/>
      <c r="J36" s="346"/>
      <c r="K36" s="347" t="s">
        <v>541</v>
      </c>
      <c r="L36" s="345"/>
      <c r="M36" s="345"/>
      <c r="N36" s="342"/>
      <c r="O36" s="263"/>
      <c r="P36" s="976">
        <v>2024</v>
      </c>
      <c r="Q36" s="263"/>
      <c r="R36" s="263"/>
      <c r="S36" s="347"/>
      <c r="T36" s="347"/>
      <c r="V36" s="767"/>
      <c r="W36" s="767"/>
      <c r="X36" s="767"/>
      <c r="Y36" s="767"/>
      <c r="Z36" s="767"/>
      <c r="AA36" s="767"/>
      <c r="AB36" s="767"/>
      <c r="AC36" s="767"/>
      <c r="AD36" s="767"/>
      <c r="AE36" s="758"/>
      <c r="AF36" s="758"/>
      <c r="AG36" s="758"/>
      <c r="AH36" s="754">
        <f t="shared" si="1"/>
        <v>0</v>
      </c>
      <c r="AJ36" s="767"/>
      <c r="AK36" s="767"/>
      <c r="AL36" s="767"/>
      <c r="AM36" s="767"/>
      <c r="AN36" s="767"/>
      <c r="AO36" s="767"/>
      <c r="AP36" s="767"/>
      <c r="AQ36" s="767"/>
      <c r="AR36" s="767"/>
      <c r="AS36" s="758"/>
      <c r="AT36" s="758"/>
      <c r="AU36" s="758"/>
      <c r="AV36" s="754">
        <f t="shared" si="0"/>
        <v>0</v>
      </c>
      <c r="AX36" s="91"/>
      <c r="AY36" s="91"/>
      <c r="AZ36" s="91"/>
      <c r="BA36" s="91"/>
      <c r="BB36" s="91"/>
      <c r="BC36" s="139"/>
      <c r="BD36" s="140"/>
      <c r="BE36" s="140"/>
      <c r="BF36" s="140"/>
      <c r="BG36" s="140">
        <v>28496421</v>
      </c>
      <c r="BH36" s="140"/>
      <c r="BI36" s="140"/>
      <c r="BJ36" s="348">
        <f t="shared" si="7"/>
        <v>28496421</v>
      </c>
      <c r="BK36" s="42" t="e">
        <f>VLOOKUP($D36,'Trình bày'!$A:$A,1,0)</f>
        <v>#N/A</v>
      </c>
    </row>
    <row r="37" spans="1:63" s="43" customFormat="1" ht="228.75" customHeight="1">
      <c r="A37" s="585">
        <f>IF(G37&lt;&gt;"",SUBTOTAL(103,$G$4:G37),"")</f>
        <v>34</v>
      </c>
      <c r="B37" s="542" t="s">
        <v>342</v>
      </c>
      <c r="C37" s="543" t="s">
        <v>347</v>
      </c>
      <c r="D37" s="543">
        <v>241024001</v>
      </c>
      <c r="E37" s="543" t="s">
        <v>175</v>
      </c>
      <c r="F37" s="542" t="s">
        <v>119</v>
      </c>
      <c r="G37" s="544" t="s">
        <v>58</v>
      </c>
      <c r="H37" s="545" t="s">
        <v>543</v>
      </c>
      <c r="I37" s="545"/>
      <c r="J37" s="546"/>
      <c r="K37" s="547" t="s">
        <v>544</v>
      </c>
      <c r="L37" s="545"/>
      <c r="M37" s="545"/>
      <c r="N37" s="548" t="s">
        <v>209</v>
      </c>
      <c r="O37" s="549"/>
      <c r="P37" s="977">
        <v>2024</v>
      </c>
      <c r="Q37" s="549"/>
      <c r="R37" s="549"/>
      <c r="S37" s="547"/>
      <c r="T37" s="547" t="s">
        <v>982</v>
      </c>
      <c r="V37" s="768"/>
      <c r="W37" s="768"/>
      <c r="X37" s="768"/>
      <c r="Y37" s="768"/>
      <c r="Z37" s="768"/>
      <c r="AA37" s="768"/>
      <c r="AB37" s="768"/>
      <c r="AC37" s="768"/>
      <c r="AD37" s="775"/>
      <c r="AE37" s="775"/>
      <c r="AF37" s="775"/>
      <c r="AG37" s="776"/>
      <c r="AH37" s="755">
        <f t="shared" si="1"/>
        <v>0</v>
      </c>
      <c r="AJ37" s="768">
        <v>49335000</v>
      </c>
      <c r="AK37" s="768">
        <v>73452500</v>
      </c>
      <c r="AL37" s="768">
        <v>148005000</v>
      </c>
      <c r="AM37" s="768"/>
      <c r="AN37" s="768"/>
      <c r="AO37" s="768">
        <v>910045390</v>
      </c>
      <c r="AP37" s="768"/>
      <c r="AQ37" s="768"/>
      <c r="AR37" s="775"/>
      <c r="AS37" s="775"/>
      <c r="AT37" s="775"/>
      <c r="AU37" s="776"/>
      <c r="AV37" s="755">
        <f t="shared" si="0"/>
        <v>1180837890</v>
      </c>
      <c r="AX37" s="550"/>
      <c r="AY37" s="550"/>
      <c r="AZ37" s="550"/>
      <c r="BA37" s="550"/>
      <c r="BB37" s="550"/>
      <c r="BC37" s="551"/>
      <c r="BD37" s="552"/>
      <c r="BE37" s="552"/>
      <c r="BF37" s="552"/>
      <c r="BG37" s="552">
        <v>2407900000</v>
      </c>
      <c r="BH37" s="552">
        <v>49335000</v>
      </c>
      <c r="BI37" s="552">
        <v>1183819999.9999995</v>
      </c>
      <c r="BJ37" s="553">
        <f t="shared" si="4"/>
        <v>3641054999.9999995</v>
      </c>
      <c r="BK37" s="42" t="e">
        <f>VLOOKUP($D37,'Trình bày'!$A:$A,1,0)</f>
        <v>#N/A</v>
      </c>
    </row>
    <row r="38" spans="1:63" s="43" customFormat="1" ht="70.5">
      <c r="A38" s="585">
        <f>IF(G38&lt;&gt;"",SUBTOTAL(103,$G$4:G38),"")</f>
        <v>35</v>
      </c>
      <c r="B38" s="542"/>
      <c r="C38" s="543"/>
      <c r="D38" s="543" t="s">
        <v>573</v>
      </c>
      <c r="E38" s="543" t="s">
        <v>361</v>
      </c>
      <c r="F38" s="542" t="s">
        <v>118</v>
      </c>
      <c r="G38" s="544" t="s">
        <v>182</v>
      </c>
      <c r="H38" s="545" t="s">
        <v>574</v>
      </c>
      <c r="I38" s="545"/>
      <c r="J38" s="546"/>
      <c r="K38" s="547" t="s">
        <v>188</v>
      </c>
      <c r="L38" s="545"/>
      <c r="M38" s="545"/>
      <c r="N38" s="548" t="s">
        <v>209</v>
      </c>
      <c r="O38" s="549">
        <f>117.954909090909/25</f>
        <v>4.71819636363636</v>
      </c>
      <c r="P38" s="977">
        <v>2024</v>
      </c>
      <c r="Q38" s="549">
        <v>1</v>
      </c>
      <c r="R38" s="549" t="s">
        <v>579</v>
      </c>
      <c r="S38" s="547"/>
      <c r="T38" s="547"/>
      <c r="V38" s="775"/>
      <c r="W38" s="775"/>
      <c r="X38" s="775"/>
      <c r="Y38" s="775"/>
      <c r="Z38" s="775"/>
      <c r="AA38" s="775"/>
      <c r="AB38" s="775"/>
      <c r="AC38" s="775"/>
      <c r="AD38" s="775"/>
      <c r="AE38" s="775"/>
      <c r="AF38" s="775"/>
      <c r="AG38" s="776"/>
      <c r="AH38" s="755">
        <f t="shared" si="1"/>
        <v>0</v>
      </c>
      <c r="AJ38" s="775"/>
      <c r="AK38" s="775"/>
      <c r="AL38" s="775"/>
      <c r="AM38" s="775"/>
      <c r="AN38" s="775"/>
      <c r="AO38" s="775"/>
      <c r="AP38" s="775"/>
      <c r="AQ38" s="775"/>
      <c r="AR38" s="775"/>
      <c r="AS38" s="775"/>
      <c r="AT38" s="775"/>
      <c r="AU38" s="776"/>
      <c r="AV38" s="755">
        <f t="shared" si="0"/>
        <v>0</v>
      </c>
      <c r="AX38" s="550"/>
      <c r="AY38" s="550"/>
      <c r="AZ38" s="550"/>
      <c r="BA38" s="550"/>
      <c r="BB38" s="550"/>
      <c r="BC38" s="551"/>
      <c r="BD38" s="552"/>
      <c r="BE38" s="552"/>
      <c r="BF38" s="552"/>
      <c r="BG38" s="552"/>
      <c r="BH38" s="552">
        <v>368653324</v>
      </c>
      <c r="BI38" s="552">
        <v>32437600</v>
      </c>
      <c r="BJ38" s="553">
        <f t="shared" si="4"/>
        <v>401090924</v>
      </c>
      <c r="BK38" s="42"/>
    </row>
    <row r="39" spans="1:63" s="43" customFormat="1" ht="111" customHeight="1">
      <c r="A39" s="585">
        <f>IF(G39&lt;&gt;"",SUBTOTAL(103,$G$4:G39),"")</f>
        <v>36</v>
      </c>
      <c r="B39" s="542"/>
      <c r="C39" s="543"/>
      <c r="D39" s="543">
        <v>241014005</v>
      </c>
      <c r="E39" s="543" t="s">
        <v>361</v>
      </c>
      <c r="F39" s="542" t="s">
        <v>118</v>
      </c>
      <c r="G39" s="544" t="s">
        <v>182</v>
      </c>
      <c r="H39" s="545" t="s">
        <v>799</v>
      </c>
      <c r="I39" s="545"/>
      <c r="J39" s="546"/>
      <c r="K39" s="547" t="s">
        <v>188</v>
      </c>
      <c r="L39" s="545"/>
      <c r="M39" s="545"/>
      <c r="N39" s="548" t="s">
        <v>209</v>
      </c>
      <c r="O39" s="549"/>
      <c r="P39" s="977">
        <v>2024</v>
      </c>
      <c r="Q39" s="549">
        <v>3</v>
      </c>
      <c r="R39" s="549"/>
      <c r="S39" s="547"/>
      <c r="T39" s="547" t="s">
        <v>983</v>
      </c>
      <c r="V39" s="777"/>
      <c r="W39" s="777"/>
      <c r="X39" s="775"/>
      <c r="Y39" s="1154"/>
      <c r="Z39" s="775"/>
      <c r="AA39" s="775"/>
      <c r="AB39" s="775"/>
      <c r="AC39" s="775"/>
      <c r="AD39" s="775"/>
      <c r="AE39" s="775"/>
      <c r="AF39" s="775"/>
      <c r="AG39" s="776"/>
      <c r="AH39" s="755">
        <f t="shared" si="1"/>
        <v>0</v>
      </c>
      <c r="AJ39" s="777"/>
      <c r="AK39" s="777"/>
      <c r="AL39" s="775"/>
      <c r="AM39" s="1154">
        <v>93103000</v>
      </c>
      <c r="AN39" s="775"/>
      <c r="AO39" s="775"/>
      <c r="AP39" s="775"/>
      <c r="AQ39" s="775"/>
      <c r="AR39" s="775"/>
      <c r="AS39" s="775"/>
      <c r="AT39" s="775"/>
      <c r="AU39" s="776"/>
      <c r="AV39" s="755">
        <f t="shared" si="0"/>
        <v>93103000</v>
      </c>
      <c r="AX39" s="1153"/>
      <c r="AY39" s="1153"/>
      <c r="AZ39" s="550"/>
      <c r="BA39" s="550"/>
      <c r="BB39" s="550"/>
      <c r="BC39" s="551"/>
      <c r="BD39" s="552"/>
      <c r="BE39" s="552"/>
      <c r="BF39" s="552"/>
      <c r="BG39" s="552"/>
      <c r="BH39" s="552">
        <v>174317500</v>
      </c>
      <c r="BI39" s="552"/>
      <c r="BJ39" s="553">
        <f t="shared" si="4"/>
        <v>174317500</v>
      </c>
      <c r="BK39" s="42"/>
    </row>
    <row r="40" spans="1:63" s="43" customFormat="1" ht="69.75" customHeight="1">
      <c r="A40" s="583">
        <f>IF(G40&lt;&gt;"",SUBTOTAL(103,$G$4:G40),"")</f>
        <v>37</v>
      </c>
      <c r="B40" s="55"/>
      <c r="C40" s="46"/>
      <c r="D40" s="46">
        <v>240829001</v>
      </c>
      <c r="E40" s="46" t="s">
        <v>167</v>
      </c>
      <c r="F40" s="55" t="s">
        <v>117</v>
      </c>
      <c r="G40" s="58" t="s">
        <v>580</v>
      </c>
      <c r="H40" s="62" t="s">
        <v>575</v>
      </c>
      <c r="I40" s="62"/>
      <c r="J40" s="78"/>
      <c r="K40" s="1354" t="s">
        <v>577</v>
      </c>
      <c r="L40" s="62"/>
      <c r="M40" s="62"/>
      <c r="N40" s="548" t="s">
        <v>209</v>
      </c>
      <c r="O40" s="261"/>
      <c r="P40" s="974">
        <v>2024</v>
      </c>
      <c r="Q40" s="261"/>
      <c r="R40" s="261"/>
      <c r="S40" s="65"/>
      <c r="T40" s="1354" t="s">
        <v>980</v>
      </c>
      <c r="V40" s="756"/>
      <c r="W40" s="756"/>
      <c r="X40" s="756"/>
      <c r="Y40" s="756"/>
      <c r="Z40" s="756"/>
      <c r="AA40" s="756"/>
      <c r="AB40" s="756"/>
      <c r="AC40" s="756"/>
      <c r="AD40" s="758"/>
      <c r="AE40" s="758"/>
      <c r="AF40" s="758"/>
      <c r="AG40" s="759"/>
      <c r="AH40" s="751">
        <f t="shared" si="1"/>
        <v>0</v>
      </c>
      <c r="AJ40" s="756">
        <v>263204540</v>
      </c>
      <c r="AK40" s="756"/>
      <c r="AL40" s="756"/>
      <c r="AM40" s="756"/>
      <c r="AN40" s="756"/>
      <c r="AO40" s="756">
        <v>47160852</v>
      </c>
      <c r="AP40" s="756">
        <v>22901340</v>
      </c>
      <c r="AQ40" s="756">
        <v>55909656</v>
      </c>
      <c r="AR40" s="758"/>
      <c r="AS40" s="758"/>
      <c r="AT40" s="758"/>
      <c r="AU40" s="759"/>
      <c r="AV40" s="751">
        <f t="shared" si="0"/>
        <v>389176388</v>
      </c>
      <c r="AX40" s="63"/>
      <c r="AY40" s="63">
        <v>0</v>
      </c>
      <c r="AZ40" s="63">
        <v>0</v>
      </c>
      <c r="BA40" s="63">
        <v>0</v>
      </c>
      <c r="BB40" s="63">
        <v>25717931.76967144</v>
      </c>
      <c r="BC40" s="64">
        <v>69743085.098737717</v>
      </c>
      <c r="BD40" s="60">
        <v>0</v>
      </c>
      <c r="BE40" s="60">
        <v>86677684.538970947</v>
      </c>
      <c r="BF40" s="60">
        <v>-5362362.5282440186</v>
      </c>
      <c r="BG40" s="60">
        <v>-347149051.54351807</v>
      </c>
      <c r="BH40" s="60">
        <v>324909052.75984192</v>
      </c>
      <c r="BI40" s="60">
        <v>277480763.11016846</v>
      </c>
      <c r="BJ40" s="79">
        <f>SUM(AX40:BI40)</f>
        <v>432017103.2056284</v>
      </c>
      <c r="BK40" s="42"/>
    </row>
    <row r="41" spans="1:63" s="43" customFormat="1" ht="47">
      <c r="A41" s="585">
        <f>IF(G41&lt;&gt;"",SUBTOTAL(103,$G$4:G41),"")</f>
        <v>38</v>
      </c>
      <c r="B41" s="542"/>
      <c r="C41" s="543"/>
      <c r="D41" s="543">
        <v>241004010</v>
      </c>
      <c r="E41" s="543" t="s">
        <v>361</v>
      </c>
      <c r="F41" s="542" t="s">
        <v>119</v>
      </c>
      <c r="G41" s="544" t="s">
        <v>354</v>
      </c>
      <c r="H41" s="545" t="s">
        <v>576</v>
      </c>
      <c r="I41" s="545"/>
      <c r="J41" s="546"/>
      <c r="K41" s="547" t="s">
        <v>578</v>
      </c>
      <c r="L41" s="545"/>
      <c r="M41" s="545"/>
      <c r="N41" s="548"/>
      <c r="O41" s="549"/>
      <c r="P41" s="977">
        <v>2024</v>
      </c>
      <c r="Q41" s="549"/>
      <c r="R41" s="549"/>
      <c r="S41" s="547"/>
      <c r="T41" s="547"/>
      <c r="V41" s="775"/>
      <c r="W41" s="775"/>
      <c r="X41" s="775"/>
      <c r="Y41" s="775"/>
      <c r="Z41" s="775"/>
      <c r="AA41" s="775"/>
      <c r="AB41" s="775"/>
      <c r="AC41" s="775"/>
      <c r="AD41" s="775"/>
      <c r="AE41" s="775"/>
      <c r="AF41" s="775"/>
      <c r="AG41" s="776"/>
      <c r="AH41" s="755">
        <f t="shared" si="1"/>
        <v>0</v>
      </c>
      <c r="AJ41" s="775"/>
      <c r="AK41" s="775"/>
      <c r="AL41" s="775"/>
      <c r="AM41" s="775"/>
      <c r="AN41" s="775"/>
      <c r="AO41" s="775"/>
      <c r="AP41" s="775"/>
      <c r="AQ41" s="775"/>
      <c r="AR41" s="775"/>
      <c r="AS41" s="775"/>
      <c r="AT41" s="775"/>
      <c r="AU41" s="776"/>
      <c r="AV41" s="755">
        <f t="shared" si="0"/>
        <v>0</v>
      </c>
      <c r="AX41" s="550"/>
      <c r="AY41" s="550"/>
      <c r="AZ41" s="550"/>
      <c r="BA41" s="550"/>
      <c r="BB41" s="550"/>
      <c r="BC41" s="551"/>
      <c r="BD41" s="552"/>
      <c r="BE41" s="552"/>
      <c r="BF41" s="552"/>
      <c r="BG41" s="552"/>
      <c r="BH41" s="552">
        <v>309214045</v>
      </c>
      <c r="BI41" s="552"/>
      <c r="BJ41" s="553">
        <f t="shared" si="4"/>
        <v>309214045</v>
      </c>
      <c r="BK41" s="42"/>
    </row>
    <row r="42" spans="1:63" s="43" customFormat="1" ht="70.5">
      <c r="A42" s="585">
        <f>IF(G42&lt;&gt;"",SUBTOTAL(103,$G$4:G42),"")</f>
        <v>39</v>
      </c>
      <c r="B42" s="542"/>
      <c r="C42" s="543"/>
      <c r="D42" s="543" t="s">
        <v>581</v>
      </c>
      <c r="E42" s="543" t="s">
        <v>167</v>
      </c>
      <c r="F42" s="542" t="s">
        <v>117</v>
      </c>
      <c r="G42" s="544" t="s">
        <v>38</v>
      </c>
      <c r="H42" s="545" t="s">
        <v>582</v>
      </c>
      <c r="I42" s="545"/>
      <c r="J42" s="546"/>
      <c r="K42" s="1355" t="s">
        <v>41</v>
      </c>
      <c r="L42" s="545"/>
      <c r="M42" s="545"/>
      <c r="N42" s="548" t="s">
        <v>209</v>
      </c>
      <c r="O42" s="549">
        <f>34*11001980/48640220+N("$34 áp dụng cho mỗi iss1084G =&gt; nhân thêm tỷ lệ bán hàng NS25")</f>
        <v>7.6904939985879999</v>
      </c>
      <c r="P42" s="977">
        <v>2024</v>
      </c>
      <c r="Q42" s="549">
        <v>9</v>
      </c>
      <c r="R42" s="549"/>
      <c r="S42" s="547"/>
      <c r="T42" s="1355" t="s">
        <v>982</v>
      </c>
      <c r="V42" s="768"/>
      <c r="W42" s="768"/>
      <c r="X42" s="768"/>
      <c r="Y42" s="768"/>
      <c r="Z42" s="1310"/>
      <c r="AA42" s="768"/>
      <c r="AB42" s="768"/>
      <c r="AC42" s="775"/>
      <c r="AD42" s="775"/>
      <c r="AE42" s="775"/>
      <c r="AF42" s="775"/>
      <c r="AG42" s="775"/>
      <c r="AH42" s="1352">
        <f t="shared" si="1"/>
        <v>0</v>
      </c>
      <c r="AJ42" s="768">
        <v>360910735</v>
      </c>
      <c r="AK42" s="768">
        <v>414056653</v>
      </c>
      <c r="AL42" s="768"/>
      <c r="AM42" s="768">
        <v>-2492731</v>
      </c>
      <c r="AN42" s="1310">
        <f>1754618345-659964318</f>
        <v>1094654027</v>
      </c>
      <c r="AO42" s="768"/>
      <c r="AP42" s="768"/>
      <c r="AQ42" s="775"/>
      <c r="AR42" s="775"/>
      <c r="AS42" s="775"/>
      <c r="AT42" s="775"/>
      <c r="AU42" s="775"/>
      <c r="AV42" s="1352">
        <f t="shared" si="0"/>
        <v>1867128684</v>
      </c>
      <c r="AX42" s="775"/>
      <c r="AY42" s="775"/>
      <c r="AZ42" s="775"/>
      <c r="BA42" s="775"/>
      <c r="BB42" s="775"/>
      <c r="BC42" s="775"/>
      <c r="BD42" s="552"/>
      <c r="BE42" s="552"/>
      <c r="BF42" s="552"/>
      <c r="BG42" s="552"/>
      <c r="BH42" s="552">
        <v>1563315823</v>
      </c>
      <c r="BI42" s="552">
        <v>875690931.7770468</v>
      </c>
      <c r="BJ42" s="553">
        <f t="shared" si="4"/>
        <v>2439006754.7770467</v>
      </c>
      <c r="BK42" s="42"/>
    </row>
    <row r="43" spans="1:63" s="43" customFormat="1" ht="210" customHeight="1">
      <c r="A43" s="583">
        <f>IF(G43&lt;&gt;"",SUBTOTAL(103,$G$4:G43),"")</f>
        <v>40</v>
      </c>
      <c r="B43" s="55"/>
      <c r="C43" s="46"/>
      <c r="D43" s="46">
        <v>241204004</v>
      </c>
      <c r="E43" s="46" t="s">
        <v>361</v>
      </c>
      <c r="F43" s="55" t="s">
        <v>117</v>
      </c>
      <c r="G43" s="58" t="s">
        <v>38</v>
      </c>
      <c r="H43" s="62" t="s">
        <v>584</v>
      </c>
      <c r="I43" s="62"/>
      <c r="J43" s="78"/>
      <c r="K43" s="65" t="s">
        <v>583</v>
      </c>
      <c r="L43" s="62"/>
      <c r="M43" s="62"/>
      <c r="N43" s="548" t="s">
        <v>209</v>
      </c>
      <c r="O43" s="261"/>
      <c r="P43" s="974">
        <v>2024</v>
      </c>
      <c r="Q43" s="261"/>
      <c r="R43" s="261"/>
      <c r="S43" s="65"/>
      <c r="T43" s="65"/>
      <c r="V43" s="775"/>
      <c r="W43" s="775"/>
      <c r="X43" s="775"/>
      <c r="Y43" s="775"/>
      <c r="Z43" s="775"/>
      <c r="AA43" s="775"/>
      <c r="AB43" s="775"/>
      <c r="AC43" s="775"/>
      <c r="AD43" s="775"/>
      <c r="AE43" s="775"/>
      <c r="AF43" s="775"/>
      <c r="AG43" s="776"/>
      <c r="AH43" s="751">
        <f t="shared" si="1"/>
        <v>0</v>
      </c>
      <c r="AJ43" s="775"/>
      <c r="AK43" s="775"/>
      <c r="AL43" s="775"/>
      <c r="AM43" s="775"/>
      <c r="AN43" s="775"/>
      <c r="AO43" s="775"/>
      <c r="AP43" s="775"/>
      <c r="AQ43" s="775"/>
      <c r="AR43" s="775"/>
      <c r="AS43" s="775"/>
      <c r="AT43" s="775"/>
      <c r="AU43" s="776"/>
      <c r="AV43" s="751">
        <f t="shared" si="0"/>
        <v>0</v>
      </c>
      <c r="AX43" s="63"/>
      <c r="AY43" s="63"/>
      <c r="AZ43" s="63"/>
      <c r="BA43" s="63"/>
      <c r="BB43" s="63"/>
      <c r="BC43" s="64"/>
      <c r="BD43" s="60">
        <v>653996112</v>
      </c>
      <c r="BE43" s="997"/>
      <c r="BF43" s="997"/>
      <c r="BG43" s="997"/>
      <c r="BH43" s="997"/>
      <c r="BI43" s="997"/>
      <c r="BJ43" s="79">
        <f t="shared" si="4"/>
        <v>653996112</v>
      </c>
      <c r="BK43" s="42"/>
    </row>
    <row r="44" spans="1:63" s="43" customFormat="1" ht="117.5">
      <c r="A44" s="583">
        <f>IF(G44&lt;&gt;"",SUBTOTAL(103,$G$4:G44),"")</f>
        <v>41</v>
      </c>
      <c r="B44" s="55"/>
      <c r="C44" s="46"/>
      <c r="D44" s="46">
        <v>241204005</v>
      </c>
      <c r="E44" s="46" t="s">
        <v>361</v>
      </c>
      <c r="F44" s="55" t="s">
        <v>117</v>
      </c>
      <c r="G44" s="58" t="s">
        <v>38</v>
      </c>
      <c r="H44" s="62" t="s">
        <v>585</v>
      </c>
      <c r="I44" s="62"/>
      <c r="J44" s="78"/>
      <c r="K44" s="65" t="s">
        <v>583</v>
      </c>
      <c r="L44" s="62"/>
      <c r="M44" s="62"/>
      <c r="N44" s="548" t="s">
        <v>209</v>
      </c>
      <c r="O44" s="261"/>
      <c r="P44" s="974">
        <v>2024</v>
      </c>
      <c r="Q44" s="261"/>
      <c r="R44" s="261"/>
      <c r="S44" s="65"/>
      <c r="T44" s="65"/>
      <c r="V44" s="775"/>
      <c r="W44" s="775"/>
      <c r="X44" s="775"/>
      <c r="Y44" s="775"/>
      <c r="Z44" s="775"/>
      <c r="AA44" s="775"/>
      <c r="AB44" s="775"/>
      <c r="AC44" s="775"/>
      <c r="AD44" s="775"/>
      <c r="AE44" s="775"/>
      <c r="AF44" s="775"/>
      <c r="AG44" s="776"/>
      <c r="AH44" s="751">
        <f t="shared" si="1"/>
        <v>0</v>
      </c>
      <c r="AJ44" s="775"/>
      <c r="AK44" s="775"/>
      <c r="AL44" s="775"/>
      <c r="AM44" s="775"/>
      <c r="AN44" s="775"/>
      <c r="AO44" s="775"/>
      <c r="AP44" s="775"/>
      <c r="AQ44" s="775"/>
      <c r="AR44" s="775"/>
      <c r="AS44" s="775"/>
      <c r="AT44" s="775"/>
      <c r="AU44" s="776"/>
      <c r="AV44" s="751">
        <f t="shared" si="0"/>
        <v>0</v>
      </c>
      <c r="AX44" s="63">
        <v>349787938</v>
      </c>
      <c r="AY44" s="996"/>
      <c r="AZ44" s="996"/>
      <c r="BA44" s="996"/>
      <c r="BB44" s="996"/>
      <c r="BC44" s="997"/>
      <c r="BD44" s="997"/>
      <c r="BE44" s="997"/>
      <c r="BF44" s="997"/>
      <c r="BG44" s="997"/>
      <c r="BH44" s="997"/>
      <c r="BI44" s="997"/>
      <c r="BJ44" s="79">
        <f t="shared" si="4"/>
        <v>349787938</v>
      </c>
      <c r="BK44" s="42"/>
    </row>
    <row r="45" spans="1:63" s="43" customFormat="1" ht="117.5">
      <c r="A45" s="583">
        <f>IF(G45&lt;&gt;"",SUBTOTAL(103,$G$4:G45),"")</f>
        <v>42</v>
      </c>
      <c r="B45" s="55"/>
      <c r="C45" s="46"/>
      <c r="D45" s="46">
        <v>241204006</v>
      </c>
      <c r="E45" s="46" t="s">
        <v>361</v>
      </c>
      <c r="F45" s="55" t="s">
        <v>117</v>
      </c>
      <c r="G45" s="58" t="s">
        <v>38</v>
      </c>
      <c r="H45" s="62" t="s">
        <v>586</v>
      </c>
      <c r="I45" s="62"/>
      <c r="J45" s="78"/>
      <c r="K45" s="65" t="s">
        <v>583</v>
      </c>
      <c r="L45" s="62"/>
      <c r="M45" s="62"/>
      <c r="N45" s="548" t="s">
        <v>209</v>
      </c>
      <c r="O45" s="261"/>
      <c r="P45" s="974">
        <v>2024</v>
      </c>
      <c r="Q45" s="261"/>
      <c r="R45" s="261"/>
      <c r="S45" s="65"/>
      <c r="T45" s="65"/>
      <c r="V45" s="775"/>
      <c r="W45" s="775"/>
      <c r="X45" s="775"/>
      <c r="Y45" s="775"/>
      <c r="Z45" s="775"/>
      <c r="AA45" s="775"/>
      <c r="AB45" s="775"/>
      <c r="AC45" s="775"/>
      <c r="AD45" s="775"/>
      <c r="AE45" s="775"/>
      <c r="AF45" s="775"/>
      <c r="AG45" s="776"/>
      <c r="AH45" s="751">
        <f t="shared" si="1"/>
        <v>0</v>
      </c>
      <c r="AJ45" s="775"/>
      <c r="AK45" s="775"/>
      <c r="AL45" s="775"/>
      <c r="AM45" s="775"/>
      <c r="AN45" s="775"/>
      <c r="AO45" s="775"/>
      <c r="AP45" s="775"/>
      <c r="AQ45" s="775"/>
      <c r="AR45" s="775"/>
      <c r="AS45" s="775"/>
      <c r="AT45" s="775"/>
      <c r="AU45" s="776"/>
      <c r="AV45" s="751">
        <f t="shared" si="0"/>
        <v>0</v>
      </c>
      <c r="AX45" s="63"/>
      <c r="AY45" s="63"/>
      <c r="AZ45" s="63"/>
      <c r="BA45" s="63"/>
      <c r="BB45" s="63"/>
      <c r="BC45" s="64"/>
      <c r="BD45" s="60"/>
      <c r="BE45" s="60"/>
      <c r="BF45" s="60"/>
      <c r="BG45" s="60"/>
      <c r="BH45" s="60">
        <v>149340963</v>
      </c>
      <c r="BI45" s="997"/>
      <c r="BJ45" s="79">
        <f t="shared" si="4"/>
        <v>149340963</v>
      </c>
      <c r="BK45" s="42"/>
    </row>
    <row r="46" spans="1:63" s="43" customFormat="1" ht="47">
      <c r="A46" s="585">
        <f>IF(G46&lt;&gt;"",SUBTOTAL(103,$G$4:G46),"")</f>
        <v>43</v>
      </c>
      <c r="B46" s="542"/>
      <c r="C46" s="543"/>
      <c r="D46" s="543">
        <v>241204007</v>
      </c>
      <c r="E46" s="543" t="s">
        <v>361</v>
      </c>
      <c r="F46" s="542" t="s">
        <v>117</v>
      </c>
      <c r="G46" s="544" t="s">
        <v>38</v>
      </c>
      <c r="H46" s="545" t="s">
        <v>587</v>
      </c>
      <c r="I46" s="545"/>
      <c r="J46" s="546"/>
      <c r="K46" s="547" t="s">
        <v>583</v>
      </c>
      <c r="L46" s="545"/>
      <c r="M46" s="545"/>
      <c r="N46" s="548" t="s">
        <v>209</v>
      </c>
      <c r="O46" s="549"/>
      <c r="P46" s="977">
        <v>2024</v>
      </c>
      <c r="Q46" s="549"/>
      <c r="R46" s="549"/>
      <c r="S46" s="547"/>
      <c r="T46" s="547"/>
      <c r="V46" s="775"/>
      <c r="W46" s="775"/>
      <c r="X46" s="775"/>
      <c r="Y46" s="775"/>
      <c r="Z46" s="775"/>
      <c r="AA46" s="775"/>
      <c r="AB46" s="775"/>
      <c r="AC46" s="775"/>
      <c r="AD46" s="775"/>
      <c r="AE46" s="775"/>
      <c r="AF46" s="775"/>
      <c r="AG46" s="776"/>
      <c r="AH46" s="755">
        <f t="shared" si="1"/>
        <v>0</v>
      </c>
      <c r="AJ46" s="775"/>
      <c r="AK46" s="775"/>
      <c r="AL46" s="775"/>
      <c r="AM46" s="775"/>
      <c r="AN46" s="775"/>
      <c r="AO46" s="775"/>
      <c r="AP46" s="775"/>
      <c r="AQ46" s="775"/>
      <c r="AR46" s="775"/>
      <c r="AS46" s="775"/>
      <c r="AT46" s="775"/>
      <c r="AU46" s="776"/>
      <c r="AV46" s="755">
        <f t="shared" si="0"/>
        <v>0</v>
      </c>
      <c r="AX46" s="550"/>
      <c r="AY46" s="550"/>
      <c r="AZ46" s="550"/>
      <c r="BA46" s="550"/>
      <c r="BB46" s="550"/>
      <c r="BC46" s="551"/>
      <c r="BD46" s="552"/>
      <c r="BE46" s="552"/>
      <c r="BF46" s="552"/>
      <c r="BG46" s="552"/>
      <c r="BH46" s="552">
        <v>42425271</v>
      </c>
      <c r="BI46" s="552"/>
      <c r="BJ46" s="553">
        <f t="shared" si="4"/>
        <v>42425271</v>
      </c>
      <c r="BK46" s="42"/>
    </row>
    <row r="47" spans="1:63" s="43" customFormat="1" ht="301.39999999999998" customHeight="1">
      <c r="A47" s="585">
        <f>IF(G47&lt;&gt;"",SUBTOTAL(103,$G$4:G47),"")</f>
        <v>44</v>
      </c>
      <c r="B47" s="542"/>
      <c r="C47" s="543"/>
      <c r="D47" s="543">
        <v>241004004</v>
      </c>
      <c r="E47" s="543" t="s">
        <v>31</v>
      </c>
      <c r="F47" s="542" t="s">
        <v>117</v>
      </c>
      <c r="G47" s="544" t="s">
        <v>580</v>
      </c>
      <c r="H47" s="545" t="s">
        <v>588</v>
      </c>
      <c r="I47" s="545"/>
      <c r="J47" s="546"/>
      <c r="K47" s="547" t="s">
        <v>577</v>
      </c>
      <c r="L47" s="545"/>
      <c r="M47" s="545"/>
      <c r="N47" s="548"/>
      <c r="O47" s="549"/>
      <c r="P47" s="977">
        <v>2024</v>
      </c>
      <c r="Q47" s="549"/>
      <c r="R47" s="549"/>
      <c r="S47" s="547"/>
      <c r="T47" s="547"/>
      <c r="V47" s="758"/>
      <c r="W47" s="758"/>
      <c r="X47" s="758"/>
      <c r="Y47" s="758"/>
      <c r="Z47" s="758"/>
      <c r="AA47" s="758"/>
      <c r="AB47" s="758"/>
      <c r="AC47" s="758"/>
      <c r="AD47" s="758"/>
      <c r="AE47" s="758"/>
      <c r="AF47" s="758"/>
      <c r="AG47" s="758"/>
      <c r="AH47" s="755">
        <f t="shared" si="1"/>
        <v>0</v>
      </c>
      <c r="AJ47" s="758"/>
      <c r="AK47" s="758"/>
      <c r="AL47" s="758"/>
      <c r="AM47" s="758"/>
      <c r="AN47" s="758"/>
      <c r="AO47" s="758"/>
      <c r="AP47" s="758"/>
      <c r="AQ47" s="758"/>
      <c r="AR47" s="758"/>
      <c r="AS47" s="758"/>
      <c r="AT47" s="758"/>
      <c r="AU47" s="758"/>
      <c r="AV47" s="755">
        <f t="shared" si="0"/>
        <v>0</v>
      </c>
      <c r="AX47" s="550"/>
      <c r="AY47" s="550"/>
      <c r="AZ47" s="550"/>
      <c r="BA47" s="550"/>
      <c r="BB47" s="550"/>
      <c r="BC47" s="551"/>
      <c r="BD47" s="552"/>
      <c r="BE47" s="552"/>
      <c r="BF47" s="552"/>
      <c r="BG47" s="552"/>
      <c r="BH47" s="552">
        <v>140156250</v>
      </c>
      <c r="BI47" s="552"/>
      <c r="BJ47" s="553">
        <f>SUM(AX47:BI47)</f>
        <v>140156250</v>
      </c>
      <c r="BK47" s="42"/>
    </row>
    <row r="48" spans="1:63" s="43" customFormat="1" ht="409.5">
      <c r="A48" s="583">
        <f>IF(G48&lt;&gt;"",SUBTOTAL(103,$G$4:G48),"")</f>
        <v>45</v>
      </c>
      <c r="B48" s="55"/>
      <c r="C48" s="46"/>
      <c r="D48" s="46">
        <v>241130004</v>
      </c>
      <c r="E48" s="46" t="s">
        <v>171</v>
      </c>
      <c r="F48" s="55" t="s">
        <v>118</v>
      </c>
      <c r="G48" s="58" t="s">
        <v>354</v>
      </c>
      <c r="H48" s="62" t="s">
        <v>590</v>
      </c>
      <c r="I48" s="62"/>
      <c r="J48" s="78"/>
      <c r="K48" s="65" t="s">
        <v>578</v>
      </c>
      <c r="L48" s="62"/>
      <c r="M48" s="62"/>
      <c r="N48" s="548"/>
      <c r="O48" s="261"/>
      <c r="P48" s="974">
        <v>2024</v>
      </c>
      <c r="Q48" s="261"/>
      <c r="R48" s="261"/>
      <c r="S48" s="65"/>
      <c r="T48" s="65"/>
      <c r="V48" s="775"/>
      <c r="W48" s="775"/>
      <c r="X48" s="775"/>
      <c r="Y48" s="775"/>
      <c r="Z48" s="775"/>
      <c r="AA48" s="775"/>
      <c r="AB48" s="775"/>
      <c r="AC48" s="775"/>
      <c r="AD48" s="775"/>
      <c r="AE48" s="775"/>
      <c r="AF48" s="775"/>
      <c r="AG48" s="776"/>
      <c r="AH48" s="751">
        <f t="shared" si="1"/>
        <v>0</v>
      </c>
      <c r="AJ48" s="775"/>
      <c r="AK48" s="775"/>
      <c r="AL48" s="775"/>
      <c r="AM48" s="775"/>
      <c r="AN48" s="775"/>
      <c r="AO48" s="775"/>
      <c r="AP48" s="775"/>
      <c r="AQ48" s="775"/>
      <c r="AR48" s="775"/>
      <c r="AS48" s="775"/>
      <c r="AT48" s="775"/>
      <c r="AU48" s="776"/>
      <c r="AV48" s="751">
        <f t="shared" si="0"/>
        <v>0</v>
      </c>
      <c r="AX48" s="63">
        <v>17122800</v>
      </c>
      <c r="AY48" s="63">
        <v>317353200</v>
      </c>
      <c r="AZ48" s="63">
        <v>32307600</v>
      </c>
      <c r="BA48" s="63">
        <v>11411400</v>
      </c>
      <c r="BB48" s="63">
        <v>102531600</v>
      </c>
      <c r="BC48" s="64">
        <v>174032400</v>
      </c>
      <c r="BD48" s="60">
        <v>56478800.000000007</v>
      </c>
      <c r="BE48" s="60">
        <v>16312000.000000006</v>
      </c>
      <c r="BF48" s="60">
        <v>13531800</v>
      </c>
      <c r="BG48" s="60">
        <v>46990800</v>
      </c>
      <c r="BH48" s="60">
        <v>190731999.99999997</v>
      </c>
      <c r="BI48" s="60">
        <v>90755400</v>
      </c>
      <c r="BJ48" s="79">
        <f>SUM(AX48:BI48)</f>
        <v>1069559800</v>
      </c>
      <c r="BK48" s="42"/>
    </row>
    <row r="49" spans="1:63" s="43" customFormat="1" ht="47">
      <c r="A49" s="583">
        <f>IF(G49&lt;&gt;"",SUBTOTAL(103,$G$4:G49),"")</f>
        <v>46</v>
      </c>
      <c r="B49" s="55"/>
      <c r="C49" s="46"/>
      <c r="D49" s="46">
        <v>250104001</v>
      </c>
      <c r="E49" s="46" t="s">
        <v>361</v>
      </c>
      <c r="F49" s="55" t="s">
        <v>119</v>
      </c>
      <c r="G49" s="58" t="s">
        <v>58</v>
      </c>
      <c r="H49" s="62" t="s">
        <v>691</v>
      </c>
      <c r="I49" s="62"/>
      <c r="J49" s="78"/>
      <c r="K49" s="65" t="s">
        <v>694</v>
      </c>
      <c r="L49" s="62"/>
      <c r="M49" s="62"/>
      <c r="N49" s="548"/>
      <c r="O49" s="261"/>
      <c r="P49" s="974">
        <v>2025</v>
      </c>
      <c r="Q49" s="261"/>
      <c r="R49" s="261"/>
      <c r="S49" s="65" t="s">
        <v>715</v>
      </c>
      <c r="T49" s="65" t="s">
        <v>983</v>
      </c>
      <c r="V49" s="777"/>
      <c r="W49" s="775"/>
      <c r="X49" s="775"/>
      <c r="Y49" s="775"/>
      <c r="Z49" s="775"/>
      <c r="AA49" s="775"/>
      <c r="AB49" s="775"/>
      <c r="AC49" s="775"/>
      <c r="AD49" s="775"/>
      <c r="AE49" s="775"/>
      <c r="AF49" s="775"/>
      <c r="AG49" s="776"/>
      <c r="AH49" s="751">
        <f t="shared" si="1"/>
        <v>0</v>
      </c>
      <c r="AJ49" s="777">
        <v>88000000</v>
      </c>
      <c r="AK49" s="775"/>
      <c r="AL49" s="775"/>
      <c r="AM49" s="775"/>
      <c r="AN49" s="775"/>
      <c r="AO49" s="775"/>
      <c r="AP49" s="775"/>
      <c r="AQ49" s="775"/>
      <c r="AR49" s="775"/>
      <c r="AS49" s="775"/>
      <c r="AT49" s="775"/>
      <c r="AU49" s="776"/>
      <c r="AV49" s="751">
        <f t="shared" si="0"/>
        <v>88000000</v>
      </c>
      <c r="AX49" s="63"/>
      <c r="AY49" s="63"/>
      <c r="AZ49" s="63"/>
      <c r="BA49" s="63"/>
      <c r="BB49" s="63"/>
      <c r="BC49" s="64"/>
      <c r="BD49" s="60"/>
      <c r="BE49" s="60"/>
      <c r="BF49" s="60"/>
      <c r="BG49" s="60"/>
      <c r="BH49" s="60"/>
      <c r="BI49" s="60"/>
      <c r="BJ49" s="79">
        <f t="shared" ref="BJ49:BJ63" si="8">SUM(AX49:BI49)</f>
        <v>0</v>
      </c>
      <c r="BK49" s="42"/>
    </row>
    <row r="50" spans="1:63" s="43" customFormat="1" ht="75.75" customHeight="1">
      <c r="A50" s="583">
        <f>IF(G50&lt;&gt;"",SUBTOTAL(103,$G$4:G50),"")</f>
        <v>47</v>
      </c>
      <c r="B50" s="55"/>
      <c r="C50" s="46"/>
      <c r="D50" s="46">
        <v>241116001</v>
      </c>
      <c r="E50" s="46" t="s">
        <v>361</v>
      </c>
      <c r="F50" s="55" t="s">
        <v>119</v>
      </c>
      <c r="G50" s="58" t="s">
        <v>58</v>
      </c>
      <c r="H50" s="62" t="s">
        <v>692</v>
      </c>
      <c r="I50" s="62"/>
      <c r="J50" s="78"/>
      <c r="K50" s="65" t="s">
        <v>694</v>
      </c>
      <c r="L50" s="62"/>
      <c r="M50" s="62"/>
      <c r="N50" s="548"/>
      <c r="O50" s="261"/>
      <c r="P50" s="974">
        <v>2025</v>
      </c>
      <c r="Q50" s="261"/>
      <c r="R50" s="261"/>
      <c r="S50" s="65" t="s">
        <v>715</v>
      </c>
      <c r="T50" s="65" t="s">
        <v>983</v>
      </c>
      <c r="V50" s="777"/>
      <c r="W50" s="775"/>
      <c r="X50" s="775"/>
      <c r="Y50" s="775"/>
      <c r="Z50" s="775"/>
      <c r="AA50" s="775"/>
      <c r="AB50" s="775"/>
      <c r="AC50" s="775"/>
      <c r="AD50" s="775"/>
      <c r="AE50" s="775"/>
      <c r="AF50" s="775"/>
      <c r="AG50" s="776"/>
      <c r="AH50" s="751">
        <f t="shared" si="1"/>
        <v>0</v>
      </c>
      <c r="AJ50" s="777">
        <v>4500000</v>
      </c>
      <c r="AK50" s="775"/>
      <c r="AL50" s="775"/>
      <c r="AM50" s="775"/>
      <c r="AN50" s="775"/>
      <c r="AO50" s="775"/>
      <c r="AP50" s="775"/>
      <c r="AQ50" s="775"/>
      <c r="AR50" s="775"/>
      <c r="AS50" s="775"/>
      <c r="AT50" s="775"/>
      <c r="AU50" s="776"/>
      <c r="AV50" s="751">
        <f t="shared" si="0"/>
        <v>4500000</v>
      </c>
      <c r="AX50" s="63"/>
      <c r="AY50" s="63"/>
      <c r="AZ50" s="63"/>
      <c r="BA50" s="63"/>
      <c r="BB50" s="63"/>
      <c r="BC50" s="64"/>
      <c r="BD50" s="60"/>
      <c r="BE50" s="60"/>
      <c r="BF50" s="60"/>
      <c r="BG50" s="60"/>
      <c r="BH50" s="60"/>
      <c r="BI50" s="60"/>
      <c r="BJ50" s="79">
        <f t="shared" si="8"/>
        <v>0</v>
      </c>
      <c r="BK50" s="42"/>
    </row>
    <row r="51" spans="1:63" s="43" customFormat="1" ht="93.75" customHeight="1">
      <c r="A51" s="583">
        <f>IF(G51&lt;&gt;"",SUBTOTAL(103,$G$4:G51),"")</f>
        <v>48</v>
      </c>
      <c r="B51" s="55"/>
      <c r="C51" s="46"/>
      <c r="D51" s="46">
        <v>240930001</v>
      </c>
      <c r="E51" s="46" t="s">
        <v>361</v>
      </c>
      <c r="F51" s="55" t="s">
        <v>117</v>
      </c>
      <c r="G51" s="58" t="s">
        <v>580</v>
      </c>
      <c r="H51" s="62" t="s">
        <v>695</v>
      </c>
      <c r="I51" s="62"/>
      <c r="J51" s="78"/>
      <c r="K51" s="65" t="s">
        <v>696</v>
      </c>
      <c r="L51" s="62"/>
      <c r="M51" s="62"/>
      <c r="N51" s="50"/>
      <c r="O51" s="261"/>
      <c r="P51" s="974">
        <v>2025</v>
      </c>
      <c r="Q51" s="261">
        <v>1</v>
      </c>
      <c r="R51" s="261"/>
      <c r="S51" s="65" t="s">
        <v>715</v>
      </c>
      <c r="T51" s="65" t="s">
        <v>983</v>
      </c>
      <c r="V51" s="998"/>
      <c r="W51" s="756"/>
      <c r="X51" s="998"/>
      <c r="Y51" s="998"/>
      <c r="Z51" s="998"/>
      <c r="AA51" s="998"/>
      <c r="AB51" s="998"/>
      <c r="AC51" s="998"/>
      <c r="AD51" s="998"/>
      <c r="AE51" s="998"/>
      <c r="AF51" s="998"/>
      <c r="AG51" s="999"/>
      <c r="AH51" s="751">
        <f t="shared" si="1"/>
        <v>0</v>
      </c>
      <c r="AJ51" s="998">
        <v>10156080</v>
      </c>
      <c r="AK51" s="756">
        <v>13202904</v>
      </c>
      <c r="AL51" s="998"/>
      <c r="AM51" s="998"/>
      <c r="AN51" s="998">
        <v>43163340</v>
      </c>
      <c r="AO51" s="998">
        <v>17265336</v>
      </c>
      <c r="AP51" s="998"/>
      <c r="AQ51" s="998">
        <v>31483848</v>
      </c>
      <c r="AR51" s="998"/>
      <c r="AS51" s="998">
        <v>34530672</v>
      </c>
      <c r="AT51" s="998">
        <v>25390200</v>
      </c>
      <c r="AU51" s="999"/>
      <c r="AV51" s="751">
        <f t="shared" si="0"/>
        <v>175192380</v>
      </c>
      <c r="AX51" s="63"/>
      <c r="AY51" s="63"/>
      <c r="AZ51" s="63"/>
      <c r="BA51" s="63"/>
      <c r="BB51" s="63"/>
      <c r="BC51" s="64"/>
      <c r="BD51" s="60"/>
      <c r="BE51" s="60"/>
      <c r="BF51" s="60"/>
      <c r="BG51" s="60"/>
      <c r="BH51" s="60"/>
      <c r="BI51" s="60"/>
      <c r="BJ51" s="79">
        <f t="shared" si="8"/>
        <v>0</v>
      </c>
      <c r="BK51" s="42"/>
    </row>
    <row r="52" spans="1:63" s="43" customFormat="1" ht="102.65" customHeight="1">
      <c r="A52" s="583">
        <f>IF(G52&lt;&gt;"",SUBTOTAL(103,$G$4:G52),"")</f>
        <v>49</v>
      </c>
      <c r="B52" s="55"/>
      <c r="C52" s="46"/>
      <c r="D52" s="46">
        <v>241111005</v>
      </c>
      <c r="E52" s="46" t="s">
        <v>361</v>
      </c>
      <c r="F52" s="55" t="s">
        <v>117</v>
      </c>
      <c r="G52" s="58" t="s">
        <v>38</v>
      </c>
      <c r="H52" s="62" t="s">
        <v>756</v>
      </c>
      <c r="I52" s="62"/>
      <c r="J52" s="78"/>
      <c r="K52" s="1354" t="s">
        <v>583</v>
      </c>
      <c r="L52" s="62"/>
      <c r="M52" s="62"/>
      <c r="N52" s="50"/>
      <c r="O52" s="261"/>
      <c r="P52" s="974">
        <v>2025</v>
      </c>
      <c r="Q52" s="261"/>
      <c r="R52" s="261"/>
      <c r="S52" s="65" t="s">
        <v>715</v>
      </c>
      <c r="T52" s="1354" t="s">
        <v>980</v>
      </c>
      <c r="V52" s="998"/>
      <c r="W52" s="756"/>
      <c r="X52" s="758"/>
      <c r="Y52" s="758"/>
      <c r="Z52" s="758"/>
      <c r="AA52" s="758"/>
      <c r="AB52" s="758"/>
      <c r="AC52" s="758"/>
      <c r="AD52" s="758"/>
      <c r="AE52" s="758"/>
      <c r="AF52" s="758"/>
      <c r="AG52" s="759"/>
      <c r="AH52" s="1353">
        <f t="shared" si="1"/>
        <v>0</v>
      </c>
      <c r="AJ52" s="998"/>
      <c r="AK52" s="756">
        <v>1859900000</v>
      </c>
      <c r="AL52" s="758"/>
      <c r="AM52" s="758"/>
      <c r="AN52" s="758"/>
      <c r="AO52" s="758"/>
      <c r="AP52" s="758"/>
      <c r="AQ52" s="758"/>
      <c r="AR52" s="758"/>
      <c r="AS52" s="758"/>
      <c r="AT52" s="758"/>
      <c r="AU52" s="759"/>
      <c r="AV52" s="1353">
        <f t="shared" si="0"/>
        <v>1859900000</v>
      </c>
      <c r="AX52" s="63"/>
      <c r="AY52" s="63"/>
      <c r="AZ52" s="63"/>
      <c r="BA52" s="63"/>
      <c r="BB52" s="63"/>
      <c r="BC52" s="64"/>
      <c r="BD52" s="60"/>
      <c r="BE52" s="60"/>
      <c r="BF52" s="60"/>
      <c r="BG52" s="60"/>
      <c r="BH52" s="60"/>
      <c r="BI52" s="60"/>
      <c r="BJ52" s="79">
        <f t="shared" si="8"/>
        <v>0</v>
      </c>
      <c r="BK52" s="42"/>
    </row>
    <row r="53" spans="1:63" s="43" customFormat="1" ht="93.75" customHeight="1">
      <c r="A53" s="583">
        <f>IF(G53&lt;&gt;"",SUBTOTAL(103,$G$4:G53),"")</f>
        <v>50</v>
      </c>
      <c r="B53" s="55"/>
      <c r="C53" s="46"/>
      <c r="D53" s="46">
        <v>241111006</v>
      </c>
      <c r="E53" s="46" t="s">
        <v>361</v>
      </c>
      <c r="F53" s="55" t="s">
        <v>117</v>
      </c>
      <c r="G53" s="58" t="s">
        <v>38</v>
      </c>
      <c r="H53" s="62" t="s">
        <v>757</v>
      </c>
      <c r="I53" s="62"/>
      <c r="J53" s="78"/>
      <c r="K53" s="1354" t="s">
        <v>583</v>
      </c>
      <c r="L53" s="62"/>
      <c r="M53" s="62"/>
      <c r="N53" s="50"/>
      <c r="O53" s="261"/>
      <c r="P53" s="974">
        <v>2025</v>
      </c>
      <c r="Q53" s="261"/>
      <c r="R53" s="261"/>
      <c r="S53" s="65" t="s">
        <v>715</v>
      </c>
      <c r="T53" s="1354" t="s">
        <v>980</v>
      </c>
      <c r="V53" s="998"/>
      <c r="W53" s="756"/>
      <c r="X53" s="758"/>
      <c r="Y53" s="758"/>
      <c r="Z53" s="758"/>
      <c r="AA53" s="758"/>
      <c r="AB53" s="758"/>
      <c r="AC53" s="758"/>
      <c r="AD53" s="758"/>
      <c r="AE53" s="758"/>
      <c r="AF53" s="758"/>
      <c r="AG53" s="759"/>
      <c r="AH53" s="1353">
        <f t="shared" si="1"/>
        <v>0</v>
      </c>
      <c r="AJ53" s="998"/>
      <c r="AK53" s="756">
        <v>118807500</v>
      </c>
      <c r="AL53" s="758"/>
      <c r="AM53" s="758"/>
      <c r="AN53" s="758"/>
      <c r="AO53" s="758"/>
      <c r="AP53" s="758"/>
      <c r="AQ53" s="758"/>
      <c r="AR53" s="758"/>
      <c r="AS53" s="758"/>
      <c r="AT53" s="758"/>
      <c r="AU53" s="759"/>
      <c r="AV53" s="1353">
        <f t="shared" si="0"/>
        <v>118807500</v>
      </c>
      <c r="AX53" s="63"/>
      <c r="AY53" s="63"/>
      <c r="AZ53" s="63"/>
      <c r="BA53" s="63"/>
      <c r="BB53" s="63"/>
      <c r="BC53" s="64"/>
      <c r="BD53" s="60"/>
      <c r="BE53" s="60"/>
      <c r="BF53" s="60"/>
      <c r="BG53" s="60"/>
      <c r="BH53" s="60"/>
      <c r="BI53" s="60"/>
      <c r="BJ53" s="79">
        <f t="shared" si="8"/>
        <v>0</v>
      </c>
      <c r="BK53" s="42"/>
    </row>
    <row r="54" spans="1:63" s="43" customFormat="1" ht="93.75" customHeight="1">
      <c r="A54" s="583">
        <f>IF(G54&lt;&gt;"",SUBTOTAL(103,$G$4:G54),"")</f>
        <v>51</v>
      </c>
      <c r="B54" s="55"/>
      <c r="C54" s="46"/>
      <c r="D54" s="46">
        <v>250203001</v>
      </c>
      <c r="E54" s="46" t="s">
        <v>173</v>
      </c>
      <c r="F54" s="55" t="s">
        <v>117</v>
      </c>
      <c r="G54" s="58" t="s">
        <v>18</v>
      </c>
      <c r="H54" s="62" t="s">
        <v>760</v>
      </c>
      <c r="I54" s="62"/>
      <c r="J54" s="78"/>
      <c r="K54" s="65" t="s">
        <v>22</v>
      </c>
      <c r="L54" s="62"/>
      <c r="M54" s="62"/>
      <c r="N54" s="50"/>
      <c r="O54" s="261"/>
      <c r="P54" s="974">
        <v>2025</v>
      </c>
      <c r="Q54" s="261"/>
      <c r="R54" s="261"/>
      <c r="S54" s="65" t="s">
        <v>715</v>
      </c>
      <c r="T54" s="65" t="s">
        <v>982</v>
      </c>
      <c r="V54" s="998"/>
      <c r="W54" s="998"/>
      <c r="X54" s="756"/>
      <c r="Y54" s="998"/>
      <c r="Z54" s="998"/>
      <c r="AA54" s="998"/>
      <c r="AB54" s="998"/>
      <c r="AC54" s="998"/>
      <c r="AD54" s="998"/>
      <c r="AE54" s="998"/>
      <c r="AF54" s="998"/>
      <c r="AG54" s="998"/>
      <c r="AH54" s="751">
        <f t="shared" si="1"/>
        <v>0</v>
      </c>
      <c r="AJ54" s="998"/>
      <c r="AK54" s="998"/>
      <c r="AL54" s="756">
        <v>56782500</v>
      </c>
      <c r="AM54" s="998">
        <v>384044993</v>
      </c>
      <c r="AN54" s="998">
        <v>511768500</v>
      </c>
      <c r="AO54" s="998">
        <v>497567312</v>
      </c>
      <c r="AP54" s="998">
        <v>494355100</v>
      </c>
      <c r="AQ54" s="998">
        <v>85674150</v>
      </c>
      <c r="AR54" s="998"/>
      <c r="AS54" s="998">
        <v>1280286030</v>
      </c>
      <c r="AT54" s="998">
        <v>267126020</v>
      </c>
      <c r="AU54" s="998">
        <v>387907500</v>
      </c>
      <c r="AV54" s="751">
        <f>SUM(AJ54:AU54)</f>
        <v>3965512105</v>
      </c>
      <c r="AX54" s="63"/>
      <c r="AY54" s="63"/>
      <c r="AZ54" s="63"/>
      <c r="BA54" s="63"/>
      <c r="BB54" s="63"/>
      <c r="BC54" s="64"/>
      <c r="BD54" s="60"/>
      <c r="BE54" s="60"/>
      <c r="BF54" s="60"/>
      <c r="BG54" s="60"/>
      <c r="BH54" s="60"/>
      <c r="BI54" s="60"/>
      <c r="BJ54" s="79">
        <f t="shared" si="8"/>
        <v>0</v>
      </c>
      <c r="BK54" s="42"/>
    </row>
    <row r="55" spans="1:63" s="43" customFormat="1" ht="141">
      <c r="A55" s="583">
        <f>IF(G55&lt;&gt;"",SUBTOTAL(103,$G$4:G55),"")</f>
        <v>52</v>
      </c>
      <c r="B55" s="55"/>
      <c r="C55" s="46"/>
      <c r="D55" s="46">
        <v>250326001</v>
      </c>
      <c r="E55" s="46" t="s">
        <v>175</v>
      </c>
      <c r="F55" s="55" t="s">
        <v>118</v>
      </c>
      <c r="G55" s="58" t="s">
        <v>25</v>
      </c>
      <c r="H55" s="62" t="s">
        <v>783</v>
      </c>
      <c r="I55" s="62"/>
      <c r="J55" s="78"/>
      <c r="K55" s="65" t="s">
        <v>335</v>
      </c>
      <c r="L55" s="62"/>
      <c r="M55" s="62"/>
      <c r="N55" s="50"/>
      <c r="O55" s="261"/>
      <c r="P55" s="974">
        <v>2025</v>
      </c>
      <c r="Q55" s="261">
        <v>3</v>
      </c>
      <c r="R55" s="261"/>
      <c r="S55" s="65" t="s">
        <v>715</v>
      </c>
      <c r="T55" s="65" t="s">
        <v>980</v>
      </c>
      <c r="V55" s="758"/>
      <c r="W55" s="758"/>
      <c r="X55" s="756"/>
      <c r="Y55" s="756"/>
      <c r="Z55" s="756"/>
      <c r="AA55" s="756"/>
      <c r="AB55" s="756"/>
      <c r="AC55" s="756"/>
      <c r="AD55" s="756"/>
      <c r="AE55" s="756"/>
      <c r="AF55" s="756"/>
      <c r="AG55" s="757"/>
      <c r="AH55" s="751">
        <f t="shared" si="1"/>
        <v>0</v>
      </c>
      <c r="AJ55" s="758"/>
      <c r="AK55" s="758"/>
      <c r="AL55" s="756">
        <v>2837800</v>
      </c>
      <c r="AM55" s="756"/>
      <c r="AN55" s="756"/>
      <c r="AO55" s="756"/>
      <c r="AP55" s="756"/>
      <c r="AQ55" s="756"/>
      <c r="AR55" s="756"/>
      <c r="AS55" s="756"/>
      <c r="AT55" s="756"/>
      <c r="AU55" s="757"/>
      <c r="AV55" s="751">
        <f t="shared" si="0"/>
        <v>2837800</v>
      </c>
      <c r="AX55" s="63"/>
      <c r="AY55" s="63"/>
      <c r="AZ55" s="63"/>
      <c r="BA55" s="63"/>
      <c r="BB55" s="63"/>
      <c r="BC55" s="64"/>
      <c r="BD55" s="60"/>
      <c r="BE55" s="60"/>
      <c r="BF55" s="60"/>
      <c r="BG55" s="60"/>
      <c r="BH55" s="60"/>
      <c r="BI55" s="60"/>
      <c r="BJ55" s="79">
        <f t="shared" si="8"/>
        <v>0</v>
      </c>
      <c r="BK55" s="42"/>
    </row>
    <row r="56" spans="1:63" s="43" customFormat="1" ht="164.5">
      <c r="A56" s="583">
        <f>IF(G56&lt;&gt;"",SUBTOTAL(103,$G$4:G56),"")</f>
        <v>53</v>
      </c>
      <c r="B56" s="55"/>
      <c r="C56" s="46"/>
      <c r="D56" s="46">
        <v>240812004</v>
      </c>
      <c r="E56" s="46" t="s">
        <v>167</v>
      </c>
      <c r="F56" s="55" t="s">
        <v>118</v>
      </c>
      <c r="G56" s="58" t="s">
        <v>25</v>
      </c>
      <c r="H56" s="62" t="s">
        <v>784</v>
      </c>
      <c r="I56" s="62"/>
      <c r="J56" s="78"/>
      <c r="K56" s="65" t="s">
        <v>335</v>
      </c>
      <c r="L56" s="62"/>
      <c r="M56" s="62"/>
      <c r="N56" s="50"/>
      <c r="O56" s="261"/>
      <c r="P56" s="974">
        <v>2025</v>
      </c>
      <c r="Q56" s="261">
        <v>2</v>
      </c>
      <c r="R56" s="261"/>
      <c r="S56" s="65" t="s">
        <v>715</v>
      </c>
      <c r="T56" s="65" t="s">
        <v>980</v>
      </c>
      <c r="V56" s="758"/>
      <c r="W56" s="756"/>
      <c r="X56" s="756"/>
      <c r="Y56" s="756"/>
      <c r="Z56" s="756"/>
      <c r="AA56" s="756"/>
      <c r="AB56" s="756"/>
      <c r="AC56" s="756"/>
      <c r="AD56" s="756"/>
      <c r="AE56" s="756"/>
      <c r="AF56" s="756"/>
      <c r="AG56" s="757"/>
      <c r="AH56" s="751">
        <f t="shared" si="1"/>
        <v>0</v>
      </c>
      <c r="AJ56" s="758"/>
      <c r="AK56" s="756"/>
      <c r="AL56" s="756">
        <v>8784097</v>
      </c>
      <c r="AM56" s="756">
        <v>36174988</v>
      </c>
      <c r="AN56" s="756">
        <v>51320206</v>
      </c>
      <c r="AO56" s="756">
        <v>1487829</v>
      </c>
      <c r="AP56" s="756">
        <v>18185</v>
      </c>
      <c r="AQ56" s="756">
        <v>15299893</v>
      </c>
      <c r="AR56" s="756">
        <v>477035</v>
      </c>
      <c r="AS56" s="756">
        <v>89143431</v>
      </c>
      <c r="AT56" s="756">
        <v>97910244</v>
      </c>
      <c r="AU56" s="757">
        <v>1038554</v>
      </c>
      <c r="AV56" s="751">
        <f t="shared" si="0"/>
        <v>301654462</v>
      </c>
      <c r="AX56" s="63"/>
      <c r="AY56" s="63"/>
      <c r="AZ56" s="63"/>
      <c r="BA56" s="63"/>
      <c r="BB56" s="63"/>
      <c r="BC56" s="64"/>
      <c r="BD56" s="60"/>
      <c r="BE56" s="60"/>
      <c r="BF56" s="60"/>
      <c r="BG56" s="60"/>
      <c r="BH56" s="60"/>
      <c r="BI56" s="60"/>
      <c r="BJ56" s="79">
        <f t="shared" si="8"/>
        <v>0</v>
      </c>
      <c r="BK56" s="42"/>
    </row>
    <row r="57" spans="1:63" s="43" customFormat="1" ht="94">
      <c r="A57" s="583">
        <f>IF(G57&lt;&gt;"",SUBTOTAL(103,$G$4:G57),"")</f>
        <v>54</v>
      </c>
      <c r="B57" s="55"/>
      <c r="C57" s="46"/>
      <c r="D57" s="46">
        <v>240920002</v>
      </c>
      <c r="E57" s="46" t="s">
        <v>175</v>
      </c>
      <c r="F57" s="55" t="s">
        <v>119</v>
      </c>
      <c r="G57" s="58" t="s">
        <v>25</v>
      </c>
      <c r="H57" s="62" t="s">
        <v>785</v>
      </c>
      <c r="I57" s="62"/>
      <c r="J57" s="78"/>
      <c r="K57" s="65" t="s">
        <v>787</v>
      </c>
      <c r="L57" s="62"/>
      <c r="M57" s="62"/>
      <c r="N57" s="50"/>
      <c r="O57" s="261"/>
      <c r="P57" s="974">
        <v>2025</v>
      </c>
      <c r="Q57" s="261">
        <v>1</v>
      </c>
      <c r="R57" s="261"/>
      <c r="S57" s="65" t="s">
        <v>715</v>
      </c>
      <c r="T57" s="65" t="s">
        <v>980</v>
      </c>
      <c r="V57" s="998"/>
      <c r="W57" s="756"/>
      <c r="X57" s="756"/>
      <c r="Y57" s="756"/>
      <c r="Z57" s="756"/>
      <c r="AA57" s="756"/>
      <c r="AB57" s="756"/>
      <c r="AC57" s="756"/>
      <c r="AD57" s="756"/>
      <c r="AE57" s="756"/>
      <c r="AF57" s="756"/>
      <c r="AG57" s="757"/>
      <c r="AH57" s="751">
        <f t="shared" si="1"/>
        <v>0</v>
      </c>
      <c r="AJ57" s="998"/>
      <c r="AK57" s="756"/>
      <c r="AL57" s="756">
        <v>155952000</v>
      </c>
      <c r="AM57" s="756">
        <v>51984000</v>
      </c>
      <c r="AN57" s="756">
        <v>51984000</v>
      </c>
      <c r="AO57" s="756">
        <v>51984000</v>
      </c>
      <c r="AP57" s="756">
        <v>51984000</v>
      </c>
      <c r="AQ57" s="756">
        <v>51984000</v>
      </c>
      <c r="AR57" s="756">
        <v>51984000</v>
      </c>
      <c r="AS57" s="756">
        <v>51984000</v>
      </c>
      <c r="AT57" s="756">
        <v>103968000</v>
      </c>
      <c r="AU57" s="757"/>
      <c r="AV57" s="751">
        <f t="shared" si="0"/>
        <v>623808000</v>
      </c>
      <c r="AX57" s="63"/>
      <c r="AY57" s="63"/>
      <c r="AZ57" s="63"/>
      <c r="BA57" s="63"/>
      <c r="BB57" s="63"/>
      <c r="BC57" s="64"/>
      <c r="BD57" s="60"/>
      <c r="BE57" s="60"/>
      <c r="BF57" s="60"/>
      <c r="BG57" s="60"/>
      <c r="BH57" s="60"/>
      <c r="BI57" s="60"/>
      <c r="BJ57" s="79">
        <f t="shared" si="8"/>
        <v>0</v>
      </c>
      <c r="BK57" s="42"/>
    </row>
    <row r="58" spans="1:63" s="43" customFormat="1" ht="94">
      <c r="A58" s="583">
        <f>IF(G58&lt;&gt;"",SUBTOTAL(103,$G$4:G58),"")</f>
        <v>55</v>
      </c>
      <c r="B58" s="55"/>
      <c r="C58" s="46"/>
      <c r="D58" s="46">
        <v>240920002</v>
      </c>
      <c r="E58" s="46" t="s">
        <v>175</v>
      </c>
      <c r="F58" s="55" t="s">
        <v>119</v>
      </c>
      <c r="G58" s="58" t="s">
        <v>572</v>
      </c>
      <c r="H58" s="62" t="s">
        <v>786</v>
      </c>
      <c r="I58" s="62"/>
      <c r="J58" s="78"/>
      <c r="K58" s="65" t="s">
        <v>30</v>
      </c>
      <c r="L58" s="62"/>
      <c r="M58" s="62"/>
      <c r="N58" s="50"/>
      <c r="O58" s="261"/>
      <c r="P58" s="974">
        <v>2025</v>
      </c>
      <c r="Q58" s="261">
        <v>1</v>
      </c>
      <c r="R58" s="261"/>
      <c r="S58" s="65" t="s">
        <v>715</v>
      </c>
      <c r="T58" s="65" t="s">
        <v>980</v>
      </c>
      <c r="V58" s="998"/>
      <c r="W58" s="756"/>
      <c r="X58" s="756"/>
      <c r="Y58" s="756"/>
      <c r="Z58" s="756"/>
      <c r="AA58" s="756"/>
      <c r="AB58" s="756"/>
      <c r="AC58" s="756"/>
      <c r="AD58" s="756"/>
      <c r="AE58" s="756"/>
      <c r="AF58" s="756"/>
      <c r="AG58" s="757"/>
      <c r="AH58" s="751">
        <f t="shared" si="1"/>
        <v>0</v>
      </c>
      <c r="AJ58" s="998"/>
      <c r="AK58" s="756"/>
      <c r="AL58" s="756">
        <v>155952000</v>
      </c>
      <c r="AM58" s="756">
        <v>51984000</v>
      </c>
      <c r="AN58" s="756">
        <v>51984000</v>
      </c>
      <c r="AO58" s="756">
        <v>51984000</v>
      </c>
      <c r="AP58" s="756">
        <v>51984000</v>
      </c>
      <c r="AQ58" s="756">
        <v>51984000</v>
      </c>
      <c r="AR58" s="756">
        <v>51984000</v>
      </c>
      <c r="AS58" s="756">
        <v>51984000</v>
      </c>
      <c r="AT58" s="756">
        <v>103968000</v>
      </c>
      <c r="AU58" s="757"/>
      <c r="AV58" s="751">
        <f t="shared" si="0"/>
        <v>623808000</v>
      </c>
      <c r="AX58" s="63"/>
      <c r="AY58" s="63"/>
      <c r="AZ58" s="63"/>
      <c r="BA58" s="63"/>
      <c r="BB58" s="63"/>
      <c r="BC58" s="64"/>
      <c r="BD58" s="60"/>
      <c r="BE58" s="60"/>
      <c r="BF58" s="60"/>
      <c r="BG58" s="60"/>
      <c r="BH58" s="60"/>
      <c r="BI58" s="60"/>
      <c r="BJ58" s="79">
        <f t="shared" si="8"/>
        <v>0</v>
      </c>
      <c r="BK58" s="42"/>
    </row>
    <row r="59" spans="1:63" s="43" customFormat="1" ht="70.5">
      <c r="A59" s="583">
        <f>IF(G59&lt;&gt;"",SUBTOTAL(103,$G$4:G59),"")</f>
        <v>56</v>
      </c>
      <c r="B59" s="55"/>
      <c r="C59" s="46"/>
      <c r="D59" s="46">
        <v>241007008</v>
      </c>
      <c r="E59" s="46" t="s">
        <v>31</v>
      </c>
      <c r="F59" s="55" t="s">
        <v>117</v>
      </c>
      <c r="G59" s="58" t="s">
        <v>25</v>
      </c>
      <c r="H59" s="62" t="s">
        <v>788</v>
      </c>
      <c r="I59" s="62"/>
      <c r="J59" s="78"/>
      <c r="K59" s="65" t="s">
        <v>30</v>
      </c>
      <c r="L59" s="62"/>
      <c r="M59" s="62"/>
      <c r="N59" s="50"/>
      <c r="O59" s="261"/>
      <c r="P59" s="974">
        <v>2025</v>
      </c>
      <c r="Q59" s="261">
        <v>1</v>
      </c>
      <c r="R59" s="261"/>
      <c r="S59" s="65" t="s">
        <v>715</v>
      </c>
      <c r="T59" s="65" t="s">
        <v>980</v>
      </c>
      <c r="V59" s="998"/>
      <c r="W59" s="756"/>
      <c r="X59" s="756"/>
      <c r="Y59" s="756"/>
      <c r="Z59" s="756"/>
      <c r="AA59" s="756"/>
      <c r="AB59" s="756"/>
      <c r="AC59" s="756"/>
      <c r="AD59" s="756"/>
      <c r="AE59" s="756"/>
      <c r="AF59" s="756"/>
      <c r="AG59" s="757"/>
      <c r="AH59" s="751">
        <f t="shared" si="1"/>
        <v>0</v>
      </c>
      <c r="AJ59" s="998"/>
      <c r="AK59" s="756"/>
      <c r="AL59" s="756">
        <v>95979643</v>
      </c>
      <c r="AM59" s="756">
        <v>47210781</v>
      </c>
      <c r="AN59" s="756">
        <v>39789916</v>
      </c>
      <c r="AO59" s="756">
        <v>28081946</v>
      </c>
      <c r="AP59" s="756">
        <v>39702323</v>
      </c>
      <c r="AQ59" s="756">
        <v>49861221</v>
      </c>
      <c r="AR59" s="756">
        <v>39357998</v>
      </c>
      <c r="AS59" s="756">
        <v>38802495</v>
      </c>
      <c r="AT59" s="756">
        <v>34360499</v>
      </c>
      <c r="AU59" s="757">
        <v>26834044</v>
      </c>
      <c r="AV59" s="751">
        <f t="shared" si="0"/>
        <v>439980866</v>
      </c>
      <c r="AX59" s="63"/>
      <c r="AY59" s="63"/>
      <c r="AZ59" s="63"/>
      <c r="BA59" s="63"/>
      <c r="BB59" s="63"/>
      <c r="BC59" s="64"/>
      <c r="BD59" s="60"/>
      <c r="BE59" s="60"/>
      <c r="BF59" s="60"/>
      <c r="BG59" s="60"/>
      <c r="BH59" s="60"/>
      <c r="BI59" s="60"/>
      <c r="BJ59" s="79">
        <f t="shared" si="8"/>
        <v>0</v>
      </c>
      <c r="BK59" s="42"/>
    </row>
    <row r="60" spans="1:63" s="43" customFormat="1" ht="60.65" customHeight="1">
      <c r="A60" s="583">
        <f>IF(G60&lt;&gt;"",SUBTOTAL(103,$G$4:G60),"")</f>
        <v>57</v>
      </c>
      <c r="B60" s="55"/>
      <c r="C60" s="46"/>
      <c r="D60" s="46">
        <v>250213003</v>
      </c>
      <c r="E60" s="46" t="s">
        <v>361</v>
      </c>
      <c r="F60" s="55" t="s">
        <v>119</v>
      </c>
      <c r="G60" s="58" t="s">
        <v>717</v>
      </c>
      <c r="H60" s="62" t="s">
        <v>789</v>
      </c>
      <c r="I60" s="62"/>
      <c r="J60" s="78"/>
      <c r="K60" s="65" t="s">
        <v>790</v>
      </c>
      <c r="L60" s="62"/>
      <c r="M60" s="62"/>
      <c r="N60" s="50"/>
      <c r="O60" s="261"/>
      <c r="P60" s="974"/>
      <c r="Q60" s="261"/>
      <c r="R60" s="261"/>
      <c r="S60" s="65" t="s">
        <v>715</v>
      </c>
      <c r="T60" s="65" t="s">
        <v>981</v>
      </c>
      <c r="V60" s="998"/>
      <c r="W60" s="756"/>
      <c r="X60" s="756"/>
      <c r="Y60" s="756"/>
      <c r="Z60" s="756"/>
      <c r="AA60" s="756"/>
      <c r="AB60" s="756"/>
      <c r="AC60" s="756"/>
      <c r="AD60" s="756"/>
      <c r="AE60" s="756"/>
      <c r="AF60" s="756"/>
      <c r="AG60" s="757"/>
      <c r="AH60" s="751">
        <f t="shared" si="1"/>
        <v>0</v>
      </c>
      <c r="AJ60" s="998"/>
      <c r="AK60" s="756"/>
      <c r="AL60" s="756">
        <v>2000000</v>
      </c>
      <c r="AM60" s="756">
        <v>4000000</v>
      </c>
      <c r="AN60" s="756">
        <v>4000000</v>
      </c>
      <c r="AO60" s="756">
        <v>4000000</v>
      </c>
      <c r="AP60" s="756">
        <v>4000000</v>
      </c>
      <c r="AQ60" s="756">
        <v>4000000</v>
      </c>
      <c r="AR60" s="756">
        <v>4000000</v>
      </c>
      <c r="AS60" s="756">
        <v>4000000</v>
      </c>
      <c r="AT60" s="756">
        <v>4000000</v>
      </c>
      <c r="AU60" s="757">
        <v>4000000</v>
      </c>
      <c r="AV60" s="751">
        <f t="shared" si="0"/>
        <v>38000000</v>
      </c>
      <c r="AX60" s="63"/>
      <c r="AY60" s="63"/>
      <c r="AZ60" s="63"/>
      <c r="BA60" s="63"/>
      <c r="BB60" s="63"/>
      <c r="BC60" s="64"/>
      <c r="BD60" s="60"/>
      <c r="BE60" s="60"/>
      <c r="BF60" s="60"/>
      <c r="BG60" s="60"/>
      <c r="BH60" s="60"/>
      <c r="BI60" s="60"/>
      <c r="BJ60" s="79">
        <f t="shared" si="8"/>
        <v>0</v>
      </c>
      <c r="BK60" s="42"/>
    </row>
    <row r="61" spans="1:63" s="43" customFormat="1" ht="60.65" customHeight="1">
      <c r="A61" s="583">
        <f>IF(G61&lt;&gt;"",SUBTOTAL(103,$G$4:G61),"")</f>
        <v>58</v>
      </c>
      <c r="B61" s="55"/>
      <c r="C61" s="46"/>
      <c r="D61" s="46">
        <v>241202004</v>
      </c>
      <c r="E61" s="46" t="s">
        <v>167</v>
      </c>
      <c r="F61" s="55" t="s">
        <v>117</v>
      </c>
      <c r="G61" s="58" t="s">
        <v>580</v>
      </c>
      <c r="H61" s="62" t="s">
        <v>791</v>
      </c>
      <c r="I61" s="62"/>
      <c r="J61" s="78"/>
      <c r="K61" s="1354" t="s">
        <v>577</v>
      </c>
      <c r="L61" s="62"/>
      <c r="M61" s="62"/>
      <c r="N61" s="50"/>
      <c r="O61" s="261"/>
      <c r="P61" s="974"/>
      <c r="Q61" s="261"/>
      <c r="R61" s="261"/>
      <c r="S61" s="65" t="s">
        <v>715</v>
      </c>
      <c r="T61" s="1354" t="s">
        <v>982</v>
      </c>
      <c r="V61" s="998"/>
      <c r="W61" s="756"/>
      <c r="X61" s="756"/>
      <c r="Y61" s="756"/>
      <c r="Z61" s="756"/>
      <c r="AA61" s="756"/>
      <c r="AB61" s="756"/>
      <c r="AC61" s="756"/>
      <c r="AD61" s="756"/>
      <c r="AE61" s="756"/>
      <c r="AF61" s="756"/>
      <c r="AG61" s="757"/>
      <c r="AH61" s="751">
        <f t="shared" si="1"/>
        <v>0</v>
      </c>
      <c r="AJ61" s="998"/>
      <c r="AK61" s="756"/>
      <c r="AL61" s="756">
        <v>132631091.59999999</v>
      </c>
      <c r="AM61" s="756">
        <v>32428652.199999999</v>
      </c>
      <c r="AN61" s="756">
        <v>68448473.799999997</v>
      </c>
      <c r="AO61" s="756">
        <f>56611464*70%</f>
        <v>39628024.799999997</v>
      </c>
      <c r="AP61" s="756">
        <f>170047050*70%</f>
        <v>119032934.99999999</v>
      </c>
      <c r="AQ61" s="756">
        <f>100031784*70%</f>
        <v>70022248.799999997</v>
      </c>
      <c r="AR61" s="756">
        <v>102019131.19999999</v>
      </c>
      <c r="AS61" s="756">
        <v>24081349.599999998</v>
      </c>
      <c r="AT61" s="756">
        <v>146368481</v>
      </c>
      <c r="AU61" s="757">
        <v>120873325.99999999</v>
      </c>
      <c r="AV61" s="751">
        <f t="shared" si="0"/>
        <v>855533714</v>
      </c>
      <c r="AX61" s="63"/>
      <c r="AY61" s="63"/>
      <c r="AZ61" s="63"/>
      <c r="BA61" s="63"/>
      <c r="BB61" s="63"/>
      <c r="BC61" s="64"/>
      <c r="BD61" s="60"/>
      <c r="BE61" s="60"/>
      <c r="BF61" s="60"/>
      <c r="BG61" s="60"/>
      <c r="BH61" s="60"/>
      <c r="BI61" s="60"/>
      <c r="BJ61" s="79">
        <f t="shared" si="8"/>
        <v>0</v>
      </c>
      <c r="BK61" s="42"/>
    </row>
    <row r="62" spans="1:63" s="43" customFormat="1" ht="60.65" customHeight="1">
      <c r="A62" s="583">
        <f>IF(G62&lt;&gt;"",SUBTOTAL(103,$G$4:G62),"")</f>
        <v>59</v>
      </c>
      <c r="B62" s="44"/>
      <c r="C62" s="45"/>
      <c r="D62" s="45">
        <v>241202004</v>
      </c>
      <c r="E62" s="46" t="s">
        <v>167</v>
      </c>
      <c r="F62" s="55" t="s">
        <v>117</v>
      </c>
      <c r="G62" s="47" t="s">
        <v>75</v>
      </c>
      <c r="H62" s="1118" t="s">
        <v>791</v>
      </c>
      <c r="I62" s="1118"/>
      <c r="J62" s="1119"/>
      <c r="K62" s="1120" t="s">
        <v>619</v>
      </c>
      <c r="L62" s="1118"/>
      <c r="M62" s="1118"/>
      <c r="N62" s="1121"/>
      <c r="O62" s="1122"/>
      <c r="P62" s="1123"/>
      <c r="Q62" s="1122"/>
      <c r="R62" s="1122"/>
      <c r="S62" s="1120" t="s">
        <v>715</v>
      </c>
      <c r="T62" s="1120" t="s">
        <v>982</v>
      </c>
      <c r="V62" s="1010"/>
      <c r="W62" s="1125"/>
      <c r="X62" s="1125"/>
      <c r="Y62" s="1125"/>
      <c r="Z62" s="1125"/>
      <c r="AA62" s="1125"/>
      <c r="AB62" s="1125"/>
      <c r="AC62" s="1125"/>
      <c r="AD62" s="1125"/>
      <c r="AE62" s="1125"/>
      <c r="AF62" s="1125"/>
      <c r="AG62" s="1126"/>
      <c r="AH62" s="1127">
        <f t="shared" si="1"/>
        <v>0</v>
      </c>
      <c r="AJ62" s="1010"/>
      <c r="AK62" s="1125"/>
      <c r="AL62" s="1125">
        <v>56841896.399999999</v>
      </c>
      <c r="AM62" s="1125">
        <v>13897993.799999999</v>
      </c>
      <c r="AN62" s="1125">
        <v>29335060.199999999</v>
      </c>
      <c r="AO62" s="1125">
        <f>56611464*30%</f>
        <v>16983439.199999999</v>
      </c>
      <c r="AP62" s="1125">
        <f>170047050*30%</f>
        <v>51014115</v>
      </c>
      <c r="AQ62" s="1125">
        <f>100031784*30%</f>
        <v>30009535.199999999</v>
      </c>
      <c r="AR62" s="1125">
        <v>43722484.799999997</v>
      </c>
      <c r="AS62" s="1125">
        <v>10320578.4</v>
      </c>
      <c r="AT62" s="1125">
        <v>62729349</v>
      </c>
      <c r="AU62" s="1126">
        <v>51802854</v>
      </c>
      <c r="AV62" s="1127">
        <f t="shared" si="0"/>
        <v>366657306</v>
      </c>
      <c r="AX62" s="63"/>
      <c r="AY62" s="63"/>
      <c r="AZ62" s="63"/>
      <c r="BA62" s="63"/>
      <c r="BB62" s="63"/>
      <c r="BC62" s="64"/>
      <c r="BD62" s="60"/>
      <c r="BE62" s="60"/>
      <c r="BF62" s="60"/>
      <c r="BG62" s="60"/>
      <c r="BH62" s="60"/>
      <c r="BI62" s="60"/>
      <c r="BJ62" s="79"/>
      <c r="BK62" s="42"/>
    </row>
    <row r="63" spans="1:63" s="43" customFormat="1" ht="226.5" customHeight="1">
      <c r="A63" s="583">
        <f>IF(G63&lt;&gt;"",SUBTOTAL(103,$G$4:G63),"")</f>
        <v>60</v>
      </c>
      <c r="B63" s="44"/>
      <c r="C63" s="45"/>
      <c r="D63" s="45">
        <v>250221003</v>
      </c>
      <c r="E63" s="45" t="s">
        <v>175</v>
      </c>
      <c r="F63" s="44" t="s">
        <v>119</v>
      </c>
      <c r="G63" s="47" t="s">
        <v>38</v>
      </c>
      <c r="H63" s="1118" t="s">
        <v>793</v>
      </c>
      <c r="I63" s="1118"/>
      <c r="J63" s="1119"/>
      <c r="K63" s="1120" t="s">
        <v>792</v>
      </c>
      <c r="L63" s="1118"/>
      <c r="M63" s="1118"/>
      <c r="N63" s="1121"/>
      <c r="O63" s="1122"/>
      <c r="P63" s="1123">
        <v>2025</v>
      </c>
      <c r="Q63" s="1122">
        <v>3</v>
      </c>
      <c r="R63" s="1122"/>
      <c r="S63" s="1120" t="s">
        <v>715</v>
      </c>
      <c r="T63" s="1120" t="s">
        <v>980</v>
      </c>
      <c r="U63" s="1124"/>
      <c r="V63" s="1000"/>
      <c r="W63" s="1000"/>
      <c r="X63" s="1125"/>
      <c r="Y63" s="1000"/>
      <c r="Z63" s="1000"/>
      <c r="AA63" s="1000"/>
      <c r="AB63" s="1000"/>
      <c r="AC63" s="1000"/>
      <c r="AD63" s="1000"/>
      <c r="AE63" s="1000"/>
      <c r="AF63" s="1000"/>
      <c r="AG63" s="1001"/>
      <c r="AH63" s="1127">
        <f t="shared" si="1"/>
        <v>0</v>
      </c>
      <c r="AI63" s="1124"/>
      <c r="AJ63" s="1000"/>
      <c r="AK63" s="1000"/>
      <c r="AL63" s="1125">
        <v>2226000</v>
      </c>
      <c r="AM63" s="1000"/>
      <c r="AN63" s="1000"/>
      <c r="AO63" s="1000"/>
      <c r="AP63" s="1000"/>
      <c r="AQ63" s="1000"/>
      <c r="AR63" s="1000"/>
      <c r="AS63" s="1000"/>
      <c r="AT63" s="1000"/>
      <c r="AU63" s="1001"/>
      <c r="AV63" s="1127">
        <f t="shared" si="0"/>
        <v>2226000</v>
      </c>
      <c r="AX63" s="63"/>
      <c r="AY63" s="63"/>
      <c r="AZ63" s="63"/>
      <c r="BA63" s="63"/>
      <c r="BB63" s="63"/>
      <c r="BC63" s="64"/>
      <c r="BD63" s="60"/>
      <c r="BE63" s="60"/>
      <c r="BF63" s="60"/>
      <c r="BG63" s="60"/>
      <c r="BH63" s="60"/>
      <c r="BI63" s="60"/>
      <c r="BJ63" s="79">
        <f t="shared" si="8"/>
        <v>0</v>
      </c>
      <c r="BK63" s="42"/>
    </row>
    <row r="64" spans="1:63" s="43" customFormat="1" ht="168" customHeight="1">
      <c r="A64" s="583">
        <f>IF(G64&lt;&gt;"",SUBTOTAL(103,$G$4:G64),"")</f>
        <v>61</v>
      </c>
      <c r="B64" s="55"/>
      <c r="C64" s="46"/>
      <c r="D64" s="46">
        <v>250326006</v>
      </c>
      <c r="E64" s="46" t="s">
        <v>175</v>
      </c>
      <c r="F64" s="55" t="s">
        <v>119</v>
      </c>
      <c r="G64" s="58" t="s">
        <v>181</v>
      </c>
      <c r="H64" s="62" t="s">
        <v>796</v>
      </c>
      <c r="I64" s="62"/>
      <c r="J64" s="78"/>
      <c r="K64" s="65" t="s">
        <v>187</v>
      </c>
      <c r="L64" s="62"/>
      <c r="M64" s="62"/>
      <c r="N64" s="50"/>
      <c r="O64" s="261"/>
      <c r="P64" s="974">
        <v>2025</v>
      </c>
      <c r="Q64" s="261">
        <v>4</v>
      </c>
      <c r="R64" s="261"/>
      <c r="S64" s="65" t="s">
        <v>715</v>
      </c>
      <c r="T64" s="65" t="s">
        <v>980</v>
      </c>
      <c r="U64" s="1128"/>
      <c r="V64" s="758"/>
      <c r="W64" s="758"/>
      <c r="X64" s="1155"/>
      <c r="Y64" s="1129"/>
      <c r="Z64" s="756"/>
      <c r="AA64" s="756"/>
      <c r="AB64" s="756"/>
      <c r="AC64" s="756"/>
      <c r="AD64" s="756"/>
      <c r="AE64" s="756"/>
      <c r="AF64" s="756"/>
      <c r="AG64" s="1379"/>
      <c r="AH64" s="751">
        <f t="shared" si="1"/>
        <v>0</v>
      </c>
      <c r="AI64" s="1128"/>
      <c r="AJ64" s="758"/>
      <c r="AK64" s="758"/>
      <c r="AL64" s="1155"/>
      <c r="AM64" s="1129">
        <v>12000000</v>
      </c>
      <c r="AN64" s="756">
        <v>12000000</v>
      </c>
      <c r="AO64" s="756">
        <v>17833333</v>
      </c>
      <c r="AP64" s="756">
        <v>17833333</v>
      </c>
      <c r="AQ64" s="756">
        <v>64500000</v>
      </c>
      <c r="AR64" s="756">
        <v>29500000</v>
      </c>
      <c r="AS64" s="756">
        <v>40000000</v>
      </c>
      <c r="AT64" s="756">
        <v>28333333</v>
      </c>
      <c r="AU64" s="1379">
        <v>10000000</v>
      </c>
      <c r="AV64" s="751">
        <f t="shared" si="0"/>
        <v>231999999</v>
      </c>
      <c r="AX64" s="63"/>
      <c r="AY64" s="63"/>
      <c r="AZ64" s="63"/>
      <c r="BA64" s="63"/>
      <c r="BB64" s="63"/>
      <c r="BC64" s="64"/>
      <c r="BD64" s="60"/>
      <c r="BE64" s="60"/>
      <c r="BF64" s="60"/>
      <c r="BG64" s="60"/>
      <c r="BH64" s="60"/>
      <c r="BI64" s="60"/>
      <c r="BJ64" s="79"/>
      <c r="BK64" s="42"/>
    </row>
    <row r="65" spans="1:63" s="43" customFormat="1" ht="168" customHeight="1">
      <c r="A65" s="585">
        <f>IF(G65&lt;&gt;"",SUBTOTAL(103,$G$4:G65),"")</f>
        <v>62</v>
      </c>
      <c r="B65" s="542"/>
      <c r="C65" s="543"/>
      <c r="D65" s="543">
        <v>250331008</v>
      </c>
      <c r="E65" s="543" t="s">
        <v>169</v>
      </c>
      <c r="F65" s="542" t="s">
        <v>118</v>
      </c>
      <c r="G65" s="544" t="s">
        <v>38</v>
      </c>
      <c r="H65" s="545" t="s">
        <v>798</v>
      </c>
      <c r="I65" s="545"/>
      <c r="J65" s="546"/>
      <c r="K65" s="547" t="s">
        <v>797</v>
      </c>
      <c r="L65" s="545"/>
      <c r="M65" s="545"/>
      <c r="N65" s="50"/>
      <c r="O65" s="261"/>
      <c r="P65" s="974">
        <v>2025</v>
      </c>
      <c r="Q65" s="261">
        <v>4</v>
      </c>
      <c r="R65" s="261"/>
      <c r="S65" s="65" t="s">
        <v>715</v>
      </c>
      <c r="T65" s="65" t="s">
        <v>980</v>
      </c>
      <c r="U65" s="1130"/>
      <c r="V65" s="775"/>
      <c r="W65" s="775"/>
      <c r="X65" s="1156"/>
      <c r="Y65" s="768"/>
      <c r="Z65" s="768"/>
      <c r="AA65" s="768"/>
      <c r="AB65" s="768"/>
      <c r="AC65" s="768"/>
      <c r="AD65" s="768"/>
      <c r="AE65" s="768"/>
      <c r="AF65" s="768"/>
      <c r="AG65" s="1131"/>
      <c r="AH65" s="755">
        <f t="shared" si="1"/>
        <v>0</v>
      </c>
      <c r="AI65" s="1130"/>
      <c r="AJ65" s="775"/>
      <c r="AK65" s="775"/>
      <c r="AL65" s="1156"/>
      <c r="AM65" s="768">
        <v>10101026</v>
      </c>
      <c r="AN65" s="768">
        <v>14038418</v>
      </c>
      <c r="AO65" s="768">
        <v>7109589</v>
      </c>
      <c r="AP65" s="768">
        <v>14834686</v>
      </c>
      <c r="AQ65" s="768">
        <v>12045674</v>
      </c>
      <c r="AR65" s="768">
        <v>11103615</v>
      </c>
      <c r="AS65" s="768"/>
      <c r="AT65" s="768"/>
      <c r="AU65" s="1131">
        <v>5735633</v>
      </c>
      <c r="AV65" s="755">
        <f t="shared" si="0"/>
        <v>74968641</v>
      </c>
      <c r="AX65" s="550"/>
      <c r="AY65" s="550"/>
      <c r="AZ65" s="550"/>
      <c r="BA65" s="550"/>
      <c r="BB65" s="550"/>
      <c r="BC65" s="551"/>
      <c r="BD65" s="552"/>
      <c r="BE65" s="552"/>
      <c r="BF65" s="552"/>
      <c r="BG65" s="552"/>
      <c r="BH65" s="552"/>
      <c r="BI65" s="552"/>
      <c r="BJ65" s="553"/>
      <c r="BK65" s="42"/>
    </row>
    <row r="66" spans="1:63" s="43" customFormat="1" ht="408.75" customHeight="1" thickBot="1">
      <c r="A66" s="585">
        <f>IF(G66&lt;&gt;"",SUBTOTAL(103,$G$4:G66),"")</f>
        <v>63</v>
      </c>
      <c r="B66" s="1137"/>
      <c r="C66" s="1138"/>
      <c r="D66" s="46">
        <v>250321010</v>
      </c>
      <c r="E66" s="46" t="s">
        <v>169</v>
      </c>
      <c r="F66" s="55" t="s">
        <v>119</v>
      </c>
      <c r="G66" s="58" t="s">
        <v>38</v>
      </c>
      <c r="H66" s="62" t="s">
        <v>800</v>
      </c>
      <c r="I66" s="62"/>
      <c r="J66" s="78"/>
      <c r="K66" s="65" t="s">
        <v>792</v>
      </c>
      <c r="L66" s="62"/>
      <c r="M66" s="62"/>
      <c r="N66" s="50"/>
      <c r="O66" s="261"/>
      <c r="P66" s="974">
        <v>2025</v>
      </c>
      <c r="Q66" s="261">
        <v>4</v>
      </c>
      <c r="R66" s="261"/>
      <c r="S66" s="65" t="s">
        <v>715</v>
      </c>
      <c r="T66" s="65" t="s">
        <v>980</v>
      </c>
      <c r="V66" s="758"/>
      <c r="W66" s="758"/>
      <c r="X66" s="1155"/>
      <c r="Y66" s="756"/>
      <c r="Z66" s="756"/>
      <c r="AA66" s="756"/>
      <c r="AB66" s="756"/>
      <c r="AC66" s="756"/>
      <c r="AD66" s="756"/>
      <c r="AE66" s="756"/>
      <c r="AF66" s="756"/>
      <c r="AG66" s="757"/>
      <c r="AH66" s="751">
        <f t="shared" si="1"/>
        <v>0</v>
      </c>
      <c r="AJ66" s="758"/>
      <c r="AK66" s="758"/>
      <c r="AL66" s="1155"/>
      <c r="AM66" s="756">
        <v>4988069</v>
      </c>
      <c r="AN66" s="756"/>
      <c r="AO66" s="756"/>
      <c r="AP66" s="756"/>
      <c r="AQ66" s="756"/>
      <c r="AR66" s="756"/>
      <c r="AS66" s="756"/>
      <c r="AT66" s="756"/>
      <c r="AU66" s="757"/>
      <c r="AV66" s="751">
        <f t="shared" si="0"/>
        <v>4988069</v>
      </c>
      <c r="AX66" s="63"/>
      <c r="AY66" s="63"/>
      <c r="AZ66" s="63"/>
      <c r="BA66" s="63"/>
      <c r="BB66" s="63"/>
      <c r="BC66" s="64"/>
      <c r="BD66" s="60"/>
      <c r="BE66" s="60"/>
      <c r="BF66" s="60"/>
      <c r="BG66" s="60"/>
      <c r="BH66" s="60"/>
      <c r="BI66" s="60"/>
      <c r="BJ66" s="79"/>
      <c r="BK66" s="42"/>
    </row>
    <row r="67" spans="1:63" s="43" customFormat="1" ht="168" customHeight="1" thickBot="1">
      <c r="A67" s="583">
        <f>IF(G67&lt;&gt;"",SUBTOTAL(103,$G$4:G67),"")</f>
        <v>64</v>
      </c>
      <c r="B67" s="1149"/>
      <c r="C67" s="1150"/>
      <c r="D67" s="46">
        <v>250115005</v>
      </c>
      <c r="E67" s="46" t="s">
        <v>171</v>
      </c>
      <c r="F67" s="55" t="s">
        <v>118</v>
      </c>
      <c r="G67" s="58" t="s">
        <v>25</v>
      </c>
      <c r="H67" s="62" t="s">
        <v>801</v>
      </c>
      <c r="I67" s="62"/>
      <c r="J67" s="78"/>
      <c r="K67" s="65" t="s">
        <v>27</v>
      </c>
      <c r="L67" s="62"/>
      <c r="M67" s="62"/>
      <c r="N67" s="50"/>
      <c r="O67" s="261"/>
      <c r="P67" s="974">
        <v>2025</v>
      </c>
      <c r="Q67" s="261">
        <v>4</v>
      </c>
      <c r="R67" s="261"/>
      <c r="S67" s="65" t="s">
        <v>715</v>
      </c>
      <c r="T67" s="65" t="s">
        <v>980</v>
      </c>
      <c r="V67" s="758"/>
      <c r="W67" s="758"/>
      <c r="X67" s="1155"/>
      <c r="Y67" s="756"/>
      <c r="Z67" s="756"/>
      <c r="AA67" s="756"/>
      <c r="AB67" s="756"/>
      <c r="AC67" s="756"/>
      <c r="AD67" s="756"/>
      <c r="AE67" s="756"/>
      <c r="AF67" s="756"/>
      <c r="AG67" s="757"/>
      <c r="AH67" s="751">
        <f t="shared" si="1"/>
        <v>0</v>
      </c>
      <c r="AJ67" s="758"/>
      <c r="AK67" s="758"/>
      <c r="AL67" s="1155"/>
      <c r="AM67" s="756">
        <v>11872000</v>
      </c>
      <c r="AN67" s="756">
        <v>4128579</v>
      </c>
      <c r="AO67" s="756">
        <v>24336000</v>
      </c>
      <c r="AP67" s="756"/>
      <c r="AQ67" s="756"/>
      <c r="AR67" s="756"/>
      <c r="AS67" s="756"/>
      <c r="AT67" s="756"/>
      <c r="AU67" s="757"/>
      <c r="AV67" s="751">
        <f t="shared" si="0"/>
        <v>40336579</v>
      </c>
      <c r="AX67" s="63"/>
      <c r="AY67" s="63"/>
      <c r="AZ67" s="63"/>
      <c r="BA67" s="63"/>
      <c r="BB67" s="63"/>
      <c r="BC67" s="64"/>
      <c r="BD67" s="60"/>
      <c r="BE67" s="60"/>
      <c r="BF67" s="60"/>
      <c r="BG67" s="60"/>
      <c r="BH67" s="60"/>
      <c r="BI67" s="60"/>
      <c r="BJ67" s="79"/>
      <c r="BK67" s="42"/>
    </row>
    <row r="68" spans="1:63" s="43" customFormat="1" ht="168" customHeight="1" thickBot="1">
      <c r="A68" s="583">
        <f>IF(G68&lt;&gt;"",SUBTOTAL(103,$G$4:G68),"")</f>
        <v>65</v>
      </c>
      <c r="B68" s="1149"/>
      <c r="C68" s="1150"/>
      <c r="D68" s="46">
        <v>250227011</v>
      </c>
      <c r="E68" s="46" t="s">
        <v>361</v>
      </c>
      <c r="F68" s="55" t="s">
        <v>119</v>
      </c>
      <c r="G68" s="58" t="s">
        <v>718</v>
      </c>
      <c r="H68" s="62" t="s">
        <v>803</v>
      </c>
      <c r="I68" s="62"/>
      <c r="J68" s="78"/>
      <c r="K68" s="65" t="s">
        <v>802</v>
      </c>
      <c r="L68" s="62"/>
      <c r="M68" s="62"/>
      <c r="N68" s="50"/>
      <c r="O68" s="261"/>
      <c r="P68" s="974">
        <v>2024</v>
      </c>
      <c r="Q68" s="261"/>
      <c r="R68" s="261"/>
      <c r="S68" s="65" t="s">
        <v>715</v>
      </c>
      <c r="T68" s="65" t="s">
        <v>983</v>
      </c>
      <c r="V68" s="758"/>
      <c r="W68" s="758"/>
      <c r="X68" s="1155"/>
      <c r="Y68" s="1157"/>
      <c r="Z68" s="758"/>
      <c r="AA68" s="758"/>
      <c r="AB68" s="758"/>
      <c r="AC68" s="758"/>
      <c r="AD68" s="758"/>
      <c r="AE68" s="758"/>
      <c r="AF68" s="758"/>
      <c r="AG68" s="759"/>
      <c r="AH68" s="751">
        <f t="shared" si="1"/>
        <v>0</v>
      </c>
      <c r="AJ68" s="758"/>
      <c r="AK68" s="758"/>
      <c r="AL68" s="1155"/>
      <c r="AM68" s="1157">
        <v>200500000</v>
      </c>
      <c r="AN68" s="758"/>
      <c r="AO68" s="758"/>
      <c r="AP68" s="758"/>
      <c r="AQ68" s="758"/>
      <c r="AR68" s="758"/>
      <c r="AS68" s="758"/>
      <c r="AT68" s="758"/>
      <c r="AU68" s="759"/>
      <c r="AV68" s="751">
        <f t="shared" ref="AV68:AV75" si="9">SUM(AJ68:AU68)</f>
        <v>200500000</v>
      </c>
      <c r="AX68" s="63"/>
      <c r="AY68" s="63"/>
      <c r="AZ68" s="63"/>
      <c r="BA68" s="63"/>
      <c r="BB68" s="63"/>
      <c r="BC68" s="64"/>
      <c r="BD68" s="60"/>
      <c r="BE68" s="60"/>
      <c r="BF68" s="60"/>
      <c r="BG68" s="60"/>
      <c r="BH68" s="60"/>
      <c r="BI68" s="60"/>
      <c r="BJ68" s="79"/>
      <c r="BK68" s="42"/>
    </row>
    <row r="69" spans="1:63" s="43" customFormat="1" ht="168" customHeight="1" thickBot="1">
      <c r="A69" s="583">
        <f>IF(G69&lt;&gt;"",SUBTOTAL(103,$G$4:G69),"")</f>
        <v>66</v>
      </c>
      <c r="B69" s="1149"/>
      <c r="C69" s="1150"/>
      <c r="D69" s="46">
        <v>250310001</v>
      </c>
      <c r="E69" s="46" t="s">
        <v>361</v>
      </c>
      <c r="F69" s="55" t="s">
        <v>119</v>
      </c>
      <c r="G69" s="58" t="s">
        <v>38</v>
      </c>
      <c r="H69" s="62" t="s">
        <v>805</v>
      </c>
      <c r="I69" s="62"/>
      <c r="J69" s="78"/>
      <c r="K69" s="1354" t="s">
        <v>792</v>
      </c>
      <c r="L69" s="62"/>
      <c r="M69" s="62"/>
      <c r="N69" s="50"/>
      <c r="O69" s="261"/>
      <c r="P69" s="974">
        <v>2025</v>
      </c>
      <c r="Q69" s="261"/>
      <c r="R69" s="261"/>
      <c r="S69" s="65" t="s">
        <v>715</v>
      </c>
      <c r="T69" s="1354" t="s">
        <v>980</v>
      </c>
      <c r="V69" s="758"/>
      <c r="W69" s="758"/>
      <c r="X69" s="1155"/>
      <c r="Y69" s="756"/>
      <c r="Z69" s="758"/>
      <c r="AA69" s="758"/>
      <c r="AB69" s="758"/>
      <c r="AC69" s="758"/>
      <c r="AD69" s="758"/>
      <c r="AE69" s="758"/>
      <c r="AF69" s="758"/>
      <c r="AG69" s="759"/>
      <c r="AH69" s="1353">
        <f t="shared" ref="AH69:AH132" si="10">SUM(V69:AG69)</f>
        <v>0</v>
      </c>
      <c r="AJ69" s="758"/>
      <c r="AK69" s="758"/>
      <c r="AL69" s="1155"/>
      <c r="AM69" s="756">
        <v>92320099</v>
      </c>
      <c r="AN69" s="758"/>
      <c r="AO69" s="758"/>
      <c r="AP69" s="758"/>
      <c r="AQ69" s="758"/>
      <c r="AR69" s="758"/>
      <c r="AS69" s="758"/>
      <c r="AT69" s="758"/>
      <c r="AU69" s="759"/>
      <c r="AV69" s="1353">
        <f t="shared" si="9"/>
        <v>92320099</v>
      </c>
      <c r="AX69" s="63"/>
      <c r="AY69" s="63"/>
      <c r="AZ69" s="63"/>
      <c r="BA69" s="63"/>
      <c r="BB69" s="63"/>
      <c r="BC69" s="64"/>
      <c r="BD69" s="60"/>
      <c r="BE69" s="60"/>
      <c r="BF69" s="60"/>
      <c r="BG69" s="60"/>
      <c r="BH69" s="60"/>
      <c r="BI69" s="60"/>
      <c r="BJ69" s="79"/>
      <c r="BK69" s="42"/>
    </row>
    <row r="70" spans="1:63" s="43" customFormat="1" ht="168" customHeight="1" thickBot="1">
      <c r="A70" s="583">
        <f>IF(G70&lt;&gt;"",SUBTOTAL(103,$G$4:G70),"")</f>
        <v>67</v>
      </c>
      <c r="B70" s="1149"/>
      <c r="C70" s="1150"/>
      <c r="D70" s="46">
        <v>250312010</v>
      </c>
      <c r="E70" s="46" t="s">
        <v>169</v>
      </c>
      <c r="F70" s="55" t="s">
        <v>119</v>
      </c>
      <c r="G70" s="58" t="s">
        <v>38</v>
      </c>
      <c r="H70" s="62" t="s">
        <v>806</v>
      </c>
      <c r="I70" s="62"/>
      <c r="J70" s="78"/>
      <c r="K70" s="65" t="s">
        <v>792</v>
      </c>
      <c r="L70" s="62"/>
      <c r="M70" s="62"/>
      <c r="N70" s="50"/>
      <c r="O70" s="261"/>
      <c r="P70" s="974">
        <v>2025</v>
      </c>
      <c r="Q70" s="261">
        <v>1</v>
      </c>
      <c r="R70" s="261"/>
      <c r="S70" s="65" t="s">
        <v>715</v>
      </c>
      <c r="T70" s="65" t="s">
        <v>980</v>
      </c>
      <c r="V70" s="998"/>
      <c r="W70" s="756"/>
      <c r="X70" s="1129"/>
      <c r="Y70" s="756"/>
      <c r="Z70" s="756"/>
      <c r="AA70" s="756"/>
      <c r="AB70" s="756"/>
      <c r="AC70" s="756"/>
      <c r="AD70" s="756"/>
      <c r="AE70" s="756"/>
      <c r="AF70" s="756"/>
      <c r="AG70" s="757"/>
      <c r="AH70" s="751">
        <f t="shared" si="10"/>
        <v>0</v>
      </c>
      <c r="AJ70" s="998"/>
      <c r="AK70" s="756"/>
      <c r="AL70" s="1129"/>
      <c r="AM70" s="756">
        <v>70358485</v>
      </c>
      <c r="AN70" s="756"/>
      <c r="AO70" s="756"/>
      <c r="AP70" s="756"/>
      <c r="AQ70" s="756"/>
      <c r="AR70" s="756"/>
      <c r="AS70" s="756"/>
      <c r="AT70" s="756"/>
      <c r="AU70" s="757"/>
      <c r="AV70" s="751">
        <f t="shared" si="9"/>
        <v>70358485</v>
      </c>
      <c r="AX70" s="63"/>
      <c r="AY70" s="63"/>
      <c r="AZ70" s="63"/>
      <c r="BA70" s="63"/>
      <c r="BB70" s="63"/>
      <c r="BC70" s="64"/>
      <c r="BD70" s="60"/>
      <c r="BE70" s="60"/>
      <c r="BF70" s="60"/>
      <c r="BG70" s="60"/>
      <c r="BH70" s="60"/>
      <c r="BI70" s="60"/>
      <c r="BJ70" s="79"/>
      <c r="BK70" s="42"/>
    </row>
    <row r="71" spans="1:63" s="77" customFormat="1" ht="168" customHeight="1">
      <c r="A71" s="1158">
        <f>IF(G71&lt;&gt;"",SUBTOTAL(103,$G$4:G71),"")</f>
        <v>68</v>
      </c>
      <c r="B71" s="1158">
        <f>IF(H71&lt;&gt;"",SUBTOTAL(103,$G$4:H71),"")</f>
        <v>136</v>
      </c>
      <c r="C71" s="1158" t="str">
        <f>IF(I71&lt;&gt;"",SUBTOTAL(103,$G$4:I71),"")</f>
        <v/>
      </c>
      <c r="D71" s="67"/>
      <c r="E71" s="67" t="s">
        <v>175</v>
      </c>
      <c r="F71" s="66" t="s">
        <v>119</v>
      </c>
      <c r="G71" s="1159" t="s">
        <v>716</v>
      </c>
      <c r="H71" s="68" t="s">
        <v>808</v>
      </c>
      <c r="I71" s="68"/>
      <c r="J71" s="69"/>
      <c r="K71" s="70" t="s">
        <v>807</v>
      </c>
      <c r="L71" s="68"/>
      <c r="M71" s="68"/>
      <c r="N71" s="71"/>
      <c r="O71" s="262"/>
      <c r="P71" s="975"/>
      <c r="Q71" s="262"/>
      <c r="R71" s="262"/>
      <c r="S71" s="70" t="s">
        <v>715</v>
      </c>
      <c r="T71" s="70" t="s">
        <v>981</v>
      </c>
      <c r="V71" s="764"/>
      <c r="W71" s="764"/>
      <c r="X71" s="1160"/>
      <c r="Y71" s="764"/>
      <c r="Z71" s="764"/>
      <c r="AA71" s="764"/>
      <c r="AB71" s="764"/>
      <c r="AC71" s="764"/>
      <c r="AD71" s="764"/>
      <c r="AE71" s="764"/>
      <c r="AF71" s="764"/>
      <c r="AG71" s="765"/>
      <c r="AH71" s="752">
        <f t="shared" si="10"/>
        <v>0</v>
      </c>
      <c r="AJ71" s="764"/>
      <c r="AK71" s="764"/>
      <c r="AL71" s="1160"/>
      <c r="AM71" s="764">
        <v>206193203</v>
      </c>
      <c r="AN71" s="764">
        <v>23445193</v>
      </c>
      <c r="AO71" s="764">
        <v>7321882</v>
      </c>
      <c r="AP71" s="764">
        <v>12283557</v>
      </c>
      <c r="AQ71" s="764">
        <v>40605180</v>
      </c>
      <c r="AR71" s="764">
        <v>51479531</v>
      </c>
      <c r="AS71" s="764">
        <v>65066561</v>
      </c>
      <c r="AT71" s="764">
        <v>19579184</v>
      </c>
      <c r="AU71" s="765">
        <v>71047919</v>
      </c>
      <c r="AV71" s="752">
        <f t="shared" si="9"/>
        <v>497022210</v>
      </c>
      <c r="AX71" s="72"/>
      <c r="AY71" s="72"/>
      <c r="AZ71" s="72"/>
      <c r="BA71" s="72"/>
      <c r="BB71" s="72"/>
      <c r="BC71" s="74"/>
      <c r="BD71" s="74"/>
      <c r="BE71" s="74"/>
      <c r="BF71" s="74"/>
      <c r="BG71" s="74"/>
      <c r="BH71" s="74"/>
      <c r="BI71" s="74"/>
      <c r="BJ71" s="1161"/>
      <c r="BK71" s="76"/>
    </row>
    <row r="72" spans="1:63" s="43" customFormat="1" ht="168" customHeight="1" thickBot="1">
      <c r="A72" s="583">
        <f>IF(G72&lt;&gt;"",SUBTOTAL(103,$G$4:G72),"")</f>
        <v>69</v>
      </c>
      <c r="B72" s="1149"/>
      <c r="C72" s="1150"/>
      <c r="D72" s="46">
        <v>250331004</v>
      </c>
      <c r="E72" s="46" t="s">
        <v>361</v>
      </c>
      <c r="F72" s="55" t="s">
        <v>118</v>
      </c>
      <c r="G72" s="58" t="s">
        <v>38</v>
      </c>
      <c r="H72" s="62" t="s">
        <v>809</v>
      </c>
      <c r="I72" s="62"/>
      <c r="J72" s="78"/>
      <c r="K72" s="1354" t="s">
        <v>583</v>
      </c>
      <c r="L72" s="62"/>
      <c r="M72" s="62"/>
      <c r="N72" s="50"/>
      <c r="O72" s="261"/>
      <c r="P72" s="974">
        <v>2025</v>
      </c>
      <c r="Q72" s="261"/>
      <c r="R72" s="261"/>
      <c r="S72" s="65" t="s">
        <v>715</v>
      </c>
      <c r="T72" s="1354" t="s">
        <v>980</v>
      </c>
      <c r="V72" s="758"/>
      <c r="W72" s="758"/>
      <c r="X72" s="1155"/>
      <c r="Y72" s="756"/>
      <c r="Z72" s="758"/>
      <c r="AA72" s="758"/>
      <c r="AB72" s="758"/>
      <c r="AC72" s="758"/>
      <c r="AD72" s="758"/>
      <c r="AE72" s="758"/>
      <c r="AF72" s="758"/>
      <c r="AG72" s="759"/>
      <c r="AH72" s="1353">
        <f t="shared" si="10"/>
        <v>0</v>
      </c>
      <c r="AJ72" s="758"/>
      <c r="AK72" s="758"/>
      <c r="AL72" s="1155"/>
      <c r="AM72" s="756">
        <v>59409000</v>
      </c>
      <c r="AN72" s="758"/>
      <c r="AO72" s="758"/>
      <c r="AP72" s="758"/>
      <c r="AQ72" s="758"/>
      <c r="AR72" s="758"/>
      <c r="AS72" s="758"/>
      <c r="AT72" s="758"/>
      <c r="AU72" s="759"/>
      <c r="AV72" s="1353">
        <f t="shared" si="9"/>
        <v>59409000</v>
      </c>
      <c r="AX72" s="63"/>
      <c r="AY72" s="63"/>
      <c r="AZ72" s="63"/>
      <c r="BA72" s="63"/>
      <c r="BB72" s="63"/>
      <c r="BC72" s="64"/>
      <c r="BD72" s="60"/>
      <c r="BE72" s="60"/>
      <c r="BF72" s="60"/>
      <c r="BG72" s="60"/>
      <c r="BH72" s="60"/>
      <c r="BI72" s="60"/>
      <c r="BJ72" s="79"/>
      <c r="BK72" s="42"/>
    </row>
    <row r="73" spans="1:63" s="43" customFormat="1" ht="168" customHeight="1" thickBot="1">
      <c r="A73" s="583">
        <f>IF(G73&lt;&gt;"",SUBTOTAL(103,$G$4:G73),"")</f>
        <v>70</v>
      </c>
      <c r="B73" s="1149"/>
      <c r="C73" s="1150"/>
      <c r="D73" s="46">
        <v>250424005</v>
      </c>
      <c r="E73" s="46" t="s">
        <v>361</v>
      </c>
      <c r="F73" s="55" t="s">
        <v>117</v>
      </c>
      <c r="G73" s="58" t="s">
        <v>38</v>
      </c>
      <c r="H73" s="62" t="s">
        <v>810</v>
      </c>
      <c r="I73" s="62"/>
      <c r="J73" s="78"/>
      <c r="K73" s="1354" t="s">
        <v>583</v>
      </c>
      <c r="L73" s="62"/>
      <c r="M73" s="62"/>
      <c r="N73" s="50"/>
      <c r="O73" s="261"/>
      <c r="P73" s="974">
        <v>2025</v>
      </c>
      <c r="Q73" s="261"/>
      <c r="R73" s="261"/>
      <c r="S73" s="65" t="s">
        <v>715</v>
      </c>
      <c r="T73" s="1354" t="s">
        <v>980</v>
      </c>
      <c r="V73" s="758"/>
      <c r="W73" s="758"/>
      <c r="X73" s="1155"/>
      <c r="Y73" s="756"/>
      <c r="Z73" s="758"/>
      <c r="AA73" s="758"/>
      <c r="AB73" s="758"/>
      <c r="AC73" s="758"/>
      <c r="AD73" s="758"/>
      <c r="AE73" s="758"/>
      <c r="AF73" s="758"/>
      <c r="AG73" s="759"/>
      <c r="AH73" s="1353">
        <f t="shared" si="10"/>
        <v>0</v>
      </c>
      <c r="AJ73" s="758"/>
      <c r="AK73" s="758"/>
      <c r="AL73" s="1155"/>
      <c r="AM73" s="756">
        <v>152773740</v>
      </c>
      <c r="AN73" s="758"/>
      <c r="AO73" s="758"/>
      <c r="AP73" s="758"/>
      <c r="AQ73" s="758"/>
      <c r="AR73" s="758"/>
      <c r="AS73" s="758"/>
      <c r="AT73" s="758"/>
      <c r="AU73" s="759"/>
      <c r="AV73" s="1353">
        <f t="shared" si="9"/>
        <v>152773740</v>
      </c>
      <c r="AX73" s="63"/>
      <c r="AY73" s="63"/>
      <c r="AZ73" s="63"/>
      <c r="BA73" s="63"/>
      <c r="BB73" s="63"/>
      <c r="BC73" s="64"/>
      <c r="BD73" s="60"/>
      <c r="BE73" s="60"/>
      <c r="BF73" s="60"/>
      <c r="BG73" s="60"/>
      <c r="BH73" s="60"/>
      <c r="BI73" s="60"/>
      <c r="BJ73" s="79"/>
      <c r="BK73" s="42"/>
    </row>
    <row r="74" spans="1:63" s="43" customFormat="1" ht="168" customHeight="1" thickBot="1">
      <c r="A74" s="585">
        <f>IF(G74&lt;&gt;"",SUBTOTAL(103,$G$4:G74),"")</f>
        <v>71</v>
      </c>
      <c r="B74" s="1149"/>
      <c r="C74" s="1150"/>
      <c r="D74" s="543">
        <v>241104004</v>
      </c>
      <c r="E74" s="543" t="s">
        <v>175</v>
      </c>
      <c r="F74" s="542" t="s">
        <v>119</v>
      </c>
      <c r="G74" s="544" t="s">
        <v>181</v>
      </c>
      <c r="H74" s="545" t="s">
        <v>872</v>
      </c>
      <c r="I74" s="545"/>
      <c r="J74" s="546"/>
      <c r="K74" s="547" t="s">
        <v>187</v>
      </c>
      <c r="L74" s="545"/>
      <c r="M74" s="545"/>
      <c r="N74" s="548"/>
      <c r="O74" s="549"/>
      <c r="P74" s="977">
        <v>2025</v>
      </c>
      <c r="Q74" s="549">
        <v>1</v>
      </c>
      <c r="R74" s="549"/>
      <c r="S74" s="547"/>
      <c r="T74" s="547" t="s">
        <v>980</v>
      </c>
      <c r="V74" s="777"/>
      <c r="W74" s="777"/>
      <c r="X74" s="1227"/>
      <c r="Y74" s="777"/>
      <c r="Z74" s="777"/>
      <c r="AA74" s="777"/>
      <c r="AB74" s="768"/>
      <c r="AC74" s="768"/>
      <c r="AD74" s="777"/>
      <c r="AE74" s="777"/>
      <c r="AF74" s="777"/>
      <c r="AG74" s="1228"/>
      <c r="AH74" s="755">
        <f t="shared" si="10"/>
        <v>0</v>
      </c>
      <c r="AJ74" s="777">
        <v>24627599</v>
      </c>
      <c r="AK74" s="777"/>
      <c r="AL74" s="1227"/>
      <c r="AM74" s="777">
        <v>73882797</v>
      </c>
      <c r="AN74" s="777">
        <v>24627599</v>
      </c>
      <c r="AO74" s="777">
        <v>24627599</v>
      </c>
      <c r="AP74" s="768">
        <v>24627599</v>
      </c>
      <c r="AQ74" s="768">
        <v>24627599</v>
      </c>
      <c r="AR74" s="777">
        <v>24627599</v>
      </c>
      <c r="AS74" s="777">
        <v>24627599</v>
      </c>
      <c r="AT74" s="777">
        <v>24627599</v>
      </c>
      <c r="AU74" s="1228">
        <v>24627599</v>
      </c>
      <c r="AV74" s="755">
        <f t="shared" si="9"/>
        <v>295531188</v>
      </c>
      <c r="AX74" s="550"/>
      <c r="AY74" s="550"/>
      <c r="AZ74" s="550"/>
      <c r="BA74" s="550"/>
      <c r="BB74" s="550"/>
      <c r="BC74" s="551"/>
      <c r="BD74" s="552"/>
      <c r="BE74" s="552"/>
      <c r="BF74" s="552"/>
      <c r="BG74" s="552"/>
      <c r="BH74" s="552"/>
      <c r="BI74" s="552"/>
      <c r="BJ74" s="553"/>
      <c r="BK74" s="42"/>
    </row>
    <row r="75" spans="1:63" s="43" customFormat="1" ht="168" customHeight="1" thickBot="1">
      <c r="A75" s="585">
        <f>IF(G75&lt;&gt;"",SUBTOTAL(103,$G$4:G75),"")</f>
        <v>72</v>
      </c>
      <c r="B75" s="1149"/>
      <c r="C75" s="1150"/>
      <c r="D75" s="543">
        <v>241002002</v>
      </c>
      <c r="E75" s="543" t="s">
        <v>175</v>
      </c>
      <c r="F75" s="542" t="s">
        <v>119</v>
      </c>
      <c r="G75" s="544" t="s">
        <v>38</v>
      </c>
      <c r="H75" s="545" t="s">
        <v>873</v>
      </c>
      <c r="I75" s="545"/>
      <c r="J75" s="546"/>
      <c r="K75" s="547" t="s">
        <v>874</v>
      </c>
      <c r="L75" s="545"/>
      <c r="M75" s="545"/>
      <c r="N75" s="548"/>
      <c r="O75" s="549"/>
      <c r="P75" s="977">
        <v>2025</v>
      </c>
      <c r="Q75" s="549">
        <v>5</v>
      </c>
      <c r="R75" s="549"/>
      <c r="S75" s="547"/>
      <c r="T75" s="547" t="s">
        <v>980</v>
      </c>
      <c r="V75" s="775"/>
      <c r="W75" s="775"/>
      <c r="X75" s="775"/>
      <c r="Y75" s="775"/>
      <c r="Z75" s="777"/>
      <c r="AA75" s="775"/>
      <c r="AB75" s="775"/>
      <c r="AC75" s="775"/>
      <c r="AD75" s="775"/>
      <c r="AE75" s="775"/>
      <c r="AF75" s="775"/>
      <c r="AG75" s="776"/>
      <c r="AH75" s="755">
        <f t="shared" si="10"/>
        <v>0</v>
      </c>
      <c r="AJ75" s="775"/>
      <c r="AK75" s="775"/>
      <c r="AL75" s="775"/>
      <c r="AM75" s="775"/>
      <c r="AN75" s="777">
        <v>104000000</v>
      </c>
      <c r="AO75" s="775"/>
      <c r="AP75" s="775"/>
      <c r="AQ75" s="775"/>
      <c r="AR75" s="775"/>
      <c r="AS75" s="775"/>
      <c r="AT75" s="775"/>
      <c r="AU75" s="776"/>
      <c r="AV75" s="755">
        <f t="shared" si="9"/>
        <v>104000000</v>
      </c>
      <c r="AX75" s="550"/>
      <c r="AY75" s="550"/>
      <c r="AZ75" s="550"/>
      <c r="BA75" s="550"/>
      <c r="BB75" s="550"/>
      <c r="BC75" s="551"/>
      <c r="BD75" s="552"/>
      <c r="BE75" s="552"/>
      <c r="BF75" s="552"/>
      <c r="BG75" s="552"/>
      <c r="BH75" s="552"/>
      <c r="BI75" s="552"/>
      <c r="BJ75" s="553"/>
      <c r="BK75" s="42"/>
    </row>
    <row r="76" spans="1:63" s="43" customFormat="1" ht="168" customHeight="1" thickBot="1">
      <c r="A76" s="585">
        <f>IF(G76&lt;&gt;"",SUBTOTAL(103,$G$4:G76),"")</f>
        <v>73</v>
      </c>
      <c r="B76" s="1149"/>
      <c r="C76" s="1150"/>
      <c r="D76" s="543">
        <v>250320004</v>
      </c>
      <c r="E76" s="543" t="s">
        <v>361</v>
      </c>
      <c r="F76" s="542" t="s">
        <v>119</v>
      </c>
      <c r="G76" s="544" t="s">
        <v>38</v>
      </c>
      <c r="H76" s="545" t="s">
        <v>875</v>
      </c>
      <c r="I76" s="545"/>
      <c r="J76" s="546"/>
      <c r="K76" s="1355" t="s">
        <v>792</v>
      </c>
      <c r="L76" s="545"/>
      <c r="M76" s="545"/>
      <c r="N76" s="548"/>
      <c r="O76" s="549"/>
      <c r="P76" s="977">
        <v>2025</v>
      </c>
      <c r="Q76" s="549">
        <v>5</v>
      </c>
      <c r="R76" s="549"/>
      <c r="S76" s="547"/>
      <c r="T76" s="1355" t="s">
        <v>980</v>
      </c>
      <c r="V76" s="775"/>
      <c r="W76" s="775"/>
      <c r="X76" s="775"/>
      <c r="Y76" s="775"/>
      <c r="Z76" s="768"/>
      <c r="AA76" s="775"/>
      <c r="AB76" s="775"/>
      <c r="AC76" s="775"/>
      <c r="AD76" s="775"/>
      <c r="AE76" s="775"/>
      <c r="AF76" s="775"/>
      <c r="AG76" s="776"/>
      <c r="AH76" s="1352">
        <f t="shared" si="10"/>
        <v>0</v>
      </c>
      <c r="AJ76" s="775"/>
      <c r="AK76" s="775"/>
      <c r="AL76" s="775"/>
      <c r="AM76" s="775"/>
      <c r="AN76" s="768">
        <v>3159600</v>
      </c>
      <c r="AO76" s="775"/>
      <c r="AP76" s="775"/>
      <c r="AQ76" s="775"/>
      <c r="AR76" s="775"/>
      <c r="AS76" s="775"/>
      <c r="AT76" s="775"/>
      <c r="AU76" s="776"/>
      <c r="AV76" s="1352">
        <f t="shared" ref="AV76:AV78" si="11">SUM(AJ76:AU76)</f>
        <v>3159600</v>
      </c>
      <c r="AX76" s="550"/>
      <c r="AY76" s="550"/>
      <c r="AZ76" s="550"/>
      <c r="BA76" s="550"/>
      <c r="BB76" s="550"/>
      <c r="BC76" s="551"/>
      <c r="BD76" s="552"/>
      <c r="BE76" s="552"/>
      <c r="BF76" s="552"/>
      <c r="BG76" s="552"/>
      <c r="BH76" s="552"/>
      <c r="BI76" s="552"/>
      <c r="BJ76" s="553"/>
      <c r="BK76" s="42"/>
    </row>
    <row r="77" spans="1:63" s="43" customFormat="1" ht="168" customHeight="1" thickBot="1">
      <c r="A77" s="585">
        <f>IF(G77&lt;&gt;"",SUBTOTAL(103,$G$4:G77),"")</f>
        <v>74</v>
      </c>
      <c r="B77" s="1149"/>
      <c r="C77" s="1150"/>
      <c r="D77" s="543">
        <v>240704001</v>
      </c>
      <c r="E77" s="543" t="s">
        <v>169</v>
      </c>
      <c r="F77" s="542" t="s">
        <v>119</v>
      </c>
      <c r="G77" s="544" t="s">
        <v>38</v>
      </c>
      <c r="H77" s="545" t="s">
        <v>876</v>
      </c>
      <c r="I77" s="545"/>
      <c r="J77" s="546"/>
      <c r="K77" s="547" t="s">
        <v>878</v>
      </c>
      <c r="L77" s="545"/>
      <c r="M77" s="545"/>
      <c r="N77" s="548"/>
      <c r="O77" s="549"/>
      <c r="P77" s="977">
        <v>2025</v>
      </c>
      <c r="Q77" s="549">
        <v>2</v>
      </c>
      <c r="R77" s="549"/>
      <c r="S77" s="547"/>
      <c r="T77" s="547" t="s">
        <v>980</v>
      </c>
      <c r="V77" s="775"/>
      <c r="W77" s="768"/>
      <c r="X77" s="768"/>
      <c r="Y77" s="768"/>
      <c r="Z77" s="768"/>
      <c r="AA77" s="768"/>
      <c r="AB77" s="768"/>
      <c r="AC77" s="768"/>
      <c r="AD77" s="768"/>
      <c r="AE77" s="768"/>
      <c r="AF77" s="768"/>
      <c r="AG77" s="1131"/>
      <c r="AH77" s="755">
        <f t="shared" si="10"/>
        <v>0</v>
      </c>
      <c r="AJ77" s="775"/>
      <c r="AK77" s="768"/>
      <c r="AL77" s="768"/>
      <c r="AM77" s="768"/>
      <c r="AN77" s="768">
        <v>81486600</v>
      </c>
      <c r="AO77" s="768"/>
      <c r="AP77" s="768"/>
      <c r="AQ77" s="768"/>
      <c r="AR77" s="768"/>
      <c r="AS77" s="768"/>
      <c r="AT77" s="768"/>
      <c r="AU77" s="1131"/>
      <c r="AV77" s="755">
        <f t="shared" si="11"/>
        <v>81486600</v>
      </c>
      <c r="AX77" s="550"/>
      <c r="AY77" s="550"/>
      <c r="AZ77" s="550"/>
      <c r="BA77" s="550"/>
      <c r="BB77" s="550"/>
      <c r="BC77" s="551"/>
      <c r="BD77" s="552"/>
      <c r="BE77" s="552"/>
      <c r="BF77" s="552"/>
      <c r="BG77" s="552"/>
      <c r="BH77" s="552"/>
      <c r="BI77" s="552"/>
      <c r="BJ77" s="553"/>
      <c r="BK77" s="42"/>
    </row>
    <row r="78" spans="1:63" s="43" customFormat="1" ht="168" customHeight="1" thickBot="1">
      <c r="A78" s="585">
        <f>IF(G78&lt;&gt;"",SUBTOTAL(103,$G$4:G78),"")</f>
        <v>75</v>
      </c>
      <c r="B78" s="1149"/>
      <c r="C78" s="1150"/>
      <c r="D78" s="543">
        <v>250224008</v>
      </c>
      <c r="E78" s="543" t="s">
        <v>169</v>
      </c>
      <c r="F78" s="542" t="s">
        <v>119</v>
      </c>
      <c r="G78" s="544" t="s">
        <v>38</v>
      </c>
      <c r="H78" s="545" t="s">
        <v>877</v>
      </c>
      <c r="I78" s="545"/>
      <c r="J78" s="546"/>
      <c r="K78" s="547" t="s">
        <v>792</v>
      </c>
      <c r="L78" s="545"/>
      <c r="M78" s="545"/>
      <c r="N78" s="548"/>
      <c r="O78" s="549"/>
      <c r="P78" s="977">
        <v>2025</v>
      </c>
      <c r="Q78" s="549">
        <v>5</v>
      </c>
      <c r="R78" s="549"/>
      <c r="S78" s="547"/>
      <c r="T78" s="547" t="s">
        <v>980</v>
      </c>
      <c r="V78" s="775"/>
      <c r="W78" s="775"/>
      <c r="X78" s="775"/>
      <c r="Y78" s="775"/>
      <c r="Z78" s="768"/>
      <c r="AA78" s="768"/>
      <c r="AB78" s="768"/>
      <c r="AC78" s="768"/>
      <c r="AD78" s="768"/>
      <c r="AE78" s="768"/>
      <c r="AF78" s="768"/>
      <c r="AG78" s="1131"/>
      <c r="AH78" s="755">
        <f t="shared" si="10"/>
        <v>0</v>
      </c>
      <c r="AJ78" s="775"/>
      <c r="AK78" s="775"/>
      <c r="AL78" s="775"/>
      <c r="AM78" s="775"/>
      <c r="AN78" s="768">
        <v>887862</v>
      </c>
      <c r="AO78" s="768"/>
      <c r="AP78" s="768"/>
      <c r="AQ78" s="768"/>
      <c r="AR78" s="768"/>
      <c r="AS78" s="768"/>
      <c r="AT78" s="768"/>
      <c r="AU78" s="1131">
        <v>2948398</v>
      </c>
      <c r="AV78" s="755">
        <f t="shared" si="11"/>
        <v>3836260</v>
      </c>
      <c r="AX78" s="550"/>
      <c r="AY78" s="550"/>
      <c r="AZ78" s="550"/>
      <c r="BA78" s="550"/>
      <c r="BB78" s="550"/>
      <c r="BC78" s="551"/>
      <c r="BD78" s="552"/>
      <c r="BE78" s="552"/>
      <c r="BF78" s="552"/>
      <c r="BG78" s="552"/>
      <c r="BH78" s="552"/>
      <c r="BI78" s="552"/>
      <c r="BJ78" s="553"/>
      <c r="BK78" s="42"/>
    </row>
    <row r="79" spans="1:63" s="43" customFormat="1" ht="168" customHeight="1" thickBot="1">
      <c r="A79" s="585">
        <f>IF(G79&lt;&gt;"",SUBTOTAL(103,$G$4:G79),"")</f>
        <v>76</v>
      </c>
      <c r="B79" s="1149"/>
      <c r="C79" s="1150"/>
      <c r="D79" s="543">
        <v>250506003</v>
      </c>
      <c r="E79" s="543" t="s">
        <v>361</v>
      </c>
      <c r="F79" s="542" t="s">
        <v>119</v>
      </c>
      <c r="G79" s="544" t="s">
        <v>181</v>
      </c>
      <c r="H79" s="545" t="s">
        <v>880</v>
      </c>
      <c r="I79" s="545"/>
      <c r="J79" s="546"/>
      <c r="K79" s="547" t="s">
        <v>879</v>
      </c>
      <c r="L79" s="545"/>
      <c r="M79" s="545"/>
      <c r="N79" s="548"/>
      <c r="O79" s="549"/>
      <c r="P79" s="977">
        <v>2025</v>
      </c>
      <c r="Q79" s="549">
        <v>3</v>
      </c>
      <c r="R79" s="549"/>
      <c r="S79" s="547"/>
      <c r="T79" s="547" t="s">
        <v>980</v>
      </c>
      <c r="V79" s="775"/>
      <c r="W79" s="775"/>
      <c r="X79" s="768"/>
      <c r="Y79" s="768"/>
      <c r="Z79" s="768"/>
      <c r="AA79" s="768"/>
      <c r="AB79" s="768"/>
      <c r="AC79" s="768"/>
      <c r="AD79" s="768"/>
      <c r="AE79" s="768"/>
      <c r="AF79" s="768"/>
      <c r="AG79" s="1131"/>
      <c r="AH79" s="755">
        <f t="shared" si="10"/>
        <v>0</v>
      </c>
      <c r="AJ79" s="775"/>
      <c r="AK79" s="775"/>
      <c r="AL79" s="768"/>
      <c r="AM79" s="768"/>
      <c r="AN79" s="768">
        <v>117700</v>
      </c>
      <c r="AO79" s="768"/>
      <c r="AP79" s="768">
        <v>66000</v>
      </c>
      <c r="AQ79" s="768"/>
      <c r="AR79" s="768">
        <v>42900</v>
      </c>
      <c r="AS79" s="768">
        <v>19800</v>
      </c>
      <c r="AT79" s="768">
        <v>14300</v>
      </c>
      <c r="AU79" s="1131">
        <v>286420</v>
      </c>
      <c r="AV79" s="755">
        <f t="shared" ref="AV79:AV107" si="12">SUM(AJ79:AU79)</f>
        <v>547120</v>
      </c>
      <c r="AX79" s="550"/>
      <c r="AY79" s="550"/>
      <c r="AZ79" s="550"/>
      <c r="BA79" s="550"/>
      <c r="BB79" s="550"/>
      <c r="BC79" s="551"/>
      <c r="BD79" s="552"/>
      <c r="BE79" s="552"/>
      <c r="BF79" s="552"/>
      <c r="BG79" s="552"/>
      <c r="BH79" s="552"/>
      <c r="BI79" s="552"/>
      <c r="BJ79" s="553"/>
      <c r="BK79" s="42"/>
    </row>
    <row r="80" spans="1:63" s="43" customFormat="1" ht="168" customHeight="1" thickBot="1">
      <c r="A80" s="585">
        <f>IF(G80&lt;&gt;"",SUBTOTAL(103,$G$4:G80),"")</f>
        <v>77</v>
      </c>
      <c r="B80" s="1149"/>
      <c r="C80" s="1150"/>
      <c r="D80" s="543">
        <v>250514013</v>
      </c>
      <c r="E80" s="543" t="s">
        <v>361</v>
      </c>
      <c r="F80" s="542" t="s">
        <v>119</v>
      </c>
      <c r="G80" s="544" t="s">
        <v>181</v>
      </c>
      <c r="H80" s="545" t="s">
        <v>881</v>
      </c>
      <c r="I80" s="545"/>
      <c r="J80" s="546"/>
      <c r="K80" s="547" t="s">
        <v>879</v>
      </c>
      <c r="L80" s="545"/>
      <c r="M80" s="545"/>
      <c r="N80" s="548"/>
      <c r="O80" s="549"/>
      <c r="P80" s="977">
        <v>2025</v>
      </c>
      <c r="Q80" s="549">
        <v>5</v>
      </c>
      <c r="R80" s="549"/>
      <c r="S80" s="547"/>
      <c r="T80" s="547" t="s">
        <v>980</v>
      </c>
      <c r="V80" s="775"/>
      <c r="W80" s="775"/>
      <c r="X80" s="775"/>
      <c r="Y80" s="775"/>
      <c r="Z80" s="768"/>
      <c r="AA80" s="768"/>
      <c r="AB80" s="768"/>
      <c r="AC80" s="768"/>
      <c r="AD80" s="768"/>
      <c r="AE80" s="768"/>
      <c r="AF80" s="768"/>
      <c r="AG80" s="1131"/>
      <c r="AH80" s="755">
        <f t="shared" si="10"/>
        <v>0</v>
      </c>
      <c r="AJ80" s="775"/>
      <c r="AK80" s="775"/>
      <c r="AL80" s="775"/>
      <c r="AM80" s="775"/>
      <c r="AN80" s="768">
        <v>1353600</v>
      </c>
      <c r="AO80" s="768"/>
      <c r="AP80" s="768">
        <v>3374400</v>
      </c>
      <c r="AQ80" s="768"/>
      <c r="AR80" s="768">
        <v>4028600</v>
      </c>
      <c r="AS80" s="768">
        <v>1495800</v>
      </c>
      <c r="AT80" s="768">
        <v>1220600</v>
      </c>
      <c r="AU80" s="1131">
        <v>1352600</v>
      </c>
      <c r="AV80" s="755">
        <f t="shared" si="12"/>
        <v>12825600</v>
      </c>
      <c r="AX80" s="550"/>
      <c r="AY80" s="550"/>
      <c r="AZ80" s="550"/>
      <c r="BA80" s="550"/>
      <c r="BB80" s="550"/>
      <c r="BC80" s="551"/>
      <c r="BD80" s="552"/>
      <c r="BE80" s="552"/>
      <c r="BF80" s="552"/>
      <c r="BG80" s="552"/>
      <c r="BH80" s="552"/>
      <c r="BI80" s="552"/>
      <c r="BJ80" s="553"/>
      <c r="BK80" s="42"/>
    </row>
    <row r="81" spans="1:63" s="43" customFormat="1" ht="168" customHeight="1" thickBot="1">
      <c r="A81" s="585">
        <f>IF(G81&lt;&gt;"",SUBTOTAL(103,$G$4:G81),"")</f>
        <v>78</v>
      </c>
      <c r="B81" s="1149"/>
      <c r="C81" s="1150"/>
      <c r="D81" s="543">
        <v>241215001</v>
      </c>
      <c r="E81" s="543" t="s">
        <v>167</v>
      </c>
      <c r="F81" s="542" t="s">
        <v>117</v>
      </c>
      <c r="G81" s="544" t="s">
        <v>75</v>
      </c>
      <c r="H81" s="545" t="s">
        <v>882</v>
      </c>
      <c r="I81" s="545"/>
      <c r="J81" s="546"/>
      <c r="K81" s="547" t="s">
        <v>619</v>
      </c>
      <c r="L81" s="545"/>
      <c r="M81" s="545"/>
      <c r="N81" s="548"/>
      <c r="O81" s="549"/>
      <c r="P81" s="977"/>
      <c r="Q81" s="549"/>
      <c r="R81" s="549"/>
      <c r="S81" s="547"/>
      <c r="T81" s="547" t="s">
        <v>982</v>
      </c>
      <c r="V81" s="775"/>
      <c r="W81" s="775"/>
      <c r="X81" s="775"/>
      <c r="Y81" s="775"/>
      <c r="Z81" s="768"/>
      <c r="AA81" s="768"/>
      <c r="AB81" s="768"/>
      <c r="AC81" s="768"/>
      <c r="AD81" s="768"/>
      <c r="AE81" s="768"/>
      <c r="AF81" s="768"/>
      <c r="AG81" s="1131"/>
      <c r="AH81" s="755">
        <f t="shared" si="10"/>
        <v>0</v>
      </c>
      <c r="AJ81" s="775"/>
      <c r="AK81" s="775"/>
      <c r="AL81" s="775"/>
      <c r="AM81" s="775"/>
      <c r="AN81" s="768">
        <f>1571243622*28%</f>
        <v>439948214.16000003</v>
      </c>
      <c r="AO81" s="768">
        <v>93379952.400000006</v>
      </c>
      <c r="AP81" s="768">
        <f>62711093*28%</f>
        <v>17559106.040000003</v>
      </c>
      <c r="AQ81" s="768">
        <f>375650643*28%</f>
        <v>105182180.04000001</v>
      </c>
      <c r="AR81" s="768">
        <v>82479980.520000011</v>
      </c>
      <c r="AS81" s="768">
        <v>30728435.360000003</v>
      </c>
      <c r="AT81" s="768">
        <v>23908604.160000004</v>
      </c>
      <c r="AU81" s="1131"/>
      <c r="AV81" s="755">
        <f t="shared" si="12"/>
        <v>793186472.67999995</v>
      </c>
      <c r="AX81" s="550"/>
      <c r="AY81" s="550"/>
      <c r="AZ81" s="550"/>
      <c r="BA81" s="550"/>
      <c r="BB81" s="550"/>
      <c r="BC81" s="551"/>
      <c r="BD81" s="552"/>
      <c r="BE81" s="552"/>
      <c r="BF81" s="552"/>
      <c r="BG81" s="552"/>
      <c r="BH81" s="552"/>
      <c r="BI81" s="552"/>
      <c r="BJ81" s="553"/>
      <c r="BK81" s="42"/>
    </row>
    <row r="82" spans="1:63" s="43" customFormat="1" ht="168" customHeight="1" thickBot="1">
      <c r="A82" s="585">
        <f>IF(G82&lt;&gt;"",SUBTOTAL(103,$G$4:G82),"")</f>
        <v>79</v>
      </c>
      <c r="B82" s="1149"/>
      <c r="C82" s="1150"/>
      <c r="D82" s="543">
        <v>241215001</v>
      </c>
      <c r="E82" s="543" t="s">
        <v>167</v>
      </c>
      <c r="F82" s="542" t="s">
        <v>117</v>
      </c>
      <c r="G82" s="544" t="s">
        <v>580</v>
      </c>
      <c r="H82" s="545" t="s">
        <v>883</v>
      </c>
      <c r="I82" s="545"/>
      <c r="J82" s="546"/>
      <c r="K82" s="1355" t="s">
        <v>577</v>
      </c>
      <c r="L82" s="545"/>
      <c r="M82" s="545"/>
      <c r="N82" s="548"/>
      <c r="O82" s="549"/>
      <c r="P82" s="977"/>
      <c r="Q82" s="549"/>
      <c r="R82" s="549"/>
      <c r="S82" s="547"/>
      <c r="T82" s="1355" t="s">
        <v>982</v>
      </c>
      <c r="V82" s="775"/>
      <c r="W82" s="775"/>
      <c r="X82" s="775"/>
      <c r="Y82" s="775"/>
      <c r="Z82" s="768"/>
      <c r="AA82" s="768"/>
      <c r="AB82" s="768"/>
      <c r="AC82" s="768"/>
      <c r="AD82" s="768"/>
      <c r="AE82" s="768"/>
      <c r="AF82" s="768"/>
      <c r="AG82" s="1131"/>
      <c r="AH82" s="755">
        <f t="shared" si="10"/>
        <v>0</v>
      </c>
      <c r="AJ82" s="775"/>
      <c r="AK82" s="775"/>
      <c r="AL82" s="775"/>
      <c r="AM82" s="775"/>
      <c r="AN82" s="768">
        <f>1571243622*18%</f>
        <v>282823851.95999998</v>
      </c>
      <c r="AO82" s="768">
        <v>60029969.399999999</v>
      </c>
      <c r="AP82" s="768">
        <f>62711093*18%</f>
        <v>11287996.74</v>
      </c>
      <c r="AQ82" s="768">
        <f>375650643*18%</f>
        <v>67617115.739999995</v>
      </c>
      <c r="AR82" s="768">
        <v>53022844.619999997</v>
      </c>
      <c r="AS82" s="768">
        <v>19753994.16</v>
      </c>
      <c r="AT82" s="768">
        <v>15369816.959999999</v>
      </c>
      <c r="AU82" s="1131"/>
      <c r="AV82" s="755">
        <f t="shared" si="12"/>
        <v>509905589.57999998</v>
      </c>
      <c r="AX82" s="550"/>
      <c r="AY82" s="550"/>
      <c r="AZ82" s="550"/>
      <c r="BA82" s="550"/>
      <c r="BB82" s="550"/>
      <c r="BC82" s="551"/>
      <c r="BD82" s="552"/>
      <c r="BE82" s="552"/>
      <c r="BF82" s="552"/>
      <c r="BG82" s="552"/>
      <c r="BH82" s="552"/>
      <c r="BI82" s="552"/>
      <c r="BJ82" s="553"/>
      <c r="BK82" s="42"/>
    </row>
    <row r="83" spans="1:63" s="43" customFormat="1" ht="168" customHeight="1" thickBot="1">
      <c r="A83" s="585">
        <f>IF(G83&lt;&gt;"",SUBTOTAL(103,$G$4:G83),"")</f>
        <v>80</v>
      </c>
      <c r="B83" s="1149"/>
      <c r="C83" s="1150"/>
      <c r="D83" s="543">
        <v>241215001</v>
      </c>
      <c r="E83" s="543" t="s">
        <v>167</v>
      </c>
      <c r="F83" s="542" t="s">
        <v>117</v>
      </c>
      <c r="G83" s="544" t="s">
        <v>331</v>
      </c>
      <c r="H83" s="545" t="s">
        <v>883</v>
      </c>
      <c r="I83" s="545"/>
      <c r="J83" s="546"/>
      <c r="K83" s="547" t="s">
        <v>330</v>
      </c>
      <c r="L83" s="545"/>
      <c r="M83" s="545"/>
      <c r="N83" s="548"/>
      <c r="O83" s="549"/>
      <c r="P83" s="977"/>
      <c r="Q83" s="549"/>
      <c r="R83" s="549"/>
      <c r="S83" s="547"/>
      <c r="T83" s="547" t="s">
        <v>982</v>
      </c>
      <c r="V83" s="775"/>
      <c r="W83" s="775"/>
      <c r="X83" s="775"/>
      <c r="Y83" s="775"/>
      <c r="Z83" s="768"/>
      <c r="AA83" s="768"/>
      <c r="AB83" s="768"/>
      <c r="AC83" s="768"/>
      <c r="AD83" s="768"/>
      <c r="AE83" s="768"/>
      <c r="AF83" s="768"/>
      <c r="AG83" s="1131"/>
      <c r="AH83" s="755">
        <f t="shared" si="10"/>
        <v>0</v>
      </c>
      <c r="AJ83" s="775"/>
      <c r="AK83" s="775"/>
      <c r="AL83" s="775"/>
      <c r="AM83" s="775"/>
      <c r="AN83" s="768">
        <f>1571243622*18%</f>
        <v>282823851.95999998</v>
      </c>
      <c r="AO83" s="768">
        <v>60029969.399999999</v>
      </c>
      <c r="AP83" s="768">
        <f>62711093*18%</f>
        <v>11287996.74</v>
      </c>
      <c r="AQ83" s="768">
        <f>375650643*18%</f>
        <v>67617115.739999995</v>
      </c>
      <c r="AR83" s="768">
        <v>53022844.619999997</v>
      </c>
      <c r="AS83" s="768">
        <v>19753994.16</v>
      </c>
      <c r="AT83" s="768">
        <v>15369816.959999999</v>
      </c>
      <c r="AU83" s="1131"/>
      <c r="AV83" s="755">
        <f t="shared" si="12"/>
        <v>509905589.57999998</v>
      </c>
      <c r="AX83" s="550"/>
      <c r="AY83" s="550"/>
      <c r="AZ83" s="550"/>
      <c r="BA83" s="550"/>
      <c r="BB83" s="550"/>
      <c r="BC83" s="551"/>
      <c r="BD83" s="552"/>
      <c r="BE83" s="552"/>
      <c r="BF83" s="552"/>
      <c r="BG83" s="552"/>
      <c r="BH83" s="552"/>
      <c r="BI83" s="552"/>
      <c r="BJ83" s="553"/>
      <c r="BK83" s="42"/>
    </row>
    <row r="84" spans="1:63" s="43" customFormat="1" ht="168" customHeight="1" thickBot="1">
      <c r="A84" s="585">
        <f>IF(G84&lt;&gt;"",SUBTOTAL(103,$G$4:G84),"")</f>
        <v>81</v>
      </c>
      <c r="B84" s="1149"/>
      <c r="C84" s="1150"/>
      <c r="D84" s="543">
        <v>241215001</v>
      </c>
      <c r="E84" s="543" t="s">
        <v>167</v>
      </c>
      <c r="F84" s="542" t="s">
        <v>117</v>
      </c>
      <c r="G84" s="544" t="s">
        <v>38</v>
      </c>
      <c r="H84" s="545" t="s">
        <v>883</v>
      </c>
      <c r="I84" s="545"/>
      <c r="J84" s="546"/>
      <c r="K84" s="1355" t="s">
        <v>41</v>
      </c>
      <c r="L84" s="545"/>
      <c r="M84" s="545"/>
      <c r="N84" s="548"/>
      <c r="O84" s="549"/>
      <c r="P84" s="977"/>
      <c r="Q84" s="549"/>
      <c r="R84" s="549"/>
      <c r="S84" s="547"/>
      <c r="T84" s="1355" t="s">
        <v>982</v>
      </c>
      <c r="V84" s="775"/>
      <c r="W84" s="775"/>
      <c r="X84" s="775"/>
      <c r="Y84" s="775"/>
      <c r="Z84" s="768"/>
      <c r="AA84" s="768"/>
      <c r="AB84" s="768"/>
      <c r="AC84" s="768"/>
      <c r="AD84" s="768"/>
      <c r="AE84" s="768"/>
      <c r="AF84" s="768"/>
      <c r="AG84" s="1131"/>
      <c r="AH84" s="1352">
        <f t="shared" si="10"/>
        <v>0</v>
      </c>
      <c r="AJ84" s="775"/>
      <c r="AK84" s="775"/>
      <c r="AL84" s="775"/>
      <c r="AM84" s="775"/>
      <c r="AN84" s="768">
        <f>1571243622*18%</f>
        <v>282823851.95999998</v>
      </c>
      <c r="AO84" s="768">
        <v>60029969.399999999</v>
      </c>
      <c r="AP84" s="768">
        <v>11287996.74</v>
      </c>
      <c r="AQ84" s="768">
        <f>375650643*18%</f>
        <v>67617115.739999995</v>
      </c>
      <c r="AR84" s="768">
        <v>53022844.619999997</v>
      </c>
      <c r="AS84" s="768">
        <v>19753994.16</v>
      </c>
      <c r="AT84" s="768">
        <v>15369816.959999999</v>
      </c>
      <c r="AU84" s="1131"/>
      <c r="AV84" s="1352">
        <f t="shared" si="12"/>
        <v>509905589.57999998</v>
      </c>
      <c r="AX84" s="550"/>
      <c r="AY84" s="550"/>
      <c r="AZ84" s="550"/>
      <c r="BA84" s="550"/>
      <c r="BB84" s="550"/>
      <c r="BC84" s="551"/>
      <c r="BD84" s="552"/>
      <c r="BE84" s="552"/>
      <c r="BF84" s="552"/>
      <c r="BG84" s="552"/>
      <c r="BH84" s="552"/>
      <c r="BI84" s="552"/>
      <c r="BJ84" s="553"/>
      <c r="BK84" s="42"/>
    </row>
    <row r="85" spans="1:63" s="43" customFormat="1" ht="168" customHeight="1" thickBot="1">
      <c r="A85" s="585">
        <f>IF(G85&lt;&gt;"",SUBTOTAL(103,$G$4:G85),"")</f>
        <v>82</v>
      </c>
      <c r="B85" s="1149"/>
      <c r="C85" s="1150"/>
      <c r="D85" s="543">
        <v>241215001</v>
      </c>
      <c r="E85" s="543" t="s">
        <v>167</v>
      </c>
      <c r="F85" s="542" t="s">
        <v>117</v>
      </c>
      <c r="G85" s="544" t="s">
        <v>18</v>
      </c>
      <c r="H85" s="545" t="s">
        <v>883</v>
      </c>
      <c r="I85" s="545"/>
      <c r="J85" s="546"/>
      <c r="K85" s="547" t="s">
        <v>22</v>
      </c>
      <c r="L85" s="545"/>
      <c r="M85" s="545"/>
      <c r="N85" s="548"/>
      <c r="O85" s="549"/>
      <c r="P85" s="977"/>
      <c r="Q85" s="549"/>
      <c r="R85" s="549"/>
      <c r="S85" s="547"/>
      <c r="T85" s="547" t="s">
        <v>982</v>
      </c>
      <c r="V85" s="775"/>
      <c r="W85" s="775"/>
      <c r="X85" s="775"/>
      <c r="Y85" s="775"/>
      <c r="Z85" s="768"/>
      <c r="AA85" s="768"/>
      <c r="AB85" s="768"/>
      <c r="AC85" s="768"/>
      <c r="AD85" s="768"/>
      <c r="AE85" s="768"/>
      <c r="AF85" s="768"/>
      <c r="AG85" s="1131"/>
      <c r="AH85" s="755">
        <f t="shared" si="10"/>
        <v>0</v>
      </c>
      <c r="AJ85" s="775"/>
      <c r="AK85" s="775"/>
      <c r="AL85" s="775"/>
      <c r="AM85" s="775"/>
      <c r="AN85" s="768">
        <f>1571243622*18%</f>
        <v>282823851.95999998</v>
      </c>
      <c r="AO85" s="768">
        <v>60029969.399999999</v>
      </c>
      <c r="AP85" s="768">
        <f>62711093*18%</f>
        <v>11287996.74</v>
      </c>
      <c r="AQ85" s="768">
        <v>67617115.739999995</v>
      </c>
      <c r="AR85" s="768">
        <v>53022844.619999997</v>
      </c>
      <c r="AS85" s="768">
        <v>19753994.16</v>
      </c>
      <c r="AT85" s="768">
        <v>15369816.959999999</v>
      </c>
      <c r="AU85" s="1131"/>
      <c r="AV85" s="755">
        <f t="shared" si="12"/>
        <v>509905589.57999998</v>
      </c>
      <c r="AX85" s="550"/>
      <c r="AY85" s="550"/>
      <c r="AZ85" s="550"/>
      <c r="BA85" s="550"/>
      <c r="BB85" s="550"/>
      <c r="BC85" s="551"/>
      <c r="BD85" s="552"/>
      <c r="BE85" s="552"/>
      <c r="BF85" s="552"/>
      <c r="BG85" s="552"/>
      <c r="BH85" s="552"/>
      <c r="BI85" s="552"/>
      <c r="BJ85" s="553"/>
      <c r="BK85" s="42"/>
    </row>
    <row r="86" spans="1:63" s="43" customFormat="1" ht="168" customHeight="1" thickBot="1">
      <c r="A86" s="585">
        <f>IF(G86&lt;&gt;"",SUBTOTAL(103,$G$4:G86),"")</f>
        <v>83</v>
      </c>
      <c r="B86" s="1149"/>
      <c r="C86" s="1150"/>
      <c r="D86" s="543">
        <v>241128002</v>
      </c>
      <c r="E86" s="543" t="s">
        <v>167</v>
      </c>
      <c r="F86" s="542" t="s">
        <v>117</v>
      </c>
      <c r="G86" s="544" t="s">
        <v>75</v>
      </c>
      <c r="H86" s="545" t="s">
        <v>884</v>
      </c>
      <c r="I86" s="545"/>
      <c r="J86" s="546"/>
      <c r="K86" s="547" t="s">
        <v>619</v>
      </c>
      <c r="L86" s="545"/>
      <c r="M86" s="545"/>
      <c r="N86" s="548"/>
      <c r="O86" s="549"/>
      <c r="P86" s="977"/>
      <c r="Q86" s="549"/>
      <c r="R86" s="549"/>
      <c r="S86" s="547"/>
      <c r="T86" s="547" t="s">
        <v>982</v>
      </c>
      <c r="V86" s="775"/>
      <c r="W86" s="775"/>
      <c r="X86" s="775"/>
      <c r="Y86" s="775"/>
      <c r="Z86" s="768"/>
      <c r="AA86" s="768"/>
      <c r="AB86" s="768"/>
      <c r="AC86" s="768"/>
      <c r="AD86" s="768"/>
      <c r="AE86" s="768"/>
      <c r="AF86" s="768"/>
      <c r="AG86" s="1131"/>
      <c r="AH86" s="755">
        <f t="shared" si="10"/>
        <v>0</v>
      </c>
      <c r="AJ86" s="775"/>
      <c r="AK86" s="775"/>
      <c r="AL86" s="775"/>
      <c r="AM86" s="775"/>
      <c r="AN86" s="768">
        <f>1290938902*28%</f>
        <v>361462892.56000006</v>
      </c>
      <c r="AO86" s="768">
        <v>174234502.68000001</v>
      </c>
      <c r="AP86" s="768">
        <f>566470034*28%</f>
        <v>158611609.52000001</v>
      </c>
      <c r="AQ86" s="768">
        <f>940242308*28%</f>
        <v>263267846.24000004</v>
      </c>
      <c r="AR86" s="768">
        <v>184888102.84</v>
      </c>
      <c r="AS86" s="768">
        <v>174662832.12</v>
      </c>
      <c r="AT86" s="768">
        <v>44299014.760000005</v>
      </c>
      <c r="AU86" s="1131"/>
      <c r="AV86" s="755">
        <f t="shared" si="12"/>
        <v>1361426800.72</v>
      </c>
      <c r="AX86" s="550"/>
      <c r="AY86" s="550"/>
      <c r="AZ86" s="550"/>
      <c r="BA86" s="550"/>
      <c r="BB86" s="550"/>
      <c r="BC86" s="551"/>
      <c r="BD86" s="552"/>
      <c r="BE86" s="552"/>
      <c r="BF86" s="552"/>
      <c r="BG86" s="552"/>
      <c r="BH86" s="552"/>
      <c r="BI86" s="552"/>
      <c r="BJ86" s="553"/>
      <c r="BK86" s="42"/>
    </row>
    <row r="87" spans="1:63" s="43" customFormat="1" ht="168" customHeight="1" thickBot="1">
      <c r="A87" s="585">
        <f>IF(G87&lt;&gt;"",SUBTOTAL(103,$G$4:G87),"")</f>
        <v>84</v>
      </c>
      <c r="B87" s="1149"/>
      <c r="C87" s="1150"/>
      <c r="D87" s="543">
        <v>241128002</v>
      </c>
      <c r="E87" s="543" t="s">
        <v>167</v>
      </c>
      <c r="F87" s="542" t="s">
        <v>117</v>
      </c>
      <c r="G87" s="544" t="s">
        <v>580</v>
      </c>
      <c r="H87" s="545" t="s">
        <v>885</v>
      </c>
      <c r="I87" s="545"/>
      <c r="J87" s="546"/>
      <c r="K87" s="1355" t="s">
        <v>577</v>
      </c>
      <c r="L87" s="545"/>
      <c r="M87" s="545"/>
      <c r="N87" s="548"/>
      <c r="O87" s="549"/>
      <c r="P87" s="977"/>
      <c r="Q87" s="549"/>
      <c r="R87" s="549"/>
      <c r="S87" s="547"/>
      <c r="T87" s="1355" t="s">
        <v>982</v>
      </c>
      <c r="V87" s="775"/>
      <c r="W87" s="775"/>
      <c r="X87" s="775"/>
      <c r="Y87" s="775"/>
      <c r="Z87" s="768"/>
      <c r="AA87" s="768"/>
      <c r="AB87" s="768"/>
      <c r="AC87" s="768"/>
      <c r="AD87" s="768"/>
      <c r="AE87" s="768"/>
      <c r="AF87" s="768"/>
      <c r="AG87" s="1131"/>
      <c r="AH87" s="755">
        <f t="shared" si="10"/>
        <v>0</v>
      </c>
      <c r="AJ87" s="775"/>
      <c r="AK87" s="775"/>
      <c r="AL87" s="775"/>
      <c r="AM87" s="775"/>
      <c r="AN87" s="768">
        <f>1290938902*18%</f>
        <v>232369002.35999998</v>
      </c>
      <c r="AO87" s="768">
        <v>112007894.58</v>
      </c>
      <c r="AP87" s="768">
        <f>566470034*18%</f>
        <v>101964606.11999999</v>
      </c>
      <c r="AQ87" s="768">
        <f>940242308*18%</f>
        <v>169243615.44</v>
      </c>
      <c r="AR87" s="768">
        <v>118856637.53999999</v>
      </c>
      <c r="AS87" s="768">
        <v>112283249.22</v>
      </c>
      <c r="AT87" s="768">
        <v>28477938.059999999</v>
      </c>
      <c r="AU87" s="1131"/>
      <c r="AV87" s="755">
        <f t="shared" si="12"/>
        <v>875202943.31999993</v>
      </c>
      <c r="AX87" s="550"/>
      <c r="AY87" s="550"/>
      <c r="AZ87" s="550"/>
      <c r="BA87" s="550"/>
      <c r="BB87" s="550"/>
      <c r="BC87" s="551"/>
      <c r="BD87" s="552"/>
      <c r="BE87" s="552"/>
      <c r="BF87" s="552"/>
      <c r="BG87" s="552"/>
      <c r="BH87" s="552"/>
      <c r="BI87" s="552"/>
      <c r="BJ87" s="553"/>
      <c r="BK87" s="42"/>
    </row>
    <row r="88" spans="1:63" s="43" customFormat="1" ht="168" customHeight="1" thickBot="1">
      <c r="A88" s="585">
        <f>IF(G88&lt;&gt;"",SUBTOTAL(103,$G$4:G88),"")</f>
        <v>85</v>
      </c>
      <c r="B88" s="1149"/>
      <c r="C88" s="1150"/>
      <c r="D88" s="543">
        <v>241128002</v>
      </c>
      <c r="E88" s="543" t="s">
        <v>167</v>
      </c>
      <c r="F88" s="542" t="s">
        <v>117</v>
      </c>
      <c r="G88" s="544" t="s">
        <v>331</v>
      </c>
      <c r="H88" s="545" t="s">
        <v>885</v>
      </c>
      <c r="I88" s="545"/>
      <c r="J88" s="546"/>
      <c r="K88" s="547" t="s">
        <v>330</v>
      </c>
      <c r="L88" s="545"/>
      <c r="M88" s="545"/>
      <c r="N88" s="548"/>
      <c r="O88" s="549"/>
      <c r="P88" s="977"/>
      <c r="Q88" s="549"/>
      <c r="R88" s="549"/>
      <c r="S88" s="547"/>
      <c r="T88" s="547" t="s">
        <v>982</v>
      </c>
      <c r="V88" s="775"/>
      <c r="W88" s="775"/>
      <c r="X88" s="775"/>
      <c r="Y88" s="775"/>
      <c r="Z88" s="768"/>
      <c r="AA88" s="768"/>
      <c r="AB88" s="768"/>
      <c r="AC88" s="768"/>
      <c r="AD88" s="768"/>
      <c r="AE88" s="768"/>
      <c r="AF88" s="768"/>
      <c r="AG88" s="1131"/>
      <c r="AH88" s="755">
        <f t="shared" si="10"/>
        <v>0</v>
      </c>
      <c r="AJ88" s="775"/>
      <c r="AK88" s="775"/>
      <c r="AL88" s="775"/>
      <c r="AM88" s="775"/>
      <c r="AN88" s="768">
        <f>1290938902*18%</f>
        <v>232369002.35999998</v>
      </c>
      <c r="AO88" s="768">
        <v>112007894.58</v>
      </c>
      <c r="AP88" s="768">
        <f>566470034*18%</f>
        <v>101964606.11999999</v>
      </c>
      <c r="AQ88" s="768">
        <f>940242308*18%</f>
        <v>169243615.44</v>
      </c>
      <c r="AR88" s="768">
        <v>118856637.53999999</v>
      </c>
      <c r="AS88" s="768">
        <v>112283249.22</v>
      </c>
      <c r="AT88" s="768">
        <v>28477938.059999999</v>
      </c>
      <c r="AU88" s="1131"/>
      <c r="AV88" s="755">
        <f t="shared" si="12"/>
        <v>875202943.31999993</v>
      </c>
      <c r="AX88" s="550"/>
      <c r="AY88" s="550"/>
      <c r="AZ88" s="550"/>
      <c r="BA88" s="550"/>
      <c r="BB88" s="550"/>
      <c r="BC88" s="551"/>
      <c r="BD88" s="552"/>
      <c r="BE88" s="552"/>
      <c r="BF88" s="552"/>
      <c r="BG88" s="552"/>
      <c r="BH88" s="552"/>
      <c r="BI88" s="552"/>
      <c r="BJ88" s="553"/>
      <c r="BK88" s="42"/>
    </row>
    <row r="89" spans="1:63" s="43" customFormat="1" ht="168" customHeight="1" thickBot="1">
      <c r="A89" s="585">
        <f>IF(G89&lt;&gt;"",SUBTOTAL(103,$G$4:G89),"")</f>
        <v>86</v>
      </c>
      <c r="B89" s="1149"/>
      <c r="C89" s="1150"/>
      <c r="D89" s="543">
        <v>241128002</v>
      </c>
      <c r="E89" s="543" t="s">
        <v>167</v>
      </c>
      <c r="F89" s="542" t="s">
        <v>117</v>
      </c>
      <c r="G89" s="544" t="s">
        <v>38</v>
      </c>
      <c r="H89" s="545" t="s">
        <v>885</v>
      </c>
      <c r="I89" s="545"/>
      <c r="J89" s="546"/>
      <c r="K89" s="1355" t="s">
        <v>41</v>
      </c>
      <c r="L89" s="545"/>
      <c r="M89" s="545"/>
      <c r="N89" s="548"/>
      <c r="O89" s="549"/>
      <c r="P89" s="977"/>
      <c r="Q89" s="549"/>
      <c r="R89" s="549"/>
      <c r="S89" s="547"/>
      <c r="T89" s="1355" t="s">
        <v>982</v>
      </c>
      <c r="V89" s="775"/>
      <c r="W89" s="775"/>
      <c r="X89" s="775"/>
      <c r="Y89" s="775"/>
      <c r="Z89" s="768"/>
      <c r="AA89" s="768"/>
      <c r="AB89" s="768"/>
      <c r="AC89" s="768"/>
      <c r="AD89" s="768"/>
      <c r="AE89" s="768"/>
      <c r="AF89" s="768"/>
      <c r="AG89" s="1131"/>
      <c r="AH89" s="1352">
        <f t="shared" si="10"/>
        <v>0</v>
      </c>
      <c r="AJ89" s="775"/>
      <c r="AK89" s="775"/>
      <c r="AL89" s="775"/>
      <c r="AM89" s="775"/>
      <c r="AN89" s="768">
        <f>1290938902*18%</f>
        <v>232369002.35999998</v>
      </c>
      <c r="AO89" s="768">
        <v>112007894.58</v>
      </c>
      <c r="AP89" s="768">
        <v>101964606.11999999</v>
      </c>
      <c r="AQ89" s="768">
        <f>940242308*18%</f>
        <v>169243615.44</v>
      </c>
      <c r="AR89" s="768">
        <v>118856637.53999999</v>
      </c>
      <c r="AS89" s="768">
        <v>112283249.22</v>
      </c>
      <c r="AT89" s="768">
        <v>28477938.059999999</v>
      </c>
      <c r="AU89" s="1131"/>
      <c r="AV89" s="1352">
        <f t="shared" si="12"/>
        <v>875202943.31999993</v>
      </c>
      <c r="AX89" s="550"/>
      <c r="AY89" s="550"/>
      <c r="AZ89" s="550"/>
      <c r="BA89" s="550"/>
      <c r="BB89" s="550"/>
      <c r="BC89" s="551"/>
      <c r="BD89" s="552"/>
      <c r="BE89" s="552"/>
      <c r="BF89" s="552"/>
      <c r="BG89" s="552"/>
      <c r="BH89" s="552"/>
      <c r="BI89" s="552"/>
      <c r="BJ89" s="553"/>
      <c r="BK89" s="42"/>
    </row>
    <row r="90" spans="1:63" s="43" customFormat="1" ht="168" customHeight="1" thickBot="1">
      <c r="A90" s="585">
        <f>IF(G90&lt;&gt;"",SUBTOTAL(103,$G$4:G90),"")</f>
        <v>87</v>
      </c>
      <c r="B90" s="1149"/>
      <c r="C90" s="1150"/>
      <c r="D90" s="543">
        <v>241128002</v>
      </c>
      <c r="E90" s="543" t="s">
        <v>167</v>
      </c>
      <c r="F90" s="542" t="s">
        <v>117</v>
      </c>
      <c r="G90" s="544" t="s">
        <v>18</v>
      </c>
      <c r="H90" s="545" t="s">
        <v>885</v>
      </c>
      <c r="I90" s="545"/>
      <c r="J90" s="546"/>
      <c r="K90" s="547" t="s">
        <v>22</v>
      </c>
      <c r="L90" s="545"/>
      <c r="M90" s="545"/>
      <c r="N90" s="548"/>
      <c r="O90" s="549"/>
      <c r="P90" s="977"/>
      <c r="Q90" s="549"/>
      <c r="R90" s="549"/>
      <c r="S90" s="547"/>
      <c r="T90" s="547" t="s">
        <v>982</v>
      </c>
      <c r="V90" s="775"/>
      <c r="W90" s="775"/>
      <c r="X90" s="775"/>
      <c r="Y90" s="775"/>
      <c r="Z90" s="768"/>
      <c r="AA90" s="768"/>
      <c r="AB90" s="768"/>
      <c r="AC90" s="768"/>
      <c r="AD90" s="768"/>
      <c r="AE90" s="768"/>
      <c r="AF90" s="768"/>
      <c r="AG90" s="1131"/>
      <c r="AH90" s="755">
        <f t="shared" si="10"/>
        <v>0</v>
      </c>
      <c r="AJ90" s="775"/>
      <c r="AK90" s="775"/>
      <c r="AL90" s="775"/>
      <c r="AM90" s="775"/>
      <c r="AN90" s="768">
        <f>1290938902*18%</f>
        <v>232369002.35999998</v>
      </c>
      <c r="AO90" s="768">
        <v>112007894.58</v>
      </c>
      <c r="AP90" s="768">
        <f>566470034*18%</f>
        <v>101964606.11999999</v>
      </c>
      <c r="AQ90" s="768">
        <v>169243615.44</v>
      </c>
      <c r="AR90" s="768">
        <v>118856637.53999999</v>
      </c>
      <c r="AS90" s="768">
        <v>112283249.22</v>
      </c>
      <c r="AT90" s="768">
        <v>28477938.059999999</v>
      </c>
      <c r="AU90" s="1131"/>
      <c r="AV90" s="755">
        <f t="shared" si="12"/>
        <v>875202943.31999993</v>
      </c>
      <c r="AX90" s="550"/>
      <c r="AY90" s="550"/>
      <c r="AZ90" s="550"/>
      <c r="BA90" s="550"/>
      <c r="BB90" s="550"/>
      <c r="BC90" s="551"/>
      <c r="BD90" s="552"/>
      <c r="BE90" s="552"/>
      <c r="BF90" s="552"/>
      <c r="BG90" s="552"/>
      <c r="BH90" s="552"/>
      <c r="BI90" s="552"/>
      <c r="BJ90" s="553"/>
      <c r="BK90" s="42"/>
    </row>
    <row r="91" spans="1:63" s="43" customFormat="1" ht="168" customHeight="1" thickBot="1">
      <c r="A91" s="585">
        <f>IF(G91&lt;&gt;"",SUBTOTAL(103,$G$4:G91),"")</f>
        <v>88</v>
      </c>
      <c r="B91" s="1149"/>
      <c r="C91" s="1150"/>
      <c r="D91" s="1255">
        <v>250103003</v>
      </c>
      <c r="E91" s="543" t="s">
        <v>31</v>
      </c>
      <c r="F91" s="542" t="s">
        <v>117</v>
      </c>
      <c r="G91" s="544" t="s">
        <v>31</v>
      </c>
      <c r="H91" s="545" t="s">
        <v>886</v>
      </c>
      <c r="I91" s="545"/>
      <c r="J91" s="546"/>
      <c r="K91" s="547" t="s">
        <v>33</v>
      </c>
      <c r="L91" s="545"/>
      <c r="M91" s="545"/>
      <c r="N91" s="548"/>
      <c r="O91" s="549"/>
      <c r="P91" s="977"/>
      <c r="Q91" s="549"/>
      <c r="R91" s="549"/>
      <c r="S91" s="547"/>
      <c r="T91" s="547" t="s">
        <v>982</v>
      </c>
      <c r="V91" s="775"/>
      <c r="W91" s="775"/>
      <c r="X91" s="775"/>
      <c r="Y91" s="775"/>
      <c r="Z91" s="768"/>
      <c r="AA91" s="768"/>
      <c r="AB91" s="768"/>
      <c r="AC91" s="768"/>
      <c r="AD91" s="768"/>
      <c r="AE91" s="768"/>
      <c r="AF91" s="768"/>
      <c r="AG91" s="1131"/>
      <c r="AH91" s="755">
        <f t="shared" si="10"/>
        <v>0</v>
      </c>
      <c r="AJ91" s="775"/>
      <c r="AK91" s="775"/>
      <c r="AL91" s="775"/>
      <c r="AM91" s="775"/>
      <c r="AN91" s="768">
        <v>45735000</v>
      </c>
      <c r="AO91" s="768">
        <v>35158667</v>
      </c>
      <c r="AP91" s="768">
        <v>15021333</v>
      </c>
      <c r="AQ91" s="768">
        <v>41901667</v>
      </c>
      <c r="AR91" s="768">
        <v>63546000</v>
      </c>
      <c r="AS91" s="768">
        <v>33046667</v>
      </c>
      <c r="AT91" s="768">
        <v>5403667</v>
      </c>
      <c r="AU91" s="1131">
        <v>3592333</v>
      </c>
      <c r="AV91" s="755">
        <f t="shared" si="12"/>
        <v>243405334</v>
      </c>
      <c r="AX91" s="550"/>
      <c r="AY91" s="550"/>
      <c r="AZ91" s="550"/>
      <c r="BA91" s="550"/>
      <c r="BB91" s="550"/>
      <c r="BC91" s="551"/>
      <c r="BD91" s="552"/>
      <c r="BE91" s="552"/>
      <c r="BF91" s="552"/>
      <c r="BG91" s="552"/>
      <c r="BH91" s="552"/>
      <c r="BI91" s="552"/>
      <c r="BJ91" s="553"/>
      <c r="BK91" s="42"/>
    </row>
    <row r="92" spans="1:63" s="43" customFormat="1" ht="168" customHeight="1" thickBot="1">
      <c r="A92" s="585">
        <f>IF(G92&lt;&gt;"",SUBTOTAL(103,$G$4:G92),"")</f>
        <v>89</v>
      </c>
      <c r="B92" s="1149"/>
      <c r="C92" s="1150"/>
      <c r="D92" s="1255">
        <v>250228006</v>
      </c>
      <c r="E92" s="543" t="s">
        <v>361</v>
      </c>
      <c r="F92" s="542" t="s">
        <v>117</v>
      </c>
      <c r="G92" s="544" t="s">
        <v>908</v>
      </c>
      <c r="H92" s="545" t="s">
        <v>895</v>
      </c>
      <c r="I92" s="545"/>
      <c r="J92" s="546"/>
      <c r="K92" s="547" t="s">
        <v>904</v>
      </c>
      <c r="L92" s="545"/>
      <c r="M92" s="545"/>
      <c r="N92" s="548"/>
      <c r="O92" s="549"/>
      <c r="P92" s="977"/>
      <c r="Q92" s="549"/>
      <c r="R92" s="549"/>
      <c r="S92" s="547"/>
      <c r="T92" s="547" t="s">
        <v>983</v>
      </c>
      <c r="V92" s="775"/>
      <c r="W92" s="775"/>
      <c r="X92" s="775"/>
      <c r="Y92" s="775"/>
      <c r="Z92" s="768"/>
      <c r="AA92" s="768"/>
      <c r="AB92" s="768"/>
      <c r="AC92" s="768"/>
      <c r="AD92" s="768"/>
      <c r="AE92" s="768"/>
      <c r="AF92" s="768"/>
      <c r="AG92" s="1131"/>
      <c r="AH92" s="755">
        <f t="shared" si="10"/>
        <v>0</v>
      </c>
      <c r="AJ92" s="775"/>
      <c r="AK92" s="775"/>
      <c r="AL92" s="775"/>
      <c r="AM92" s="775"/>
      <c r="AN92" s="768"/>
      <c r="AO92" s="768">
        <v>9000000</v>
      </c>
      <c r="AP92" s="768"/>
      <c r="AQ92" s="768"/>
      <c r="AR92" s="768"/>
      <c r="AS92" s="768"/>
      <c r="AT92" s="768"/>
      <c r="AU92" s="1131"/>
      <c r="AV92" s="755">
        <f t="shared" si="12"/>
        <v>9000000</v>
      </c>
      <c r="AX92" s="550"/>
      <c r="AY92" s="550"/>
      <c r="AZ92" s="550"/>
      <c r="BA92" s="550"/>
      <c r="BB92" s="550"/>
      <c r="BC92" s="551"/>
      <c r="BD92" s="552"/>
      <c r="BE92" s="552"/>
      <c r="BF92" s="552"/>
      <c r="BG92" s="552"/>
      <c r="BH92" s="552"/>
      <c r="BI92" s="552"/>
      <c r="BJ92" s="553"/>
      <c r="BK92" s="42"/>
    </row>
    <row r="93" spans="1:63" s="43" customFormat="1" ht="168" customHeight="1" thickBot="1">
      <c r="A93" s="585">
        <f>IF(G93&lt;&gt;"",SUBTOTAL(103,$G$4:G93),"")</f>
        <v>90</v>
      </c>
      <c r="B93" s="1149"/>
      <c r="C93" s="1150"/>
      <c r="D93" s="1255">
        <v>250526004</v>
      </c>
      <c r="E93" s="543" t="s">
        <v>361</v>
      </c>
      <c r="F93" s="542" t="s">
        <v>117</v>
      </c>
      <c r="G93" s="544" t="s">
        <v>38</v>
      </c>
      <c r="H93" s="545" t="s">
        <v>896</v>
      </c>
      <c r="I93" s="545"/>
      <c r="J93" s="546"/>
      <c r="K93" s="1355" t="s">
        <v>583</v>
      </c>
      <c r="L93" s="545"/>
      <c r="M93" s="545"/>
      <c r="N93" s="548"/>
      <c r="O93" s="549"/>
      <c r="P93" s="977"/>
      <c r="Q93" s="549"/>
      <c r="R93" s="549"/>
      <c r="S93" s="547"/>
      <c r="T93" s="1355" t="s">
        <v>980</v>
      </c>
      <c r="V93" s="775"/>
      <c r="W93" s="775"/>
      <c r="X93" s="775"/>
      <c r="Y93" s="775"/>
      <c r="Z93" s="775"/>
      <c r="AA93" s="768"/>
      <c r="AB93" s="775"/>
      <c r="AC93" s="775"/>
      <c r="AD93" s="775"/>
      <c r="AE93" s="775"/>
      <c r="AF93" s="775"/>
      <c r="AG93" s="775"/>
      <c r="AH93" s="1352">
        <f t="shared" si="10"/>
        <v>0</v>
      </c>
      <c r="AJ93" s="775"/>
      <c r="AK93" s="775"/>
      <c r="AL93" s="775"/>
      <c r="AM93" s="775"/>
      <c r="AN93" s="775"/>
      <c r="AO93" s="768">
        <v>600000</v>
      </c>
      <c r="AP93" s="775"/>
      <c r="AQ93" s="775"/>
      <c r="AR93" s="775"/>
      <c r="AS93" s="775"/>
      <c r="AT93" s="775"/>
      <c r="AU93" s="775"/>
      <c r="AV93" s="1352">
        <f t="shared" si="12"/>
        <v>600000</v>
      </c>
      <c r="AX93" s="550"/>
      <c r="AY93" s="550"/>
      <c r="AZ93" s="550"/>
      <c r="BA93" s="550"/>
      <c r="BB93" s="550"/>
      <c r="BC93" s="551"/>
      <c r="BD93" s="552"/>
      <c r="BE93" s="552"/>
      <c r="BF93" s="552"/>
      <c r="BG93" s="552"/>
      <c r="BH93" s="552"/>
      <c r="BI93" s="552"/>
      <c r="BJ93" s="553"/>
      <c r="BK93" s="42"/>
    </row>
    <row r="94" spans="1:63" s="43" customFormat="1" ht="168" customHeight="1" thickBot="1">
      <c r="A94" s="585">
        <f>IF(G94&lt;&gt;"",SUBTOTAL(103,$G$4:G94),"")</f>
        <v>91</v>
      </c>
      <c r="B94" s="1149"/>
      <c r="C94" s="1150"/>
      <c r="D94" s="1255">
        <v>250526003</v>
      </c>
      <c r="E94" s="543" t="s">
        <v>361</v>
      </c>
      <c r="F94" s="542" t="s">
        <v>117</v>
      </c>
      <c r="G94" s="544" t="s">
        <v>38</v>
      </c>
      <c r="H94" s="545" t="s">
        <v>897</v>
      </c>
      <c r="I94" s="545"/>
      <c r="J94" s="546"/>
      <c r="K94" s="1355" t="s">
        <v>583</v>
      </c>
      <c r="L94" s="545"/>
      <c r="M94" s="545"/>
      <c r="N94" s="548"/>
      <c r="O94" s="549"/>
      <c r="P94" s="977"/>
      <c r="Q94" s="549"/>
      <c r="R94" s="549"/>
      <c r="S94" s="547"/>
      <c r="T94" s="1355" t="s">
        <v>980</v>
      </c>
      <c r="V94" s="775"/>
      <c r="W94" s="775"/>
      <c r="X94" s="775"/>
      <c r="Y94" s="775"/>
      <c r="Z94" s="775"/>
      <c r="AA94" s="768"/>
      <c r="AB94" s="775"/>
      <c r="AC94" s="775"/>
      <c r="AD94" s="775"/>
      <c r="AE94" s="775"/>
      <c r="AF94" s="775"/>
      <c r="AG94" s="775"/>
      <c r="AH94" s="1352">
        <f t="shared" si="10"/>
        <v>0</v>
      </c>
      <c r="AJ94" s="775"/>
      <c r="AK94" s="775"/>
      <c r="AL94" s="775"/>
      <c r="AM94" s="775"/>
      <c r="AN94" s="775"/>
      <c r="AO94" s="768">
        <v>1000000</v>
      </c>
      <c r="AP94" s="775"/>
      <c r="AQ94" s="775"/>
      <c r="AR94" s="775"/>
      <c r="AS94" s="775"/>
      <c r="AT94" s="775"/>
      <c r="AU94" s="775"/>
      <c r="AV94" s="1352">
        <f t="shared" si="12"/>
        <v>1000000</v>
      </c>
      <c r="AX94" s="550"/>
      <c r="AY94" s="550"/>
      <c r="AZ94" s="550"/>
      <c r="BA94" s="550"/>
      <c r="BB94" s="550"/>
      <c r="BC94" s="551"/>
      <c r="BD94" s="552"/>
      <c r="BE94" s="552"/>
      <c r="BF94" s="552"/>
      <c r="BG94" s="552"/>
      <c r="BH94" s="552"/>
      <c r="BI94" s="552"/>
      <c r="BJ94" s="553"/>
      <c r="BK94" s="42"/>
    </row>
    <row r="95" spans="1:63" s="43" customFormat="1" ht="168" customHeight="1" thickBot="1">
      <c r="A95" s="585">
        <f>IF(G95&lt;&gt;"",SUBTOTAL(103,$G$4:G95),"")</f>
        <v>92</v>
      </c>
      <c r="B95" s="1149"/>
      <c r="C95" s="1150"/>
      <c r="D95" s="1255">
        <v>250512002</v>
      </c>
      <c r="E95" s="543" t="s">
        <v>175</v>
      </c>
      <c r="F95" s="542" t="s">
        <v>119</v>
      </c>
      <c r="G95" s="544" t="s">
        <v>181</v>
      </c>
      <c r="H95" s="545" t="s">
        <v>898</v>
      </c>
      <c r="I95" s="545"/>
      <c r="J95" s="546"/>
      <c r="K95" s="547" t="s">
        <v>187</v>
      </c>
      <c r="L95" s="545"/>
      <c r="M95" s="545"/>
      <c r="N95" s="548"/>
      <c r="O95" s="549"/>
      <c r="P95" s="977"/>
      <c r="Q95" s="549"/>
      <c r="R95" s="549"/>
      <c r="S95" s="547"/>
      <c r="T95" s="547" t="s">
        <v>980</v>
      </c>
      <c r="V95" s="775"/>
      <c r="W95" s="775"/>
      <c r="X95" s="775"/>
      <c r="Y95" s="775"/>
      <c r="Z95" s="768"/>
      <c r="AA95" s="768"/>
      <c r="AB95" s="768"/>
      <c r="AC95" s="768"/>
      <c r="AD95" s="768"/>
      <c r="AE95" s="768"/>
      <c r="AF95" s="768"/>
      <c r="AG95" s="1131"/>
      <c r="AH95" s="755">
        <f t="shared" si="10"/>
        <v>0</v>
      </c>
      <c r="AJ95" s="775"/>
      <c r="AK95" s="775"/>
      <c r="AL95" s="775"/>
      <c r="AM95" s="775"/>
      <c r="AN95" s="768"/>
      <c r="AO95" s="768">
        <v>9138195.0800000019</v>
      </c>
      <c r="AP95" s="768"/>
      <c r="AQ95" s="768">
        <v>9847081.2064999994</v>
      </c>
      <c r="AR95" s="768">
        <v>4004702</v>
      </c>
      <c r="AS95" s="768"/>
      <c r="AT95" s="768"/>
      <c r="AU95" s="1131"/>
      <c r="AV95" s="755">
        <f t="shared" si="12"/>
        <v>22989978.286499999</v>
      </c>
      <c r="AX95" s="550"/>
      <c r="AY95" s="550"/>
      <c r="AZ95" s="550"/>
      <c r="BA95" s="550"/>
      <c r="BB95" s="550"/>
      <c r="BC95" s="551"/>
      <c r="BD95" s="552"/>
      <c r="BE95" s="552"/>
      <c r="BF95" s="552"/>
      <c r="BG95" s="552"/>
      <c r="BH95" s="552"/>
      <c r="BI95" s="552"/>
      <c r="BJ95" s="553"/>
      <c r="BK95" s="42"/>
    </row>
    <row r="96" spans="1:63" s="43" customFormat="1" ht="168" customHeight="1" thickBot="1">
      <c r="A96" s="585">
        <f>IF(G96&lt;&gt;"",SUBTOTAL(103,$G$4:G96),"")</f>
        <v>93</v>
      </c>
      <c r="B96" s="1149"/>
      <c r="C96" s="1150"/>
      <c r="D96" s="1255">
        <v>250428004</v>
      </c>
      <c r="E96" s="543" t="s">
        <v>361</v>
      </c>
      <c r="F96" s="542" t="s">
        <v>119</v>
      </c>
      <c r="G96" s="544" t="s">
        <v>181</v>
      </c>
      <c r="H96" s="545" t="s">
        <v>899</v>
      </c>
      <c r="I96" s="545"/>
      <c r="J96" s="546"/>
      <c r="K96" s="547" t="s">
        <v>663</v>
      </c>
      <c r="L96" s="545"/>
      <c r="M96" s="545"/>
      <c r="N96" s="548"/>
      <c r="O96" s="549"/>
      <c r="P96" s="977"/>
      <c r="Q96" s="549"/>
      <c r="R96" s="549"/>
      <c r="S96" s="547"/>
      <c r="T96" s="547" t="s">
        <v>980</v>
      </c>
      <c r="V96" s="775"/>
      <c r="W96" s="775"/>
      <c r="X96" s="775"/>
      <c r="Y96" s="775"/>
      <c r="Z96" s="775"/>
      <c r="AA96" s="768"/>
      <c r="AB96" s="768"/>
      <c r="AC96" s="768"/>
      <c r="AD96" s="768"/>
      <c r="AE96" s="768"/>
      <c r="AF96" s="768"/>
      <c r="AG96" s="1131"/>
      <c r="AH96" s="755">
        <f t="shared" si="10"/>
        <v>0</v>
      </c>
      <c r="AJ96" s="775"/>
      <c r="AK96" s="775"/>
      <c r="AL96" s="775"/>
      <c r="AM96" s="775"/>
      <c r="AN96" s="775"/>
      <c r="AO96" s="768">
        <v>4400000</v>
      </c>
      <c r="AP96" s="768">
        <v>4400000</v>
      </c>
      <c r="AQ96" s="768">
        <v>4400000</v>
      </c>
      <c r="AR96" s="768">
        <v>3300000</v>
      </c>
      <c r="AS96" s="768">
        <v>3300000</v>
      </c>
      <c r="AT96" s="768"/>
      <c r="AU96" s="1131">
        <v>2200000</v>
      </c>
      <c r="AV96" s="755">
        <f t="shared" si="12"/>
        <v>22000000</v>
      </c>
      <c r="AX96" s="550"/>
      <c r="AY96" s="550"/>
      <c r="AZ96" s="550"/>
      <c r="BA96" s="550"/>
      <c r="BB96" s="550"/>
      <c r="BC96" s="551"/>
      <c r="BD96" s="552"/>
      <c r="BE96" s="552"/>
      <c r="BF96" s="552"/>
      <c r="BG96" s="552"/>
      <c r="BH96" s="552"/>
      <c r="BI96" s="552"/>
      <c r="BJ96" s="553"/>
      <c r="BK96" s="42"/>
    </row>
    <row r="97" spans="1:63" s="43" customFormat="1" ht="168" customHeight="1" thickBot="1">
      <c r="A97" s="585">
        <f>IF(G97&lt;&gt;"",SUBTOTAL(103,$G$4:G97),"")</f>
        <v>94</v>
      </c>
      <c r="B97" s="1149"/>
      <c r="C97" s="1150"/>
      <c r="D97" s="1255">
        <v>250428005</v>
      </c>
      <c r="E97" s="543" t="s">
        <v>361</v>
      </c>
      <c r="F97" s="542" t="s">
        <v>119</v>
      </c>
      <c r="G97" s="544" t="s">
        <v>181</v>
      </c>
      <c r="H97" s="545" t="s">
        <v>900</v>
      </c>
      <c r="I97" s="545"/>
      <c r="J97" s="546"/>
      <c r="K97" s="547" t="s">
        <v>663</v>
      </c>
      <c r="L97" s="545"/>
      <c r="M97" s="545"/>
      <c r="N97" s="548"/>
      <c r="O97" s="549"/>
      <c r="P97" s="977"/>
      <c r="Q97" s="549"/>
      <c r="R97" s="549"/>
      <c r="S97" s="547"/>
      <c r="T97" s="547" t="s">
        <v>980</v>
      </c>
      <c r="V97" s="775"/>
      <c r="W97" s="775"/>
      <c r="X97" s="775"/>
      <c r="Y97" s="775"/>
      <c r="Z97" s="768"/>
      <c r="AA97" s="768"/>
      <c r="AB97" s="768"/>
      <c r="AC97" s="768"/>
      <c r="AD97" s="768"/>
      <c r="AE97" s="768"/>
      <c r="AF97" s="768"/>
      <c r="AG97" s="1131"/>
      <c r="AH97" s="755">
        <f t="shared" si="10"/>
        <v>0</v>
      </c>
      <c r="AJ97" s="775"/>
      <c r="AK97" s="775"/>
      <c r="AL97" s="775"/>
      <c r="AM97" s="775"/>
      <c r="AN97" s="768"/>
      <c r="AO97" s="768">
        <v>1000000</v>
      </c>
      <c r="AP97" s="768"/>
      <c r="AQ97" s="768"/>
      <c r="AR97" s="768"/>
      <c r="AS97" s="768"/>
      <c r="AT97" s="768"/>
      <c r="AU97" s="1131"/>
      <c r="AV97" s="755">
        <f t="shared" si="12"/>
        <v>1000000</v>
      </c>
      <c r="AX97" s="550"/>
      <c r="AY97" s="550"/>
      <c r="AZ97" s="550"/>
      <c r="BA97" s="550"/>
      <c r="BB97" s="550"/>
      <c r="BC97" s="551"/>
      <c r="BD97" s="552"/>
      <c r="BE97" s="552"/>
      <c r="BF97" s="552"/>
      <c r="BG97" s="552"/>
      <c r="BH97" s="552"/>
      <c r="BI97" s="552"/>
      <c r="BJ97" s="553"/>
      <c r="BK97" s="42"/>
    </row>
    <row r="98" spans="1:63" s="43" customFormat="1" ht="168" customHeight="1" thickBot="1">
      <c r="A98" s="585">
        <f>IF(G98&lt;&gt;"",SUBTOTAL(103,$G$4:G98),"")</f>
        <v>95</v>
      </c>
      <c r="B98" s="1149"/>
      <c r="C98" s="1150"/>
      <c r="D98" s="1255">
        <v>250508005</v>
      </c>
      <c r="E98" s="543" t="s">
        <v>175</v>
      </c>
      <c r="F98" s="542" t="s">
        <v>119</v>
      </c>
      <c r="G98" s="544" t="s">
        <v>909</v>
      </c>
      <c r="H98" s="545" t="s">
        <v>901</v>
      </c>
      <c r="I98" s="545"/>
      <c r="J98" s="546"/>
      <c r="K98" s="547" t="s">
        <v>905</v>
      </c>
      <c r="L98" s="545"/>
      <c r="M98" s="545"/>
      <c r="N98" s="548"/>
      <c r="O98" s="549"/>
      <c r="P98" s="977"/>
      <c r="Q98" s="549"/>
      <c r="R98" s="549"/>
      <c r="S98" s="547"/>
      <c r="T98" s="547" t="s">
        <v>983</v>
      </c>
      <c r="V98" s="775"/>
      <c r="W98" s="775"/>
      <c r="X98" s="775"/>
      <c r="Y98" s="775"/>
      <c r="Z98" s="768"/>
      <c r="AA98" s="768"/>
      <c r="AB98" s="768"/>
      <c r="AC98" s="768"/>
      <c r="AD98" s="768"/>
      <c r="AE98" s="768"/>
      <c r="AF98" s="768"/>
      <c r="AG98" s="1131"/>
      <c r="AH98" s="755">
        <f t="shared" si="10"/>
        <v>0</v>
      </c>
      <c r="AJ98" s="775"/>
      <c r="AK98" s="775"/>
      <c r="AL98" s="775"/>
      <c r="AM98" s="775"/>
      <c r="AN98" s="768"/>
      <c r="AO98" s="768">
        <v>2259267</v>
      </c>
      <c r="AP98" s="768"/>
      <c r="AQ98" s="768"/>
      <c r="AR98" s="768"/>
      <c r="AS98" s="768"/>
      <c r="AT98" s="768">
        <v>5816236</v>
      </c>
      <c r="AU98" s="1131"/>
      <c r="AV98" s="755">
        <f t="shared" si="12"/>
        <v>8075503</v>
      </c>
      <c r="AX98" s="550"/>
      <c r="AY98" s="550"/>
      <c r="AZ98" s="550"/>
      <c r="BA98" s="550"/>
      <c r="BB98" s="550"/>
      <c r="BC98" s="551"/>
      <c r="BD98" s="552"/>
      <c r="BE98" s="552"/>
      <c r="BF98" s="552"/>
      <c r="BG98" s="552"/>
      <c r="BH98" s="552"/>
      <c r="BI98" s="552"/>
      <c r="BJ98" s="553"/>
      <c r="BK98" s="42"/>
    </row>
    <row r="99" spans="1:63" s="43" customFormat="1" ht="168" customHeight="1" thickBot="1">
      <c r="A99" s="585">
        <f>IF(G99&lt;&gt;"",SUBTOTAL(103,$G$4:G99),"")</f>
        <v>96</v>
      </c>
      <c r="B99" s="1149"/>
      <c r="C99" s="1150"/>
      <c r="D99" s="1255">
        <v>250203002</v>
      </c>
      <c r="E99" s="543" t="s">
        <v>175</v>
      </c>
      <c r="F99" s="542" t="s">
        <v>118</v>
      </c>
      <c r="G99" s="544" t="s">
        <v>331</v>
      </c>
      <c r="H99" s="545" t="s">
        <v>902</v>
      </c>
      <c r="I99" s="545"/>
      <c r="J99" s="546"/>
      <c r="K99" s="547" t="s">
        <v>906</v>
      </c>
      <c r="L99" s="545"/>
      <c r="M99" s="545"/>
      <c r="N99" s="548"/>
      <c r="O99" s="549"/>
      <c r="P99" s="977"/>
      <c r="Q99" s="549"/>
      <c r="R99" s="549"/>
      <c r="S99" s="547"/>
      <c r="T99" s="547" t="s">
        <v>982</v>
      </c>
      <c r="V99" s="775"/>
      <c r="W99" s="775"/>
      <c r="X99" s="775"/>
      <c r="Y99" s="775"/>
      <c r="Z99" s="768"/>
      <c r="AA99" s="768"/>
      <c r="AB99" s="768"/>
      <c r="AC99" s="768"/>
      <c r="AD99" s="768"/>
      <c r="AE99" s="768"/>
      <c r="AF99" s="768"/>
      <c r="AG99" s="1131"/>
      <c r="AH99" s="755">
        <f t="shared" si="10"/>
        <v>0</v>
      </c>
      <c r="AJ99" s="775"/>
      <c r="AK99" s="775"/>
      <c r="AL99" s="775"/>
      <c r="AM99" s="775"/>
      <c r="AN99" s="768"/>
      <c r="AO99" s="768">
        <v>136559356</v>
      </c>
      <c r="AP99" s="768">
        <v>20616284</v>
      </c>
      <c r="AQ99" s="768">
        <v>11169378</v>
      </c>
      <c r="AR99" s="768">
        <v>5221430</v>
      </c>
      <c r="AS99" s="768">
        <v>11424263</v>
      </c>
      <c r="AT99" s="768">
        <v>26489476</v>
      </c>
      <c r="AU99" s="1131">
        <v>48116945</v>
      </c>
      <c r="AV99" s="755">
        <f t="shared" si="12"/>
        <v>259597132</v>
      </c>
      <c r="AX99" s="550"/>
      <c r="AY99" s="550"/>
      <c r="AZ99" s="550"/>
      <c r="BA99" s="550"/>
      <c r="BB99" s="550"/>
      <c r="BC99" s="551"/>
      <c r="BD99" s="552"/>
      <c r="BE99" s="552"/>
      <c r="BF99" s="552"/>
      <c r="BG99" s="552"/>
      <c r="BH99" s="552"/>
      <c r="BI99" s="552"/>
      <c r="BJ99" s="553"/>
      <c r="BK99" s="42"/>
    </row>
    <row r="100" spans="1:63" s="43" customFormat="1" ht="168" customHeight="1" thickBot="1">
      <c r="A100" s="585">
        <f>IF(G100&lt;&gt;"",SUBTOTAL(103,$G$4:G100),"")</f>
        <v>97</v>
      </c>
      <c r="B100" s="1149"/>
      <c r="C100" s="1150"/>
      <c r="D100" s="1255">
        <v>250415004</v>
      </c>
      <c r="E100" s="543" t="s">
        <v>361</v>
      </c>
      <c r="F100" s="542" t="s">
        <v>119</v>
      </c>
      <c r="G100" s="544" t="s">
        <v>717</v>
      </c>
      <c r="H100" s="545" t="s">
        <v>903</v>
      </c>
      <c r="I100" s="545"/>
      <c r="J100" s="546"/>
      <c r="K100" s="547" t="s">
        <v>907</v>
      </c>
      <c r="L100" s="545"/>
      <c r="M100" s="545"/>
      <c r="N100" s="548"/>
      <c r="O100" s="549"/>
      <c r="P100" s="977"/>
      <c r="Q100" s="549"/>
      <c r="R100" s="549"/>
      <c r="S100" s="547"/>
      <c r="T100" s="547" t="s">
        <v>981</v>
      </c>
      <c r="V100" s="775"/>
      <c r="W100" s="775"/>
      <c r="X100" s="775"/>
      <c r="Y100" s="775"/>
      <c r="Z100" s="768"/>
      <c r="AA100" s="768"/>
      <c r="AB100" s="768"/>
      <c r="AC100" s="768"/>
      <c r="AD100" s="768"/>
      <c r="AE100" s="768"/>
      <c r="AF100" s="768"/>
      <c r="AG100" s="1131"/>
      <c r="AH100" s="755">
        <f t="shared" si="10"/>
        <v>0</v>
      </c>
      <c r="AJ100" s="775"/>
      <c r="AK100" s="775"/>
      <c r="AL100" s="775"/>
      <c r="AM100" s="775"/>
      <c r="AN100" s="768"/>
      <c r="AO100" s="768">
        <v>46626000</v>
      </c>
      <c r="AP100" s="768"/>
      <c r="AQ100" s="768"/>
      <c r="AR100" s="768"/>
      <c r="AS100" s="768"/>
      <c r="AT100" s="768"/>
      <c r="AU100" s="1131"/>
      <c r="AV100" s="755">
        <f t="shared" si="12"/>
        <v>46626000</v>
      </c>
      <c r="AX100" s="550"/>
      <c r="AY100" s="550"/>
      <c r="AZ100" s="550"/>
      <c r="BA100" s="550"/>
      <c r="BB100" s="550"/>
      <c r="BC100" s="551"/>
      <c r="BD100" s="552"/>
      <c r="BE100" s="552"/>
      <c r="BF100" s="552"/>
      <c r="BG100" s="552"/>
      <c r="BH100" s="552"/>
      <c r="BI100" s="552"/>
      <c r="BJ100" s="553"/>
      <c r="BK100" s="42"/>
    </row>
    <row r="101" spans="1:63" s="43" customFormat="1" ht="168" customHeight="1" thickBot="1">
      <c r="A101" s="585">
        <f>IF(G101&lt;&gt;"",SUBTOTAL(103,$G$4:G101),"")</f>
        <v>98</v>
      </c>
      <c r="B101" s="1149"/>
      <c r="C101" s="1150"/>
      <c r="D101" s="543">
        <v>250212007</v>
      </c>
      <c r="E101" s="543" t="s">
        <v>167</v>
      </c>
      <c r="F101" s="542" t="s">
        <v>118</v>
      </c>
      <c r="G101" s="544" t="s">
        <v>25</v>
      </c>
      <c r="H101" s="545" t="s">
        <v>924</v>
      </c>
      <c r="I101" s="545"/>
      <c r="J101" s="546"/>
      <c r="K101" s="547" t="s">
        <v>335</v>
      </c>
      <c r="L101" s="545"/>
      <c r="M101" s="545"/>
      <c r="N101" s="548"/>
      <c r="O101" s="549"/>
      <c r="P101" s="977"/>
      <c r="Q101" s="549"/>
      <c r="R101" s="549"/>
      <c r="S101" s="547"/>
      <c r="T101" s="547" t="s">
        <v>980</v>
      </c>
      <c r="V101" s="775"/>
      <c r="W101" s="775"/>
      <c r="X101" s="775"/>
      <c r="Y101" s="775"/>
      <c r="Z101" s="768"/>
      <c r="AA101" s="768"/>
      <c r="AB101" s="768"/>
      <c r="AC101" s="768"/>
      <c r="AD101" s="768"/>
      <c r="AE101" s="768"/>
      <c r="AF101" s="768"/>
      <c r="AG101" s="1131"/>
      <c r="AH101" s="755">
        <f t="shared" si="10"/>
        <v>0</v>
      </c>
      <c r="AJ101" s="775"/>
      <c r="AK101" s="775"/>
      <c r="AL101" s="775"/>
      <c r="AM101" s="775"/>
      <c r="AN101" s="768"/>
      <c r="AO101" s="768"/>
      <c r="AP101" s="768">
        <v>21112560</v>
      </c>
      <c r="AQ101" s="768"/>
      <c r="AR101" s="768">
        <v>28748385</v>
      </c>
      <c r="AS101" s="768"/>
      <c r="AT101" s="768"/>
      <c r="AU101" s="1131">
        <v>9037949</v>
      </c>
      <c r="AV101" s="755">
        <f t="shared" si="12"/>
        <v>58898894</v>
      </c>
      <c r="AX101" s="550"/>
      <c r="AY101" s="550"/>
      <c r="AZ101" s="550"/>
      <c r="BA101" s="550"/>
      <c r="BB101" s="550"/>
      <c r="BC101" s="551"/>
      <c r="BD101" s="552"/>
      <c r="BE101" s="552"/>
      <c r="BF101" s="552"/>
      <c r="BG101" s="552"/>
      <c r="BH101" s="552"/>
      <c r="BI101" s="552"/>
      <c r="BJ101" s="553"/>
      <c r="BK101" s="42"/>
    </row>
    <row r="102" spans="1:63" s="43" customFormat="1" ht="168" customHeight="1" thickBot="1">
      <c r="A102" s="585">
        <f>IF(G102&lt;&gt;"",SUBTOTAL(103,$G$4:G102),"")</f>
        <v>99</v>
      </c>
      <c r="B102" s="1149"/>
      <c r="C102" s="1150"/>
      <c r="D102" s="543">
        <v>250214004</v>
      </c>
      <c r="E102" s="543" t="s">
        <v>31</v>
      </c>
      <c r="F102" s="542" t="s">
        <v>118</v>
      </c>
      <c r="G102" s="544" t="s">
        <v>25</v>
      </c>
      <c r="H102" s="545" t="s">
        <v>925</v>
      </c>
      <c r="I102" s="545"/>
      <c r="J102" s="546"/>
      <c r="K102" s="547" t="s">
        <v>940</v>
      </c>
      <c r="L102" s="545"/>
      <c r="M102" s="545"/>
      <c r="N102" s="548"/>
      <c r="O102" s="549"/>
      <c r="P102" s="977"/>
      <c r="Q102" s="549"/>
      <c r="R102" s="549"/>
      <c r="S102" s="547"/>
      <c r="T102" s="547" t="s">
        <v>980</v>
      </c>
      <c r="V102" s="775"/>
      <c r="W102" s="775"/>
      <c r="X102" s="775"/>
      <c r="Y102" s="775"/>
      <c r="Z102" s="775"/>
      <c r="AA102" s="768"/>
      <c r="AB102" s="768"/>
      <c r="AC102" s="768"/>
      <c r="AD102" s="768"/>
      <c r="AE102" s="768"/>
      <c r="AF102" s="768"/>
      <c r="AG102" s="1131"/>
      <c r="AH102" s="755">
        <f t="shared" si="10"/>
        <v>0</v>
      </c>
      <c r="AJ102" s="775"/>
      <c r="AK102" s="775"/>
      <c r="AL102" s="775"/>
      <c r="AM102" s="775"/>
      <c r="AN102" s="775"/>
      <c r="AO102" s="768"/>
      <c r="AP102" s="768">
        <v>4029957</v>
      </c>
      <c r="AQ102" s="768">
        <v>2233976</v>
      </c>
      <c r="AR102" s="768">
        <v>2452047</v>
      </c>
      <c r="AS102" s="768">
        <v>1283953</v>
      </c>
      <c r="AT102" s="768">
        <v>2135555</v>
      </c>
      <c r="AU102" s="1131">
        <v>2004303</v>
      </c>
      <c r="AV102" s="755">
        <f t="shared" si="12"/>
        <v>14139791</v>
      </c>
      <c r="AX102" s="550"/>
      <c r="AY102" s="550"/>
      <c r="AZ102" s="550"/>
      <c r="BA102" s="550"/>
      <c r="BB102" s="550"/>
      <c r="BC102" s="551"/>
      <c r="BD102" s="552"/>
      <c r="BE102" s="552"/>
      <c r="BF102" s="552"/>
      <c r="BG102" s="552"/>
      <c r="BH102" s="552"/>
      <c r="BI102" s="552"/>
      <c r="BJ102" s="553"/>
      <c r="BK102" s="42"/>
    </row>
    <row r="103" spans="1:63" s="43" customFormat="1" ht="168" customHeight="1" thickBot="1">
      <c r="A103" s="585">
        <f>IF(G103&lt;&gt;"",SUBTOTAL(103,$G$4:G103),"")</f>
        <v>100</v>
      </c>
      <c r="B103" s="1149"/>
      <c r="C103" s="1150"/>
      <c r="D103" s="543">
        <v>250423002</v>
      </c>
      <c r="E103" s="543" t="s">
        <v>361</v>
      </c>
      <c r="F103" s="542" t="s">
        <v>119</v>
      </c>
      <c r="G103" s="544" t="s">
        <v>58</v>
      </c>
      <c r="H103" s="545" t="s">
        <v>926</v>
      </c>
      <c r="I103" s="545"/>
      <c r="J103" s="546"/>
      <c r="K103" s="547" t="s">
        <v>546</v>
      </c>
      <c r="L103" s="545"/>
      <c r="M103" s="545"/>
      <c r="N103" s="548"/>
      <c r="O103" s="549"/>
      <c r="P103" s="977"/>
      <c r="Q103" s="549"/>
      <c r="R103" s="549"/>
      <c r="S103" s="547"/>
      <c r="T103" s="547" t="s">
        <v>981</v>
      </c>
      <c r="V103" s="775"/>
      <c r="W103" s="775"/>
      <c r="X103" s="775"/>
      <c r="Y103" s="775"/>
      <c r="Z103" s="775"/>
      <c r="AA103" s="775"/>
      <c r="AB103" s="768"/>
      <c r="AC103" s="768"/>
      <c r="AD103" s="768"/>
      <c r="AE103" s="768"/>
      <c r="AF103" s="768"/>
      <c r="AG103" s="1131"/>
      <c r="AH103" s="755">
        <f t="shared" si="10"/>
        <v>0</v>
      </c>
      <c r="AJ103" s="775"/>
      <c r="AK103" s="775"/>
      <c r="AL103" s="775"/>
      <c r="AM103" s="775"/>
      <c r="AN103" s="775"/>
      <c r="AO103" s="775"/>
      <c r="AP103" s="768">
        <v>10218000</v>
      </c>
      <c r="AQ103" s="768"/>
      <c r="AR103" s="768"/>
      <c r="AS103" s="768"/>
      <c r="AT103" s="768"/>
      <c r="AU103" s="1131"/>
      <c r="AV103" s="755">
        <f t="shared" si="12"/>
        <v>10218000</v>
      </c>
      <c r="AX103" s="550"/>
      <c r="AY103" s="550"/>
      <c r="AZ103" s="550"/>
      <c r="BA103" s="550"/>
      <c r="BB103" s="550"/>
      <c r="BC103" s="551"/>
      <c r="BD103" s="552"/>
      <c r="BE103" s="552"/>
      <c r="BF103" s="552"/>
      <c r="BG103" s="552"/>
      <c r="BH103" s="552"/>
      <c r="BI103" s="552"/>
      <c r="BJ103" s="553"/>
      <c r="BK103" s="42"/>
    </row>
    <row r="104" spans="1:63" s="43" customFormat="1" ht="168" customHeight="1" thickBot="1">
      <c r="A104" s="585">
        <f>IF(G104&lt;&gt;"",SUBTOTAL(103,$G$4:G104),"")</f>
        <v>101</v>
      </c>
      <c r="B104" s="1149"/>
      <c r="C104" s="1150"/>
      <c r="D104" s="543">
        <v>250601001</v>
      </c>
      <c r="E104" s="543" t="s">
        <v>361</v>
      </c>
      <c r="F104" s="542" t="s">
        <v>119</v>
      </c>
      <c r="G104" s="544" t="s">
        <v>717</v>
      </c>
      <c r="H104" s="545" t="s">
        <v>928</v>
      </c>
      <c r="I104" s="545"/>
      <c r="J104" s="546"/>
      <c r="K104" s="547" t="s">
        <v>927</v>
      </c>
      <c r="L104" s="545"/>
      <c r="M104" s="545"/>
      <c r="N104" s="548"/>
      <c r="O104" s="549"/>
      <c r="P104" s="977"/>
      <c r="Q104" s="549"/>
      <c r="R104" s="549"/>
      <c r="S104" s="547"/>
      <c r="T104" s="547" t="s">
        <v>981</v>
      </c>
      <c r="V104" s="775"/>
      <c r="W104" s="775"/>
      <c r="X104" s="775"/>
      <c r="Y104" s="775"/>
      <c r="Z104" s="775"/>
      <c r="AA104" s="775"/>
      <c r="AB104" s="768"/>
      <c r="AC104" s="768"/>
      <c r="AD104" s="768"/>
      <c r="AE104" s="768"/>
      <c r="AF104" s="768"/>
      <c r="AG104" s="1131"/>
      <c r="AH104" s="755">
        <f t="shared" si="10"/>
        <v>0</v>
      </c>
      <c r="AJ104" s="775"/>
      <c r="AK104" s="775"/>
      <c r="AL104" s="775"/>
      <c r="AM104" s="775"/>
      <c r="AN104" s="775"/>
      <c r="AO104" s="775"/>
      <c r="AP104" s="768">
        <v>2464000</v>
      </c>
      <c r="AQ104" s="768"/>
      <c r="AR104" s="768"/>
      <c r="AS104" s="768"/>
      <c r="AT104" s="768"/>
      <c r="AU104" s="1131"/>
      <c r="AV104" s="755">
        <f t="shared" si="12"/>
        <v>2464000</v>
      </c>
      <c r="AX104" s="550"/>
      <c r="AY104" s="550"/>
      <c r="AZ104" s="550"/>
      <c r="BA104" s="550"/>
      <c r="BB104" s="550"/>
      <c r="BC104" s="551"/>
      <c r="BD104" s="552"/>
      <c r="BE104" s="552"/>
      <c r="BF104" s="552"/>
      <c r="BG104" s="552"/>
      <c r="BH104" s="552"/>
      <c r="BI104" s="552"/>
      <c r="BJ104" s="553"/>
      <c r="BK104" s="42"/>
    </row>
    <row r="105" spans="1:63" s="43" customFormat="1" ht="168" customHeight="1" thickBot="1">
      <c r="A105" s="585">
        <f>IF(G105&lt;&gt;"",SUBTOTAL(103,$G$4:G105),"")</f>
        <v>102</v>
      </c>
      <c r="B105" s="1149"/>
      <c r="C105" s="1150"/>
      <c r="D105" s="543">
        <v>250608003</v>
      </c>
      <c r="E105" s="543" t="s">
        <v>361</v>
      </c>
      <c r="F105" s="542" t="s">
        <v>119</v>
      </c>
      <c r="G105" s="544" t="s">
        <v>717</v>
      </c>
      <c r="H105" s="545" t="s">
        <v>929</v>
      </c>
      <c r="I105" s="545"/>
      <c r="J105" s="546"/>
      <c r="K105" s="547" t="s">
        <v>927</v>
      </c>
      <c r="L105" s="545"/>
      <c r="M105" s="545"/>
      <c r="N105" s="548"/>
      <c r="O105" s="549"/>
      <c r="P105" s="977"/>
      <c r="Q105" s="549"/>
      <c r="R105" s="549"/>
      <c r="S105" s="547"/>
      <c r="T105" s="547" t="s">
        <v>981</v>
      </c>
      <c r="V105" s="775"/>
      <c r="W105" s="775"/>
      <c r="X105" s="775"/>
      <c r="Y105" s="775"/>
      <c r="Z105" s="775"/>
      <c r="AA105" s="775"/>
      <c r="AB105" s="768"/>
      <c r="AC105" s="768"/>
      <c r="AD105" s="768"/>
      <c r="AE105" s="768"/>
      <c r="AF105" s="768"/>
      <c r="AG105" s="1131"/>
      <c r="AH105" s="755">
        <f t="shared" si="10"/>
        <v>0</v>
      </c>
      <c r="AJ105" s="775"/>
      <c r="AK105" s="775"/>
      <c r="AL105" s="775"/>
      <c r="AM105" s="775"/>
      <c r="AN105" s="775"/>
      <c r="AO105" s="775"/>
      <c r="AP105" s="768">
        <v>9428910</v>
      </c>
      <c r="AQ105" s="768"/>
      <c r="AR105" s="768"/>
      <c r="AS105" s="768"/>
      <c r="AT105" s="768"/>
      <c r="AU105" s="1131"/>
      <c r="AV105" s="755">
        <f t="shared" si="12"/>
        <v>9428910</v>
      </c>
      <c r="AX105" s="550"/>
      <c r="AY105" s="550"/>
      <c r="AZ105" s="550"/>
      <c r="BA105" s="550"/>
      <c r="BB105" s="550"/>
      <c r="BC105" s="551"/>
      <c r="BD105" s="552"/>
      <c r="BE105" s="552"/>
      <c r="BF105" s="552"/>
      <c r="BG105" s="552"/>
      <c r="BH105" s="552"/>
      <c r="BI105" s="552"/>
      <c r="BJ105" s="553"/>
      <c r="BK105" s="42"/>
    </row>
    <row r="106" spans="1:63" s="43" customFormat="1" ht="168" customHeight="1" thickBot="1">
      <c r="A106" s="585">
        <f>IF(G106&lt;&gt;"",SUBTOTAL(103,$G$4:G106),"")</f>
        <v>103</v>
      </c>
      <c r="B106" s="1149"/>
      <c r="C106" s="1150"/>
      <c r="D106" s="543">
        <v>250605002</v>
      </c>
      <c r="E106" s="543" t="s">
        <v>361</v>
      </c>
      <c r="F106" s="542" t="s">
        <v>119</v>
      </c>
      <c r="G106" s="544" t="s">
        <v>38</v>
      </c>
      <c r="H106" s="545" t="s">
        <v>930</v>
      </c>
      <c r="I106" s="545"/>
      <c r="J106" s="546"/>
      <c r="K106" s="1355" t="s">
        <v>583</v>
      </c>
      <c r="L106" s="545"/>
      <c r="M106" s="545"/>
      <c r="N106" s="548"/>
      <c r="O106" s="549"/>
      <c r="P106" s="977"/>
      <c r="Q106" s="549"/>
      <c r="R106" s="549"/>
      <c r="S106" s="547"/>
      <c r="T106" s="1355" t="s">
        <v>980</v>
      </c>
      <c r="V106" s="775"/>
      <c r="W106" s="775"/>
      <c r="X106" s="775"/>
      <c r="Y106" s="775"/>
      <c r="Z106" s="775"/>
      <c r="AA106" s="775"/>
      <c r="AB106" s="768"/>
      <c r="AC106" s="775"/>
      <c r="AD106" s="775"/>
      <c r="AE106" s="775"/>
      <c r="AF106" s="775"/>
      <c r="AG106" s="775"/>
      <c r="AH106" s="1352">
        <f t="shared" si="10"/>
        <v>0</v>
      </c>
      <c r="AJ106" s="775"/>
      <c r="AK106" s="775"/>
      <c r="AL106" s="775"/>
      <c r="AM106" s="775"/>
      <c r="AN106" s="775"/>
      <c r="AO106" s="775"/>
      <c r="AP106" s="768">
        <v>124816836</v>
      </c>
      <c r="AQ106" s="775"/>
      <c r="AR106" s="775"/>
      <c r="AS106" s="775"/>
      <c r="AT106" s="775"/>
      <c r="AU106" s="775"/>
      <c r="AV106" s="1352">
        <f t="shared" si="12"/>
        <v>124816836</v>
      </c>
      <c r="AX106" s="550"/>
      <c r="AY106" s="550"/>
      <c r="AZ106" s="550"/>
      <c r="BA106" s="550"/>
      <c r="BB106" s="550"/>
      <c r="BC106" s="551"/>
      <c r="BD106" s="552"/>
      <c r="BE106" s="552"/>
      <c r="BF106" s="552"/>
      <c r="BG106" s="552"/>
      <c r="BH106" s="552"/>
      <c r="BI106" s="552"/>
      <c r="BJ106" s="553"/>
      <c r="BK106" s="42"/>
    </row>
    <row r="107" spans="1:63" s="43" customFormat="1" ht="168" customHeight="1" thickBot="1">
      <c r="A107" s="585">
        <f>IF(G107&lt;&gt;"",SUBTOTAL(103,$G$4:G107),"")</f>
        <v>104</v>
      </c>
      <c r="B107" s="1149"/>
      <c r="C107" s="1150"/>
      <c r="D107" s="543">
        <v>250402002</v>
      </c>
      <c r="E107" s="543" t="s">
        <v>167</v>
      </c>
      <c r="F107" s="542" t="s">
        <v>118</v>
      </c>
      <c r="G107" s="544" t="s">
        <v>25</v>
      </c>
      <c r="H107" s="545" t="s">
        <v>941</v>
      </c>
      <c r="I107" s="545"/>
      <c r="J107" s="546"/>
      <c r="K107" s="547" t="s">
        <v>30</v>
      </c>
      <c r="L107" s="545"/>
      <c r="M107" s="545"/>
      <c r="N107" s="548"/>
      <c r="O107" s="549"/>
      <c r="P107" s="977"/>
      <c r="Q107" s="549"/>
      <c r="R107" s="549"/>
      <c r="S107" s="547"/>
      <c r="T107" s="547" t="s">
        <v>982</v>
      </c>
      <c r="V107" s="768"/>
      <c r="W107" s="768"/>
      <c r="X107" s="768"/>
      <c r="Y107" s="768"/>
      <c r="Z107" s="768"/>
      <c r="AA107" s="768"/>
      <c r="AB107" s="768"/>
      <c r="AC107" s="768"/>
      <c r="AD107" s="768"/>
      <c r="AE107" s="768"/>
      <c r="AF107" s="768"/>
      <c r="AG107" s="768"/>
      <c r="AH107" s="755">
        <f t="shared" si="10"/>
        <v>0</v>
      </c>
      <c r="AJ107" s="768"/>
      <c r="AK107" s="768"/>
      <c r="AL107" s="768"/>
      <c r="AM107" s="768"/>
      <c r="AN107" s="768"/>
      <c r="AO107" s="768"/>
      <c r="AP107" s="768"/>
      <c r="AQ107" s="768">
        <v>680886418</v>
      </c>
      <c r="AR107" s="768">
        <v>134304450</v>
      </c>
      <c r="AS107" s="768">
        <v>218703898</v>
      </c>
      <c r="AT107" s="768">
        <v>296470506</v>
      </c>
      <c r="AU107" s="768">
        <v>206498009</v>
      </c>
      <c r="AV107" s="755">
        <f t="shared" si="12"/>
        <v>1536863281</v>
      </c>
      <c r="AX107" s="550"/>
      <c r="AY107" s="550"/>
      <c r="AZ107" s="550"/>
      <c r="BA107" s="550"/>
      <c r="BB107" s="550"/>
      <c r="BC107" s="551"/>
      <c r="BD107" s="552"/>
      <c r="BE107" s="552"/>
      <c r="BF107" s="552"/>
      <c r="BG107" s="552"/>
      <c r="BH107" s="552"/>
      <c r="BI107" s="552"/>
      <c r="BJ107" s="553"/>
      <c r="BK107" s="42"/>
    </row>
    <row r="108" spans="1:63" s="43" customFormat="1" ht="168" customHeight="1" thickBot="1">
      <c r="A108" s="585">
        <f>IF(G108&lt;&gt;"",SUBTOTAL(103,$G$4:G108),"")</f>
        <v>105</v>
      </c>
      <c r="B108" s="1149"/>
      <c r="C108" s="1150"/>
      <c r="D108" s="543">
        <v>241128003</v>
      </c>
      <c r="E108" s="543" t="s">
        <v>169</v>
      </c>
      <c r="F108" s="542" t="s">
        <v>117</v>
      </c>
      <c r="G108" s="544" t="s">
        <v>38</v>
      </c>
      <c r="H108" s="545" t="s">
        <v>943</v>
      </c>
      <c r="I108" s="545"/>
      <c r="J108" s="546"/>
      <c r="K108" s="547" t="s">
        <v>942</v>
      </c>
      <c r="L108" s="545"/>
      <c r="M108" s="545"/>
      <c r="N108" s="548"/>
      <c r="O108" s="549"/>
      <c r="P108" s="977"/>
      <c r="Q108" s="549"/>
      <c r="R108" s="549"/>
      <c r="S108" s="547"/>
      <c r="T108" s="547" t="s">
        <v>980</v>
      </c>
      <c r="V108" s="768"/>
      <c r="W108" s="768"/>
      <c r="X108" s="768"/>
      <c r="Y108" s="768"/>
      <c r="Z108" s="768"/>
      <c r="AA108" s="768"/>
      <c r="AB108" s="768"/>
      <c r="AC108" s="768"/>
      <c r="AD108" s="768"/>
      <c r="AE108" s="768"/>
      <c r="AF108" s="768"/>
      <c r="AG108" s="775"/>
      <c r="AH108" s="755">
        <f t="shared" si="10"/>
        <v>0</v>
      </c>
      <c r="AJ108" s="768"/>
      <c r="AK108" s="768"/>
      <c r="AL108" s="768"/>
      <c r="AM108" s="768"/>
      <c r="AN108" s="768"/>
      <c r="AO108" s="768"/>
      <c r="AP108" s="768"/>
      <c r="AQ108" s="768">
        <v>60278528</v>
      </c>
      <c r="AR108" s="768">
        <v>10939253</v>
      </c>
      <c r="AS108" s="768">
        <v>3975584</v>
      </c>
      <c r="AT108" s="768">
        <v>2751600</v>
      </c>
      <c r="AU108" s="775"/>
      <c r="AV108" s="755">
        <f t="shared" ref="AV108" si="13">SUM(AJ108:AU108)</f>
        <v>77944965</v>
      </c>
      <c r="AX108" s="775"/>
      <c r="AY108" s="775"/>
      <c r="AZ108" s="775"/>
      <c r="BA108" s="775"/>
      <c r="BB108" s="775"/>
      <c r="BC108" s="775"/>
      <c r="BD108" s="775"/>
      <c r="BE108" s="775"/>
      <c r="BF108" s="775"/>
      <c r="BG108" s="775"/>
      <c r="BH108" s="775"/>
      <c r="BI108" s="552"/>
      <c r="BJ108" s="553"/>
      <c r="BK108" s="42"/>
    </row>
    <row r="109" spans="1:63" s="43" customFormat="1" ht="168" customHeight="1" thickBot="1">
      <c r="A109" s="585">
        <f>IF(G109&lt;&gt;"",SUBTOTAL(103,$G$4:G109),"")</f>
        <v>106</v>
      </c>
      <c r="B109" s="1149"/>
      <c r="C109" s="1150"/>
      <c r="D109" s="543">
        <v>250708002</v>
      </c>
      <c r="E109" s="543" t="s">
        <v>361</v>
      </c>
      <c r="F109" s="542" t="s">
        <v>117</v>
      </c>
      <c r="G109" s="544" t="s">
        <v>38</v>
      </c>
      <c r="H109" s="545" t="s">
        <v>944</v>
      </c>
      <c r="I109" s="545"/>
      <c r="J109" s="546"/>
      <c r="K109" s="1355" t="s">
        <v>792</v>
      </c>
      <c r="L109" s="545"/>
      <c r="M109" s="545"/>
      <c r="N109" s="548"/>
      <c r="O109" s="549"/>
      <c r="P109" s="977"/>
      <c r="Q109" s="549"/>
      <c r="R109" s="549"/>
      <c r="S109" s="547"/>
      <c r="T109" s="1355" t="s">
        <v>980</v>
      </c>
      <c r="V109" s="775"/>
      <c r="W109" s="775"/>
      <c r="X109" s="775"/>
      <c r="Y109" s="775"/>
      <c r="Z109" s="775"/>
      <c r="AA109" s="775"/>
      <c r="AB109" s="775"/>
      <c r="AC109" s="768"/>
      <c r="AD109" s="775"/>
      <c r="AE109" s="775"/>
      <c r="AF109" s="775"/>
      <c r="AG109" s="775"/>
      <c r="AH109" s="1352">
        <f t="shared" si="10"/>
        <v>0</v>
      </c>
      <c r="AJ109" s="775"/>
      <c r="AK109" s="775"/>
      <c r="AL109" s="775"/>
      <c r="AM109" s="775"/>
      <c r="AN109" s="775"/>
      <c r="AO109" s="775"/>
      <c r="AP109" s="775"/>
      <c r="AQ109" s="768">
        <v>15100000</v>
      </c>
      <c r="AR109" s="775"/>
      <c r="AS109" s="775"/>
      <c r="AT109" s="775"/>
      <c r="AU109" s="775"/>
      <c r="AV109" s="1352">
        <f t="shared" ref="AV109" si="14">SUM(AJ109:AU109)</f>
        <v>15100000</v>
      </c>
      <c r="AX109" s="552"/>
      <c r="AY109" s="552"/>
      <c r="AZ109" s="552"/>
      <c r="BA109" s="552"/>
      <c r="BB109" s="552"/>
      <c r="BC109" s="552"/>
      <c r="BD109" s="552"/>
      <c r="BE109" s="552"/>
      <c r="BF109" s="552"/>
      <c r="BG109" s="552"/>
      <c r="BH109" s="552"/>
      <c r="BI109" s="552"/>
      <c r="BJ109" s="552"/>
      <c r="BK109" s="42"/>
    </row>
    <row r="110" spans="1:63" s="43" customFormat="1" ht="168" customHeight="1" thickBot="1">
      <c r="A110" s="585">
        <f>IF(G110&lt;&gt;"",SUBTOTAL(103,$G$4:G110),"")</f>
        <v>107</v>
      </c>
      <c r="B110" s="1149"/>
      <c r="C110" s="1150"/>
      <c r="D110" s="543">
        <v>250404001</v>
      </c>
      <c r="E110" s="543" t="s">
        <v>361</v>
      </c>
      <c r="F110" s="542" t="s">
        <v>117</v>
      </c>
      <c r="G110" s="544" t="s">
        <v>38</v>
      </c>
      <c r="H110" s="545" t="s">
        <v>945</v>
      </c>
      <c r="I110" s="545"/>
      <c r="J110" s="546"/>
      <c r="K110" s="1355" t="s">
        <v>583</v>
      </c>
      <c r="L110" s="545"/>
      <c r="M110" s="545"/>
      <c r="N110" s="548"/>
      <c r="O110" s="549"/>
      <c r="P110" s="977"/>
      <c r="Q110" s="549"/>
      <c r="R110" s="549"/>
      <c r="S110" s="547"/>
      <c r="T110" s="1355" t="s">
        <v>980</v>
      </c>
      <c r="V110" s="775"/>
      <c r="W110" s="775"/>
      <c r="X110" s="775"/>
      <c r="Y110" s="775"/>
      <c r="Z110" s="775"/>
      <c r="AA110" s="775"/>
      <c r="AB110" s="775"/>
      <c r="AC110" s="768"/>
      <c r="AD110" s="775"/>
      <c r="AE110" s="775"/>
      <c r="AF110" s="775"/>
      <c r="AG110" s="775"/>
      <c r="AH110" s="1352">
        <f t="shared" si="10"/>
        <v>0</v>
      </c>
      <c r="AJ110" s="775"/>
      <c r="AK110" s="775"/>
      <c r="AL110" s="775"/>
      <c r="AM110" s="775"/>
      <c r="AN110" s="775"/>
      <c r="AO110" s="775"/>
      <c r="AP110" s="775"/>
      <c r="AQ110" s="768">
        <v>166714320</v>
      </c>
      <c r="AR110" s="775"/>
      <c r="AS110" s="775"/>
      <c r="AT110" s="775"/>
      <c r="AU110" s="775"/>
      <c r="AV110" s="1352">
        <f t="shared" ref="AV110:AV111" si="15">SUM(AJ110:AU110)</f>
        <v>166714320</v>
      </c>
      <c r="AX110" s="552"/>
      <c r="AY110" s="552"/>
      <c r="AZ110" s="552"/>
      <c r="BA110" s="552"/>
      <c r="BB110" s="552"/>
      <c r="BC110" s="552"/>
      <c r="BD110" s="552"/>
      <c r="BE110" s="552"/>
      <c r="BF110" s="552"/>
      <c r="BG110" s="552"/>
      <c r="BH110" s="552"/>
      <c r="BI110" s="552"/>
      <c r="BJ110" s="552"/>
      <c r="BK110" s="42"/>
    </row>
    <row r="111" spans="1:63" s="43" customFormat="1" ht="168" customHeight="1" thickBot="1">
      <c r="A111" s="585">
        <f>IF(G111&lt;&gt;"",SUBTOTAL(103,$G$4:G111),"")</f>
        <v>108</v>
      </c>
      <c r="B111" s="1149"/>
      <c r="C111" s="1150"/>
      <c r="D111" s="543">
        <v>250526006</v>
      </c>
      <c r="E111" s="543" t="s">
        <v>361</v>
      </c>
      <c r="F111" s="542" t="s">
        <v>117</v>
      </c>
      <c r="G111" s="544" t="s">
        <v>38</v>
      </c>
      <c r="H111" s="545" t="s">
        <v>946</v>
      </c>
      <c r="I111" s="545"/>
      <c r="J111" s="546"/>
      <c r="K111" s="1355" t="s">
        <v>583</v>
      </c>
      <c r="L111" s="545"/>
      <c r="M111" s="545"/>
      <c r="N111" s="548"/>
      <c r="O111" s="549"/>
      <c r="P111" s="977"/>
      <c r="Q111" s="549"/>
      <c r="R111" s="549"/>
      <c r="S111" s="547"/>
      <c r="T111" s="1355" t="s">
        <v>980</v>
      </c>
      <c r="V111" s="775"/>
      <c r="W111" s="775"/>
      <c r="X111" s="775"/>
      <c r="Y111" s="775"/>
      <c r="Z111" s="775"/>
      <c r="AA111" s="775"/>
      <c r="AB111" s="775"/>
      <c r="AC111" s="768"/>
      <c r="AD111" s="775"/>
      <c r="AE111" s="775"/>
      <c r="AF111" s="775"/>
      <c r="AG111" s="775"/>
      <c r="AH111" s="1352">
        <f t="shared" si="10"/>
        <v>0</v>
      </c>
      <c r="AJ111" s="775"/>
      <c r="AK111" s="775"/>
      <c r="AL111" s="775"/>
      <c r="AM111" s="775"/>
      <c r="AN111" s="775"/>
      <c r="AO111" s="775"/>
      <c r="AP111" s="775"/>
      <c r="AQ111" s="768">
        <v>373702256</v>
      </c>
      <c r="AR111" s="775"/>
      <c r="AS111" s="775"/>
      <c r="AT111" s="775"/>
      <c r="AU111" s="775"/>
      <c r="AV111" s="1352">
        <f t="shared" si="15"/>
        <v>373702256</v>
      </c>
      <c r="AX111" s="552"/>
      <c r="AY111" s="552"/>
      <c r="AZ111" s="552"/>
      <c r="BA111" s="552"/>
      <c r="BB111" s="552"/>
      <c r="BC111" s="552"/>
      <c r="BD111" s="552"/>
      <c r="BE111" s="552"/>
      <c r="BF111" s="552"/>
      <c r="BG111" s="552"/>
      <c r="BH111" s="552"/>
      <c r="BI111" s="552"/>
      <c r="BJ111" s="552"/>
      <c r="BK111" s="42"/>
    </row>
    <row r="112" spans="1:63" s="43" customFormat="1" ht="47.5" thickBot="1">
      <c r="A112" s="585">
        <f>IF(G112&lt;&gt;"",SUBTOTAL(103,$G$4:G112),"")</f>
        <v>109</v>
      </c>
      <c r="B112" s="1149"/>
      <c r="C112" s="1150"/>
      <c r="D112" s="543">
        <v>250314001</v>
      </c>
      <c r="E112" s="543" t="s">
        <v>169</v>
      </c>
      <c r="F112" s="542" t="s">
        <v>119</v>
      </c>
      <c r="G112" s="544" t="s">
        <v>38</v>
      </c>
      <c r="H112" s="545" t="s">
        <v>947</v>
      </c>
      <c r="I112" s="545"/>
      <c r="J112" s="546"/>
      <c r="K112" s="547" t="s">
        <v>948</v>
      </c>
      <c r="L112" s="545"/>
      <c r="M112" s="545"/>
      <c r="N112" s="548"/>
      <c r="O112" s="549"/>
      <c r="P112" s="977"/>
      <c r="Q112" s="549"/>
      <c r="R112" s="549"/>
      <c r="S112" s="547"/>
      <c r="T112" s="547" t="s">
        <v>980</v>
      </c>
      <c r="V112" s="775"/>
      <c r="W112" s="775"/>
      <c r="X112" s="775"/>
      <c r="Y112" s="775"/>
      <c r="Z112" s="775"/>
      <c r="AA112" s="775"/>
      <c r="AB112" s="775"/>
      <c r="AC112" s="768"/>
      <c r="AD112" s="768"/>
      <c r="AE112" s="768"/>
      <c r="AF112" s="768"/>
      <c r="AG112" s="768"/>
      <c r="AH112" s="755">
        <f t="shared" si="10"/>
        <v>0</v>
      </c>
      <c r="AJ112" s="775"/>
      <c r="AK112" s="775"/>
      <c r="AL112" s="775"/>
      <c r="AM112" s="775"/>
      <c r="AN112" s="775"/>
      <c r="AO112" s="775"/>
      <c r="AP112" s="775"/>
      <c r="AQ112" s="768">
        <v>5212519</v>
      </c>
      <c r="AR112" s="768">
        <v>5628713</v>
      </c>
      <c r="AS112" s="768">
        <v>6573265</v>
      </c>
      <c r="AT112" s="768">
        <v>4720905</v>
      </c>
      <c r="AU112" s="768">
        <v>3508277</v>
      </c>
      <c r="AV112" s="755">
        <f t="shared" ref="AV112" si="16">SUM(AJ112:AU112)</f>
        <v>25643679</v>
      </c>
      <c r="AX112" s="552"/>
      <c r="AY112" s="552"/>
      <c r="AZ112" s="552"/>
      <c r="BA112" s="552"/>
      <c r="BB112" s="552"/>
      <c r="BC112" s="552"/>
      <c r="BD112" s="552"/>
      <c r="BE112" s="552"/>
      <c r="BF112" s="552"/>
      <c r="BG112" s="552"/>
      <c r="BH112" s="552"/>
      <c r="BI112" s="552"/>
      <c r="BJ112" s="552"/>
      <c r="BK112" s="42"/>
    </row>
    <row r="113" spans="1:63" s="43" customFormat="1" ht="26.5" thickBot="1">
      <c r="A113" s="585">
        <f>IF(G113&lt;&gt;"",SUBTOTAL(103,$G$4:G113),"")</f>
        <v>110</v>
      </c>
      <c r="B113" s="1149"/>
      <c r="C113" s="1150"/>
      <c r="D113" s="543">
        <v>250520008</v>
      </c>
      <c r="E113" s="543" t="s">
        <v>361</v>
      </c>
      <c r="F113" s="542" t="s">
        <v>119</v>
      </c>
      <c r="G113" s="544" t="s">
        <v>25</v>
      </c>
      <c r="H113" s="545" t="s">
        <v>949</v>
      </c>
      <c r="I113" s="545"/>
      <c r="J113" s="546"/>
      <c r="K113" s="547" t="s">
        <v>188</v>
      </c>
      <c r="L113" s="545"/>
      <c r="M113" s="545"/>
      <c r="N113" s="548"/>
      <c r="O113" s="549"/>
      <c r="P113" s="977"/>
      <c r="Q113" s="549"/>
      <c r="R113" s="549"/>
      <c r="S113" s="547"/>
      <c r="T113" s="547" t="s">
        <v>983</v>
      </c>
      <c r="V113" s="775"/>
      <c r="W113" s="775"/>
      <c r="X113" s="775"/>
      <c r="Y113" s="775"/>
      <c r="Z113" s="775"/>
      <c r="AA113" s="775"/>
      <c r="AB113" s="775"/>
      <c r="AC113" s="768"/>
      <c r="AD113" s="775"/>
      <c r="AE113" s="775"/>
      <c r="AF113" s="775"/>
      <c r="AG113" s="775"/>
      <c r="AH113" s="755">
        <f t="shared" si="10"/>
        <v>0</v>
      </c>
      <c r="AJ113" s="775"/>
      <c r="AK113" s="775"/>
      <c r="AL113" s="775"/>
      <c r="AM113" s="775"/>
      <c r="AN113" s="775"/>
      <c r="AO113" s="775"/>
      <c r="AP113" s="775"/>
      <c r="AQ113" s="768">
        <v>22803480</v>
      </c>
      <c r="AR113" s="775"/>
      <c r="AS113" s="775"/>
      <c r="AT113" s="775"/>
      <c r="AU113" s="775"/>
      <c r="AV113" s="755">
        <f t="shared" ref="AV113:AV142" si="17">SUM(AJ113:AU113)</f>
        <v>22803480</v>
      </c>
      <c r="AX113" s="552"/>
      <c r="AY113" s="552"/>
      <c r="AZ113" s="552"/>
      <c r="BA113" s="552"/>
      <c r="BB113" s="552"/>
      <c r="BC113" s="552"/>
      <c r="BD113" s="552"/>
      <c r="BE113" s="552"/>
      <c r="BF113" s="552"/>
      <c r="BG113" s="552"/>
      <c r="BH113" s="552"/>
      <c r="BI113" s="552"/>
      <c r="BJ113" s="552"/>
      <c r="BK113" s="42"/>
    </row>
    <row r="114" spans="1:63" s="43" customFormat="1" ht="47.5" thickBot="1">
      <c r="A114" s="585">
        <f>IF(G114&lt;&gt;"",SUBTOTAL(103,$G$4:G114),"")</f>
        <v>111</v>
      </c>
      <c r="B114" s="1149"/>
      <c r="C114" s="1150"/>
      <c r="D114" s="543">
        <v>250813007</v>
      </c>
      <c r="E114" s="543" t="s">
        <v>31</v>
      </c>
      <c r="F114" s="542" t="s">
        <v>117</v>
      </c>
      <c r="G114" s="544" t="s">
        <v>31</v>
      </c>
      <c r="H114" s="545" t="s">
        <v>954</v>
      </c>
      <c r="I114" s="545"/>
      <c r="J114" s="546"/>
      <c r="K114" s="547" t="s">
        <v>33</v>
      </c>
      <c r="L114" s="545"/>
      <c r="M114" s="545"/>
      <c r="N114" s="548"/>
      <c r="O114" s="549"/>
      <c r="P114" s="977"/>
      <c r="Q114" s="549"/>
      <c r="R114" s="549"/>
      <c r="S114" s="547"/>
      <c r="T114" s="547" t="s">
        <v>982</v>
      </c>
      <c r="V114" s="768"/>
      <c r="W114" s="768"/>
      <c r="X114" s="768"/>
      <c r="Y114" s="768"/>
      <c r="Z114" s="768"/>
      <c r="AA114" s="768"/>
      <c r="AB114" s="768"/>
      <c r="AC114" s="768"/>
      <c r="AD114" s="768"/>
      <c r="AE114" s="768"/>
      <c r="AF114" s="768"/>
      <c r="AG114" s="768"/>
      <c r="AH114" s="755">
        <f t="shared" si="10"/>
        <v>0</v>
      </c>
      <c r="AJ114" s="768"/>
      <c r="AK114" s="768"/>
      <c r="AL114" s="768"/>
      <c r="AM114" s="768"/>
      <c r="AN114" s="768"/>
      <c r="AO114" s="768"/>
      <c r="AP114" s="768"/>
      <c r="AQ114" s="768"/>
      <c r="AR114" s="768">
        <v>171193690</v>
      </c>
      <c r="AS114" s="768">
        <v>22924631</v>
      </c>
      <c r="AT114" s="768">
        <v>17199131</v>
      </c>
      <c r="AU114" s="768">
        <v>33308631</v>
      </c>
      <c r="AV114" s="755">
        <f t="shared" si="17"/>
        <v>244626083</v>
      </c>
      <c r="AX114" s="552"/>
      <c r="AY114" s="552"/>
      <c r="AZ114" s="552"/>
      <c r="BA114" s="552"/>
      <c r="BB114" s="552"/>
      <c r="BC114" s="552"/>
      <c r="BD114" s="552"/>
      <c r="BE114" s="552"/>
      <c r="BF114" s="552"/>
      <c r="BG114" s="552"/>
      <c r="BH114" s="552"/>
      <c r="BI114" s="552"/>
      <c r="BJ114" s="552"/>
      <c r="BK114" s="42"/>
    </row>
    <row r="115" spans="1:63" s="43" customFormat="1" ht="47.5" thickBot="1">
      <c r="A115" s="585">
        <f>IF(G115&lt;&gt;"",SUBTOTAL(103,$G$4:G115),"")</f>
        <v>112</v>
      </c>
      <c r="B115" s="1149"/>
      <c r="C115" s="1150"/>
      <c r="D115" s="543">
        <v>250810002</v>
      </c>
      <c r="E115" s="543" t="s">
        <v>361</v>
      </c>
      <c r="F115" s="542" t="s">
        <v>119</v>
      </c>
      <c r="G115" s="544" t="s">
        <v>181</v>
      </c>
      <c r="H115" s="545" t="s">
        <v>955</v>
      </c>
      <c r="I115" s="545"/>
      <c r="J115" s="546"/>
      <c r="K115" s="547" t="s">
        <v>879</v>
      </c>
      <c r="L115" s="545"/>
      <c r="M115" s="545"/>
      <c r="N115" s="548"/>
      <c r="O115" s="549"/>
      <c r="P115" s="977"/>
      <c r="Q115" s="549"/>
      <c r="R115" s="549"/>
      <c r="S115" s="547"/>
      <c r="T115" s="547" t="s">
        <v>980</v>
      </c>
      <c r="V115" s="768"/>
      <c r="W115" s="768"/>
      <c r="X115" s="768"/>
      <c r="Y115" s="768"/>
      <c r="Z115" s="768"/>
      <c r="AA115" s="768"/>
      <c r="AB115" s="768"/>
      <c r="AC115" s="768"/>
      <c r="AD115" s="768"/>
      <c r="AE115" s="768"/>
      <c r="AF115" s="768"/>
      <c r="AG115" s="768"/>
      <c r="AH115" s="755">
        <f t="shared" si="10"/>
        <v>0</v>
      </c>
      <c r="AJ115" s="768"/>
      <c r="AK115" s="768"/>
      <c r="AL115" s="768"/>
      <c r="AM115" s="768"/>
      <c r="AN115" s="768"/>
      <c r="AO115" s="768"/>
      <c r="AP115" s="768"/>
      <c r="AQ115" s="768"/>
      <c r="AR115" s="768">
        <v>1218100</v>
      </c>
      <c r="AS115" s="768">
        <v>691200</v>
      </c>
      <c r="AT115" s="768">
        <v>368850</v>
      </c>
      <c r="AU115" s="768"/>
      <c r="AV115" s="755">
        <f t="shared" si="17"/>
        <v>2278150</v>
      </c>
      <c r="AX115" s="552"/>
      <c r="AY115" s="552"/>
      <c r="AZ115" s="552"/>
      <c r="BA115" s="552"/>
      <c r="BB115" s="552"/>
      <c r="BC115" s="552"/>
      <c r="BD115" s="552"/>
      <c r="BE115" s="552"/>
      <c r="BF115" s="552"/>
      <c r="BG115" s="552"/>
      <c r="BH115" s="552"/>
      <c r="BI115" s="552"/>
      <c r="BJ115" s="552"/>
      <c r="BK115" s="42"/>
    </row>
    <row r="116" spans="1:63" s="43" customFormat="1" ht="71" thickBot="1">
      <c r="A116" s="585">
        <f>IF(G116&lt;&gt;"",SUBTOTAL(103,$G$4:G116),"")</f>
        <v>113</v>
      </c>
      <c r="B116" s="1149"/>
      <c r="C116" s="1150"/>
      <c r="D116" s="543">
        <v>250115002</v>
      </c>
      <c r="E116" s="543" t="s">
        <v>361</v>
      </c>
      <c r="F116" s="542" t="s">
        <v>117</v>
      </c>
      <c r="G116" s="544" t="s">
        <v>58</v>
      </c>
      <c r="H116" s="545" t="s">
        <v>956</v>
      </c>
      <c r="I116" s="545"/>
      <c r="J116" s="546"/>
      <c r="K116" s="547" t="s">
        <v>694</v>
      </c>
      <c r="L116" s="545"/>
      <c r="M116" s="545"/>
      <c r="N116" s="548"/>
      <c r="O116" s="549"/>
      <c r="P116" s="977"/>
      <c r="Q116" s="549"/>
      <c r="R116" s="549"/>
      <c r="S116" s="547"/>
      <c r="T116" s="547" t="s">
        <v>983</v>
      </c>
      <c r="V116" s="768"/>
      <c r="W116" s="768"/>
      <c r="X116" s="768"/>
      <c r="Y116" s="768"/>
      <c r="Z116" s="768"/>
      <c r="AA116" s="768"/>
      <c r="AB116" s="768"/>
      <c r="AC116" s="768"/>
      <c r="AD116" s="768"/>
      <c r="AE116" s="768"/>
      <c r="AF116" s="768"/>
      <c r="AG116" s="768"/>
      <c r="AH116" s="755">
        <f t="shared" si="10"/>
        <v>0</v>
      </c>
      <c r="AJ116" s="768"/>
      <c r="AK116" s="768"/>
      <c r="AL116" s="768"/>
      <c r="AM116" s="768"/>
      <c r="AN116" s="768"/>
      <c r="AO116" s="768"/>
      <c r="AP116" s="768"/>
      <c r="AQ116" s="768"/>
      <c r="AR116" s="768">
        <v>29000000</v>
      </c>
      <c r="AS116" s="768"/>
      <c r="AT116" s="768"/>
      <c r="AU116" s="768"/>
      <c r="AV116" s="755">
        <f t="shared" si="17"/>
        <v>29000000</v>
      </c>
      <c r="AX116" s="552"/>
      <c r="AY116" s="552"/>
      <c r="AZ116" s="552"/>
      <c r="BA116" s="552"/>
      <c r="BB116" s="552"/>
      <c r="BC116" s="552"/>
      <c r="BD116" s="552"/>
      <c r="BE116" s="552"/>
      <c r="BF116" s="552"/>
      <c r="BG116" s="552"/>
      <c r="BH116" s="552"/>
      <c r="BI116" s="552"/>
      <c r="BJ116" s="552"/>
      <c r="BK116" s="42"/>
    </row>
    <row r="117" spans="1:63" s="43" customFormat="1" ht="71" thickBot="1">
      <c r="A117" s="585">
        <f>IF(G117&lt;&gt;"",SUBTOTAL(103,$G$4:G117),"")</f>
        <v>114</v>
      </c>
      <c r="B117" s="1149"/>
      <c r="C117" s="1150"/>
      <c r="D117" s="543">
        <v>250821004</v>
      </c>
      <c r="E117" s="543" t="s">
        <v>361</v>
      </c>
      <c r="F117" s="542" t="s">
        <v>119</v>
      </c>
      <c r="G117" s="544" t="s">
        <v>58</v>
      </c>
      <c r="H117" s="545" t="s">
        <v>957</v>
      </c>
      <c r="I117" s="545"/>
      <c r="J117" s="546"/>
      <c r="K117" s="547" t="s">
        <v>694</v>
      </c>
      <c r="L117" s="545"/>
      <c r="M117" s="545"/>
      <c r="N117" s="548"/>
      <c r="O117" s="549"/>
      <c r="P117" s="977"/>
      <c r="Q117" s="549"/>
      <c r="R117" s="549"/>
      <c r="S117" s="547"/>
      <c r="T117" s="547" t="s">
        <v>983</v>
      </c>
      <c r="V117" s="768"/>
      <c r="W117" s="768"/>
      <c r="X117" s="768"/>
      <c r="Y117" s="768"/>
      <c r="Z117" s="768"/>
      <c r="AA117" s="768"/>
      <c r="AB117" s="768"/>
      <c r="AC117" s="768"/>
      <c r="AD117" s="768"/>
      <c r="AE117" s="768"/>
      <c r="AF117" s="768"/>
      <c r="AG117" s="768"/>
      <c r="AH117" s="755">
        <f t="shared" si="10"/>
        <v>0</v>
      </c>
      <c r="AJ117" s="768"/>
      <c r="AK117" s="768"/>
      <c r="AL117" s="768"/>
      <c r="AM117" s="768"/>
      <c r="AN117" s="768"/>
      <c r="AO117" s="768"/>
      <c r="AP117" s="768"/>
      <c r="AQ117" s="768"/>
      <c r="AR117" s="768">
        <v>5000000</v>
      </c>
      <c r="AS117" s="768"/>
      <c r="AT117" s="768"/>
      <c r="AU117" s="768"/>
      <c r="AV117" s="755">
        <f t="shared" si="17"/>
        <v>5000000</v>
      </c>
      <c r="AX117" s="552"/>
      <c r="AY117" s="552"/>
      <c r="AZ117" s="552"/>
      <c r="BA117" s="552"/>
      <c r="BB117" s="552"/>
      <c r="BC117" s="552"/>
      <c r="BD117" s="552"/>
      <c r="BE117" s="552"/>
      <c r="BF117" s="552"/>
      <c r="BG117" s="552"/>
      <c r="BH117" s="552"/>
      <c r="BI117" s="552"/>
      <c r="BJ117" s="552"/>
      <c r="BK117" s="42"/>
    </row>
    <row r="118" spans="1:63" s="43" customFormat="1" ht="26.5" thickBot="1">
      <c r="A118" s="585">
        <f>IF(G118&lt;&gt;"",SUBTOTAL(103,$G$4:G118),"")</f>
        <v>115</v>
      </c>
      <c r="B118" s="1149"/>
      <c r="C118" s="1150"/>
      <c r="D118" s="543">
        <v>250825004</v>
      </c>
      <c r="E118" s="543" t="s">
        <v>361</v>
      </c>
      <c r="F118" s="542" t="s">
        <v>119</v>
      </c>
      <c r="G118" s="544" t="s">
        <v>181</v>
      </c>
      <c r="H118" s="545" t="s">
        <v>960</v>
      </c>
      <c r="I118" s="545"/>
      <c r="J118" s="546"/>
      <c r="K118" s="547" t="s">
        <v>958</v>
      </c>
      <c r="L118" s="545"/>
      <c r="M118" s="545"/>
      <c r="N118" s="548"/>
      <c r="O118" s="549"/>
      <c r="P118" s="977"/>
      <c r="Q118" s="549"/>
      <c r="R118" s="549"/>
      <c r="S118" s="547"/>
      <c r="T118" s="547" t="s">
        <v>980</v>
      </c>
      <c r="V118" s="768"/>
      <c r="W118" s="768"/>
      <c r="X118" s="768"/>
      <c r="Y118" s="768"/>
      <c r="Z118" s="768"/>
      <c r="AA118" s="768"/>
      <c r="AB118" s="768"/>
      <c r="AC118" s="768"/>
      <c r="AD118" s="768"/>
      <c r="AE118" s="768"/>
      <c r="AF118" s="768"/>
      <c r="AG118" s="768"/>
      <c r="AH118" s="755">
        <f t="shared" si="10"/>
        <v>0</v>
      </c>
      <c r="AJ118" s="768"/>
      <c r="AK118" s="768"/>
      <c r="AL118" s="768"/>
      <c r="AM118" s="768"/>
      <c r="AN118" s="768"/>
      <c r="AO118" s="768"/>
      <c r="AP118" s="768"/>
      <c r="AQ118" s="768"/>
      <c r="AR118" s="768">
        <v>18207500</v>
      </c>
      <c r="AS118" s="768"/>
      <c r="AT118" s="768"/>
      <c r="AU118" s="768"/>
      <c r="AV118" s="755">
        <f t="shared" si="17"/>
        <v>18207500</v>
      </c>
      <c r="AX118" s="552"/>
      <c r="AY118" s="552"/>
      <c r="AZ118" s="552"/>
      <c r="BA118" s="552"/>
      <c r="BB118" s="552"/>
      <c r="BC118" s="552"/>
      <c r="BD118" s="552"/>
      <c r="BE118" s="552"/>
      <c r="BF118" s="552"/>
      <c r="BG118" s="552"/>
      <c r="BH118" s="552"/>
      <c r="BI118" s="552"/>
      <c r="BJ118" s="552"/>
      <c r="BK118" s="42"/>
    </row>
    <row r="119" spans="1:63" s="43" customFormat="1" ht="47.5" thickBot="1">
      <c r="A119" s="585">
        <f>IF(G119&lt;&gt;"",SUBTOTAL(103,$G$4:G119),"")</f>
        <v>116</v>
      </c>
      <c r="B119" s="1149"/>
      <c r="C119" s="1150"/>
      <c r="D119" s="543">
        <v>250805001</v>
      </c>
      <c r="E119" s="543" t="s">
        <v>361</v>
      </c>
      <c r="F119" s="542" t="s">
        <v>119</v>
      </c>
      <c r="G119" s="544" t="s">
        <v>182</v>
      </c>
      <c r="H119" s="545" t="s">
        <v>961</v>
      </c>
      <c r="I119" s="545"/>
      <c r="J119" s="546"/>
      <c r="K119" s="547" t="s">
        <v>188</v>
      </c>
      <c r="L119" s="545"/>
      <c r="M119" s="545"/>
      <c r="N119" s="548"/>
      <c r="O119" s="549"/>
      <c r="P119" s="977"/>
      <c r="Q119" s="549"/>
      <c r="R119" s="549"/>
      <c r="S119" s="547"/>
      <c r="T119" s="547" t="s">
        <v>983</v>
      </c>
      <c r="V119" s="768"/>
      <c r="W119" s="768"/>
      <c r="X119" s="768"/>
      <c r="Y119" s="768"/>
      <c r="Z119" s="768"/>
      <c r="AA119" s="768"/>
      <c r="AB119" s="768"/>
      <c r="AC119" s="768"/>
      <c r="AD119" s="768"/>
      <c r="AE119" s="768"/>
      <c r="AF119" s="768"/>
      <c r="AG119" s="768"/>
      <c r="AH119" s="755">
        <f t="shared" si="10"/>
        <v>0</v>
      </c>
      <c r="AJ119" s="768"/>
      <c r="AK119" s="768"/>
      <c r="AL119" s="768"/>
      <c r="AM119" s="768"/>
      <c r="AN119" s="768"/>
      <c r="AO119" s="768"/>
      <c r="AP119" s="768"/>
      <c r="AQ119" s="768"/>
      <c r="AR119" s="768">
        <v>29820625</v>
      </c>
      <c r="AS119" s="768"/>
      <c r="AT119" s="768"/>
      <c r="AU119" s="768"/>
      <c r="AV119" s="755">
        <f t="shared" si="17"/>
        <v>29820625</v>
      </c>
      <c r="AX119" s="552"/>
      <c r="AY119" s="552"/>
      <c r="AZ119" s="552"/>
      <c r="BA119" s="552"/>
      <c r="BB119" s="552"/>
      <c r="BC119" s="552"/>
      <c r="BD119" s="552"/>
      <c r="BE119" s="552"/>
      <c r="BF119" s="552"/>
      <c r="BG119" s="552"/>
      <c r="BH119" s="552"/>
      <c r="BI119" s="552"/>
      <c r="BJ119" s="552"/>
      <c r="BK119" s="42"/>
    </row>
    <row r="120" spans="1:63" s="43" customFormat="1" ht="47.5" thickBot="1">
      <c r="A120" s="585">
        <f>IF(G120&lt;&gt;"",SUBTOTAL(103,$G$4:G120),"")</f>
        <v>117</v>
      </c>
      <c r="B120" s="1149"/>
      <c r="C120" s="1150"/>
      <c r="D120" s="543">
        <v>250716002</v>
      </c>
      <c r="E120" s="543" t="s">
        <v>361</v>
      </c>
      <c r="F120" s="542" t="s">
        <v>119</v>
      </c>
      <c r="G120" s="544" t="s">
        <v>908</v>
      </c>
      <c r="H120" s="545" t="s">
        <v>962</v>
      </c>
      <c r="I120" s="545"/>
      <c r="J120" s="546"/>
      <c r="K120" s="547" t="s">
        <v>959</v>
      </c>
      <c r="L120" s="545"/>
      <c r="M120" s="545"/>
      <c r="N120" s="548"/>
      <c r="O120" s="549"/>
      <c r="P120" s="977"/>
      <c r="Q120" s="549"/>
      <c r="R120" s="549"/>
      <c r="S120" s="547"/>
      <c r="T120" s="547" t="s">
        <v>983</v>
      </c>
      <c r="V120" s="768"/>
      <c r="W120" s="768"/>
      <c r="X120" s="768"/>
      <c r="Y120" s="768"/>
      <c r="Z120" s="768"/>
      <c r="AA120" s="768"/>
      <c r="AB120" s="768"/>
      <c r="AC120" s="768"/>
      <c r="AD120" s="768"/>
      <c r="AE120" s="768"/>
      <c r="AF120" s="768"/>
      <c r="AG120" s="768"/>
      <c r="AH120" s="755">
        <f t="shared" si="10"/>
        <v>0</v>
      </c>
      <c r="AJ120" s="768"/>
      <c r="AK120" s="768"/>
      <c r="AL120" s="768"/>
      <c r="AM120" s="768"/>
      <c r="AN120" s="768"/>
      <c r="AO120" s="768"/>
      <c r="AP120" s="768"/>
      <c r="AQ120" s="768"/>
      <c r="AR120" s="768">
        <v>57790200</v>
      </c>
      <c r="AS120" s="768"/>
      <c r="AT120" s="768"/>
      <c r="AU120" s="768"/>
      <c r="AV120" s="755">
        <f t="shared" si="17"/>
        <v>57790200</v>
      </c>
      <c r="AX120" s="552"/>
      <c r="AY120" s="552"/>
      <c r="AZ120" s="552"/>
      <c r="BA120" s="552"/>
      <c r="BB120" s="552"/>
      <c r="BC120" s="552"/>
      <c r="BD120" s="552"/>
      <c r="BE120" s="552"/>
      <c r="BF120" s="552"/>
      <c r="BG120" s="552"/>
      <c r="BH120" s="552"/>
      <c r="BI120" s="552"/>
      <c r="BJ120" s="552"/>
      <c r="BK120" s="42"/>
    </row>
    <row r="121" spans="1:63" s="43" customFormat="1" ht="47.5" thickBot="1">
      <c r="A121" s="585">
        <f>IF(G121&lt;&gt;"",SUBTOTAL(103,$G$4:G121),"")</f>
        <v>118</v>
      </c>
      <c r="B121" s="1149"/>
      <c r="C121" s="1150"/>
      <c r="D121" s="543">
        <v>250822007</v>
      </c>
      <c r="E121" s="543" t="s">
        <v>361</v>
      </c>
      <c r="F121" s="542" t="s">
        <v>119</v>
      </c>
      <c r="G121" s="544" t="s">
        <v>580</v>
      </c>
      <c r="H121" s="545" t="s">
        <v>963</v>
      </c>
      <c r="I121" s="545"/>
      <c r="J121" s="546"/>
      <c r="K121" s="547" t="s">
        <v>696</v>
      </c>
      <c r="L121" s="545"/>
      <c r="M121" s="545"/>
      <c r="N121" s="548"/>
      <c r="O121" s="549"/>
      <c r="P121" s="977"/>
      <c r="Q121" s="549"/>
      <c r="R121" s="549"/>
      <c r="S121" s="547"/>
      <c r="T121" s="547" t="s">
        <v>983</v>
      </c>
      <c r="V121" s="768"/>
      <c r="W121" s="768"/>
      <c r="X121" s="768"/>
      <c r="Y121" s="768"/>
      <c r="Z121" s="768"/>
      <c r="AA121" s="768"/>
      <c r="AB121" s="768"/>
      <c r="AC121" s="768"/>
      <c r="AD121" s="768"/>
      <c r="AE121" s="768"/>
      <c r="AF121" s="768"/>
      <c r="AG121" s="768"/>
      <c r="AH121" s="755">
        <f t="shared" si="10"/>
        <v>0</v>
      </c>
      <c r="AJ121" s="768"/>
      <c r="AK121" s="768"/>
      <c r="AL121" s="768"/>
      <c r="AM121" s="768"/>
      <c r="AN121" s="768"/>
      <c r="AO121" s="768"/>
      <c r="AP121" s="768"/>
      <c r="AQ121" s="768"/>
      <c r="AR121" s="768">
        <v>43210000</v>
      </c>
      <c r="AS121" s="768"/>
      <c r="AT121" s="768"/>
      <c r="AU121" s="768"/>
      <c r="AV121" s="755">
        <f t="shared" si="17"/>
        <v>43210000</v>
      </c>
      <c r="AX121" s="552"/>
      <c r="AY121" s="552"/>
      <c r="AZ121" s="552"/>
      <c r="BA121" s="552"/>
      <c r="BB121" s="552"/>
      <c r="BC121" s="552"/>
      <c r="BD121" s="552"/>
      <c r="BE121" s="552"/>
      <c r="BF121" s="552"/>
      <c r="BG121" s="552"/>
      <c r="BH121" s="552"/>
      <c r="BI121" s="552"/>
      <c r="BJ121" s="552"/>
      <c r="BK121" s="42"/>
    </row>
    <row r="122" spans="1:63" s="43" customFormat="1" ht="47.5" thickBot="1">
      <c r="A122" s="585">
        <f>IF(G122&lt;&gt;"",SUBTOTAL(103,$G$4:G122),"")</f>
        <v>119</v>
      </c>
      <c r="B122" s="1149"/>
      <c r="C122" s="1150"/>
      <c r="D122" s="543">
        <v>250605007</v>
      </c>
      <c r="E122" s="543" t="s">
        <v>361</v>
      </c>
      <c r="F122" s="542" t="s">
        <v>119</v>
      </c>
      <c r="G122" s="544" t="s">
        <v>354</v>
      </c>
      <c r="H122" s="545" t="s">
        <v>964</v>
      </c>
      <c r="I122" s="545"/>
      <c r="J122" s="546"/>
      <c r="K122" s="547" t="s">
        <v>578</v>
      </c>
      <c r="L122" s="545"/>
      <c r="M122" s="545"/>
      <c r="N122" s="548"/>
      <c r="O122" s="549"/>
      <c r="P122" s="977"/>
      <c r="Q122" s="549"/>
      <c r="R122" s="549"/>
      <c r="S122" s="547"/>
      <c r="T122" s="547" t="s">
        <v>983</v>
      </c>
      <c r="V122" s="768"/>
      <c r="W122" s="768"/>
      <c r="X122" s="768"/>
      <c r="Y122" s="768"/>
      <c r="Z122" s="768"/>
      <c r="AA122" s="768"/>
      <c r="AB122" s="768"/>
      <c r="AC122" s="768"/>
      <c r="AD122" s="768"/>
      <c r="AE122" s="768"/>
      <c r="AF122" s="768"/>
      <c r="AG122" s="768"/>
      <c r="AH122" s="755">
        <f t="shared" si="10"/>
        <v>0</v>
      </c>
      <c r="AJ122" s="768"/>
      <c r="AK122" s="768"/>
      <c r="AL122" s="768"/>
      <c r="AM122" s="768"/>
      <c r="AN122" s="768"/>
      <c r="AO122" s="768"/>
      <c r="AP122" s="768"/>
      <c r="AQ122" s="768"/>
      <c r="AR122" s="768">
        <v>457616950</v>
      </c>
      <c r="AS122" s="768"/>
      <c r="AT122" s="768"/>
      <c r="AU122" s="768"/>
      <c r="AV122" s="755">
        <f t="shared" si="17"/>
        <v>457616950</v>
      </c>
      <c r="AX122" s="552"/>
      <c r="AY122" s="552"/>
      <c r="AZ122" s="552"/>
      <c r="BA122" s="552"/>
      <c r="BB122" s="552"/>
      <c r="BC122" s="552"/>
      <c r="BD122" s="552"/>
      <c r="BE122" s="552"/>
      <c r="BF122" s="552"/>
      <c r="BG122" s="552"/>
      <c r="BH122" s="552"/>
      <c r="BI122" s="552"/>
      <c r="BJ122" s="552"/>
      <c r="BK122" s="42"/>
    </row>
    <row r="123" spans="1:63" s="43" customFormat="1" ht="47.5" thickBot="1">
      <c r="A123" s="585">
        <f>IF(G123&lt;&gt;"",SUBTOTAL(103,$G$4:G123),"")</f>
        <v>120</v>
      </c>
      <c r="B123" s="1149"/>
      <c r="C123" s="1150"/>
      <c r="D123" s="543">
        <v>250926003</v>
      </c>
      <c r="E123" s="543" t="s">
        <v>361</v>
      </c>
      <c r="F123" s="542" t="s">
        <v>119</v>
      </c>
      <c r="G123" s="544" t="s">
        <v>908</v>
      </c>
      <c r="H123" s="545" t="s">
        <v>965</v>
      </c>
      <c r="I123" s="545"/>
      <c r="J123" s="546"/>
      <c r="K123" s="547" t="s">
        <v>904</v>
      </c>
      <c r="L123" s="545"/>
      <c r="M123" s="545"/>
      <c r="N123" s="548"/>
      <c r="O123" s="549"/>
      <c r="P123" s="977"/>
      <c r="Q123" s="549"/>
      <c r="R123" s="549"/>
      <c r="S123" s="547"/>
      <c r="T123" s="547" t="s">
        <v>983</v>
      </c>
      <c r="V123" s="768"/>
      <c r="W123" s="768"/>
      <c r="X123" s="768"/>
      <c r="Y123" s="768"/>
      <c r="Z123" s="768"/>
      <c r="AA123" s="768"/>
      <c r="AB123" s="768"/>
      <c r="AC123" s="768"/>
      <c r="AD123" s="768"/>
      <c r="AE123" s="768"/>
      <c r="AF123" s="768"/>
      <c r="AG123" s="768"/>
      <c r="AH123" s="755">
        <f t="shared" si="10"/>
        <v>0</v>
      </c>
      <c r="AJ123" s="768"/>
      <c r="AK123" s="768"/>
      <c r="AL123" s="768"/>
      <c r="AM123" s="768"/>
      <c r="AN123" s="768"/>
      <c r="AO123" s="768"/>
      <c r="AP123" s="768"/>
      <c r="AQ123" s="768"/>
      <c r="AR123" s="768"/>
      <c r="AS123" s="768">
        <v>22961855</v>
      </c>
      <c r="AT123" s="768"/>
      <c r="AU123" s="768"/>
      <c r="AV123" s="755">
        <f t="shared" si="17"/>
        <v>22961855</v>
      </c>
      <c r="AX123" s="552"/>
      <c r="AY123" s="552"/>
      <c r="AZ123" s="552"/>
      <c r="BA123" s="552"/>
      <c r="BB123" s="552"/>
      <c r="BC123" s="552"/>
      <c r="BD123" s="552"/>
      <c r="BE123" s="552"/>
      <c r="BF123" s="552"/>
      <c r="BG123" s="552"/>
      <c r="BH123" s="552"/>
      <c r="BI123" s="552"/>
      <c r="BJ123" s="552"/>
      <c r="BK123" s="42"/>
    </row>
    <row r="124" spans="1:63" s="43" customFormat="1" ht="26.5" thickBot="1">
      <c r="A124" s="585">
        <f>IF(G124&lt;&gt;"",SUBTOTAL(103,$G$4:G124),"")</f>
        <v>121</v>
      </c>
      <c r="B124" s="1149"/>
      <c r="C124" s="1150"/>
      <c r="D124" s="543">
        <v>251001004</v>
      </c>
      <c r="E124" s="543" t="s">
        <v>361</v>
      </c>
      <c r="F124" s="542" t="s">
        <v>119</v>
      </c>
      <c r="G124" s="544" t="s">
        <v>717</v>
      </c>
      <c r="H124" s="545" t="s">
        <v>966</v>
      </c>
      <c r="I124" s="545"/>
      <c r="J124" s="546"/>
      <c r="K124" s="547" t="s">
        <v>927</v>
      </c>
      <c r="L124" s="545"/>
      <c r="M124" s="545"/>
      <c r="N124" s="548"/>
      <c r="O124" s="549"/>
      <c r="P124" s="977"/>
      <c r="Q124" s="549"/>
      <c r="R124" s="549"/>
      <c r="S124" s="547"/>
      <c r="T124" s="547" t="s">
        <v>981</v>
      </c>
      <c r="V124" s="768"/>
      <c r="W124" s="768"/>
      <c r="X124" s="768"/>
      <c r="Y124" s="768"/>
      <c r="Z124" s="768"/>
      <c r="AA124" s="768"/>
      <c r="AB124" s="768"/>
      <c r="AC124" s="768"/>
      <c r="AD124" s="768"/>
      <c r="AE124" s="768"/>
      <c r="AF124" s="768"/>
      <c r="AG124" s="768"/>
      <c r="AH124" s="755">
        <f t="shared" si="10"/>
        <v>0</v>
      </c>
      <c r="AJ124" s="768"/>
      <c r="AK124" s="768"/>
      <c r="AL124" s="768"/>
      <c r="AM124" s="768"/>
      <c r="AN124" s="768"/>
      <c r="AO124" s="768"/>
      <c r="AP124" s="768"/>
      <c r="AQ124" s="768"/>
      <c r="AR124" s="768"/>
      <c r="AS124" s="768">
        <v>7606187</v>
      </c>
      <c r="AT124" s="768"/>
      <c r="AU124" s="768"/>
      <c r="AV124" s="755">
        <f t="shared" si="17"/>
        <v>7606187</v>
      </c>
      <c r="AX124" s="552"/>
      <c r="AY124" s="552"/>
      <c r="AZ124" s="552"/>
      <c r="BA124" s="552"/>
      <c r="BB124" s="552"/>
      <c r="BC124" s="552"/>
      <c r="BD124" s="552"/>
      <c r="BE124" s="552"/>
      <c r="BF124" s="552"/>
      <c r="BG124" s="552"/>
      <c r="BH124" s="552"/>
      <c r="BI124" s="552"/>
      <c r="BJ124" s="552"/>
      <c r="BK124" s="42"/>
    </row>
    <row r="125" spans="1:63" s="43" customFormat="1" ht="26.5" thickBot="1">
      <c r="A125" s="585">
        <f>IF(G125&lt;&gt;"",SUBTOTAL(103,$G$4:G125),"")</f>
        <v>122</v>
      </c>
      <c r="B125" s="1149"/>
      <c r="C125" s="1150"/>
      <c r="D125" s="543">
        <v>250904002</v>
      </c>
      <c r="E125" s="543" t="s">
        <v>361</v>
      </c>
      <c r="F125" s="542" t="s">
        <v>119</v>
      </c>
      <c r="G125" s="544" t="s">
        <v>717</v>
      </c>
      <c r="H125" s="545" t="s">
        <v>967</v>
      </c>
      <c r="I125" s="545"/>
      <c r="J125" s="546"/>
      <c r="K125" s="547" t="s">
        <v>927</v>
      </c>
      <c r="L125" s="545"/>
      <c r="M125" s="545"/>
      <c r="N125" s="548"/>
      <c r="O125" s="549"/>
      <c r="P125" s="977"/>
      <c r="Q125" s="549"/>
      <c r="R125" s="549"/>
      <c r="S125" s="547"/>
      <c r="T125" s="547" t="s">
        <v>981</v>
      </c>
      <c r="V125" s="768"/>
      <c r="W125" s="768"/>
      <c r="X125" s="768"/>
      <c r="Y125" s="768"/>
      <c r="Z125" s="768"/>
      <c r="AA125" s="768"/>
      <c r="AB125" s="768"/>
      <c r="AC125" s="768"/>
      <c r="AD125" s="768"/>
      <c r="AE125" s="768"/>
      <c r="AF125" s="768"/>
      <c r="AG125" s="768"/>
      <c r="AH125" s="755">
        <f t="shared" si="10"/>
        <v>0</v>
      </c>
      <c r="AJ125" s="768"/>
      <c r="AK125" s="768"/>
      <c r="AL125" s="768"/>
      <c r="AM125" s="768"/>
      <c r="AN125" s="768"/>
      <c r="AO125" s="768"/>
      <c r="AP125" s="768"/>
      <c r="AQ125" s="768"/>
      <c r="AR125" s="768"/>
      <c r="AS125" s="768">
        <v>5575500</v>
      </c>
      <c r="AT125" s="768"/>
      <c r="AU125" s="768"/>
      <c r="AV125" s="755">
        <f t="shared" si="17"/>
        <v>5575500</v>
      </c>
      <c r="AX125" s="552"/>
      <c r="AY125" s="552"/>
      <c r="AZ125" s="552"/>
      <c r="BA125" s="552"/>
      <c r="BB125" s="552"/>
      <c r="BC125" s="552"/>
      <c r="BD125" s="552"/>
      <c r="BE125" s="552"/>
      <c r="BF125" s="552"/>
      <c r="BG125" s="552"/>
      <c r="BH125" s="552"/>
      <c r="BI125" s="552"/>
      <c r="BJ125" s="552"/>
      <c r="BK125" s="42"/>
    </row>
    <row r="126" spans="1:63" s="43" customFormat="1" ht="26.5" thickBot="1">
      <c r="A126" s="585">
        <f>IF(G126&lt;&gt;"",SUBTOTAL(103,$G$4:G126),"")</f>
        <v>123</v>
      </c>
      <c r="B126" s="1149"/>
      <c r="C126" s="1150"/>
      <c r="D126" s="543">
        <v>250722008</v>
      </c>
      <c r="E126" s="543" t="s">
        <v>361</v>
      </c>
      <c r="F126" s="542" t="s">
        <v>119</v>
      </c>
      <c r="G126" s="544" t="s">
        <v>717</v>
      </c>
      <c r="H126" s="545" t="s">
        <v>968</v>
      </c>
      <c r="I126" s="545"/>
      <c r="J126" s="546"/>
      <c r="K126" s="547" t="s">
        <v>927</v>
      </c>
      <c r="L126" s="545"/>
      <c r="M126" s="545"/>
      <c r="N126" s="548"/>
      <c r="O126" s="549"/>
      <c r="P126" s="977"/>
      <c r="Q126" s="549"/>
      <c r="R126" s="549"/>
      <c r="S126" s="547"/>
      <c r="T126" s="547" t="s">
        <v>981</v>
      </c>
      <c r="V126" s="768"/>
      <c r="W126" s="768"/>
      <c r="X126" s="768"/>
      <c r="Y126" s="768"/>
      <c r="Z126" s="768"/>
      <c r="AA126" s="768"/>
      <c r="AB126" s="768"/>
      <c r="AC126" s="768"/>
      <c r="AD126" s="768"/>
      <c r="AE126" s="768"/>
      <c r="AF126" s="768"/>
      <c r="AG126" s="768"/>
      <c r="AH126" s="755">
        <f t="shared" si="10"/>
        <v>0</v>
      </c>
      <c r="AJ126" s="768"/>
      <c r="AK126" s="768"/>
      <c r="AL126" s="768"/>
      <c r="AM126" s="768"/>
      <c r="AN126" s="768"/>
      <c r="AO126" s="768"/>
      <c r="AP126" s="768"/>
      <c r="AQ126" s="768"/>
      <c r="AR126" s="768"/>
      <c r="AS126" s="768">
        <v>20700000</v>
      </c>
      <c r="AT126" s="768"/>
      <c r="AU126" s="768"/>
      <c r="AV126" s="755">
        <f t="shared" si="17"/>
        <v>20700000</v>
      </c>
      <c r="AX126" s="552"/>
      <c r="AY126" s="552"/>
      <c r="AZ126" s="552"/>
      <c r="BA126" s="552"/>
      <c r="BB126" s="552"/>
      <c r="BC126" s="552"/>
      <c r="BD126" s="552"/>
      <c r="BE126" s="552"/>
      <c r="BF126" s="552"/>
      <c r="BG126" s="552"/>
      <c r="BH126" s="552"/>
      <c r="BI126" s="552"/>
      <c r="BJ126" s="552"/>
      <c r="BK126" s="42"/>
    </row>
    <row r="127" spans="1:63" s="43" customFormat="1" ht="47.5" thickBot="1">
      <c r="A127" s="585">
        <f>IF(G127&lt;&gt;"",SUBTOTAL(103,$G$4:G127),"")</f>
        <v>124</v>
      </c>
      <c r="B127" s="1149"/>
      <c r="C127" s="1150"/>
      <c r="D127" s="543">
        <v>251108003</v>
      </c>
      <c r="E127" s="543" t="s">
        <v>361</v>
      </c>
      <c r="F127" s="542" t="s">
        <v>119</v>
      </c>
      <c r="G127" s="544" t="s">
        <v>181</v>
      </c>
      <c r="H127" s="545" t="s">
        <v>970</v>
      </c>
      <c r="I127" s="545"/>
      <c r="J127" s="546"/>
      <c r="K127" s="547" t="s">
        <v>971</v>
      </c>
      <c r="L127" s="545"/>
      <c r="M127" s="545"/>
      <c r="N127" s="548"/>
      <c r="O127" s="549"/>
      <c r="P127" s="977"/>
      <c r="Q127" s="549"/>
      <c r="R127" s="549"/>
      <c r="S127" s="547"/>
      <c r="T127" s="547" t="s">
        <v>980</v>
      </c>
      <c r="V127" s="768"/>
      <c r="W127" s="768"/>
      <c r="X127" s="768"/>
      <c r="Y127" s="768"/>
      <c r="Z127" s="768"/>
      <c r="AA127" s="768"/>
      <c r="AB127" s="768"/>
      <c r="AC127" s="768"/>
      <c r="AD127" s="768"/>
      <c r="AE127" s="768"/>
      <c r="AF127" s="768"/>
      <c r="AG127" s="768"/>
      <c r="AH127" s="755">
        <f t="shared" si="10"/>
        <v>0</v>
      </c>
      <c r="AJ127" s="768"/>
      <c r="AK127" s="768"/>
      <c r="AL127" s="768"/>
      <c r="AM127" s="768"/>
      <c r="AN127" s="768"/>
      <c r="AO127" s="768"/>
      <c r="AP127" s="768"/>
      <c r="AQ127" s="768"/>
      <c r="AR127" s="768"/>
      <c r="AS127" s="768"/>
      <c r="AT127" s="768">
        <v>625790</v>
      </c>
      <c r="AU127" s="768">
        <v>977130</v>
      </c>
      <c r="AV127" s="755">
        <f t="shared" si="17"/>
        <v>1602920</v>
      </c>
      <c r="AX127" s="552"/>
      <c r="AY127" s="552"/>
      <c r="AZ127" s="552"/>
      <c r="BA127" s="552"/>
      <c r="BB127" s="552"/>
      <c r="BC127" s="552"/>
      <c r="BD127" s="552"/>
      <c r="BE127" s="552"/>
      <c r="BF127" s="552"/>
      <c r="BG127" s="552"/>
      <c r="BH127" s="552"/>
      <c r="BI127" s="552"/>
      <c r="BJ127" s="552"/>
      <c r="BK127" s="42"/>
    </row>
    <row r="128" spans="1:63" s="43" customFormat="1" ht="47.5" thickBot="1">
      <c r="A128" s="585">
        <f>IF(G128&lt;&gt;"",SUBTOTAL(103,$G$4:G128),"")</f>
        <v>125</v>
      </c>
      <c r="B128" s="1149"/>
      <c r="C128" s="1150"/>
      <c r="D128" s="543">
        <v>251121003</v>
      </c>
      <c r="E128" s="543" t="s">
        <v>175</v>
      </c>
      <c r="F128" s="542" t="s">
        <v>117</v>
      </c>
      <c r="G128" s="544" t="s">
        <v>331</v>
      </c>
      <c r="H128" s="545" t="s">
        <v>973</v>
      </c>
      <c r="I128" s="545"/>
      <c r="J128" s="546"/>
      <c r="K128" s="547" t="s">
        <v>972</v>
      </c>
      <c r="L128" s="545"/>
      <c r="M128" s="545"/>
      <c r="N128" s="548"/>
      <c r="O128" s="549"/>
      <c r="P128" s="977"/>
      <c r="Q128" s="549"/>
      <c r="R128" s="549"/>
      <c r="S128" s="547"/>
      <c r="T128" s="547" t="s">
        <v>982</v>
      </c>
      <c r="V128" s="768"/>
      <c r="W128" s="768"/>
      <c r="X128" s="768"/>
      <c r="Y128" s="768"/>
      <c r="Z128" s="768"/>
      <c r="AA128" s="768"/>
      <c r="AB128" s="768"/>
      <c r="AC128" s="768"/>
      <c r="AD128" s="768"/>
      <c r="AE128" s="768"/>
      <c r="AF128" s="768"/>
      <c r="AG128" s="768"/>
      <c r="AH128" s="755">
        <f t="shared" si="10"/>
        <v>0</v>
      </c>
      <c r="AJ128" s="768"/>
      <c r="AK128" s="768"/>
      <c r="AL128" s="768"/>
      <c r="AM128" s="768"/>
      <c r="AN128" s="768"/>
      <c r="AO128" s="768"/>
      <c r="AP128" s="768"/>
      <c r="AQ128" s="768"/>
      <c r="AR128" s="768"/>
      <c r="AS128" s="768"/>
      <c r="AT128" s="768">
        <v>112251204</v>
      </c>
      <c r="AU128" s="768"/>
      <c r="AV128" s="755">
        <f t="shared" si="17"/>
        <v>112251204</v>
      </c>
      <c r="AX128" s="552"/>
      <c r="AY128" s="552"/>
      <c r="AZ128" s="552"/>
      <c r="BA128" s="552"/>
      <c r="BB128" s="552"/>
      <c r="BC128" s="552"/>
      <c r="BD128" s="552"/>
      <c r="BE128" s="552"/>
      <c r="BF128" s="552"/>
      <c r="BG128" s="552"/>
      <c r="BH128" s="552"/>
      <c r="BI128" s="552"/>
      <c r="BJ128" s="552"/>
      <c r="BK128" s="42"/>
    </row>
    <row r="129" spans="1:63" s="43" customFormat="1" ht="26.5" thickBot="1">
      <c r="A129" s="585">
        <f>IF(G129&lt;&gt;"",SUBTOTAL(103,$G$4:G129),"")</f>
        <v>126</v>
      </c>
      <c r="B129" s="1149"/>
      <c r="C129" s="1150"/>
      <c r="D129" s="543">
        <v>250529004</v>
      </c>
      <c r="E129" s="543" t="s">
        <v>31</v>
      </c>
      <c r="F129" s="542" t="s">
        <v>117</v>
      </c>
      <c r="G129" s="544" t="s">
        <v>38</v>
      </c>
      <c r="H129" s="545" t="s">
        <v>974</v>
      </c>
      <c r="I129" s="545"/>
      <c r="J129" s="546"/>
      <c r="K129" s="547" t="s">
        <v>942</v>
      </c>
      <c r="L129" s="545"/>
      <c r="M129" s="545"/>
      <c r="N129" s="548"/>
      <c r="O129" s="549"/>
      <c r="P129" s="977"/>
      <c r="Q129" s="549"/>
      <c r="R129" s="549"/>
      <c r="S129" s="547"/>
      <c r="T129" s="547" t="s">
        <v>980</v>
      </c>
      <c r="V129" s="768"/>
      <c r="W129" s="768"/>
      <c r="X129" s="768"/>
      <c r="Y129" s="768"/>
      <c r="Z129" s="768"/>
      <c r="AA129" s="768"/>
      <c r="AB129" s="768"/>
      <c r="AC129" s="768"/>
      <c r="AD129" s="768"/>
      <c r="AE129" s="768"/>
      <c r="AF129" s="768"/>
      <c r="AG129" s="768"/>
      <c r="AH129" s="755">
        <f t="shared" si="10"/>
        <v>0</v>
      </c>
      <c r="AJ129" s="768"/>
      <c r="AK129" s="768"/>
      <c r="AL129" s="768"/>
      <c r="AM129" s="768"/>
      <c r="AN129" s="768"/>
      <c r="AO129" s="768"/>
      <c r="AP129" s="768"/>
      <c r="AQ129" s="768"/>
      <c r="AR129" s="768"/>
      <c r="AS129" s="768"/>
      <c r="AT129" s="768">
        <v>72990192</v>
      </c>
      <c r="AU129" s="768">
        <v>27974100</v>
      </c>
      <c r="AV129" s="755">
        <f t="shared" si="17"/>
        <v>100964292</v>
      </c>
      <c r="AX129" s="552"/>
      <c r="AY129" s="552"/>
      <c r="AZ129" s="552"/>
      <c r="BA129" s="552"/>
      <c r="BB129" s="552"/>
      <c r="BC129" s="552"/>
      <c r="BD129" s="552"/>
      <c r="BE129" s="552"/>
      <c r="BF129" s="552"/>
      <c r="BG129" s="552"/>
      <c r="BH129" s="552"/>
      <c r="BI129" s="552"/>
      <c r="BJ129" s="552"/>
      <c r="BK129" s="42"/>
    </row>
    <row r="130" spans="1:63" s="43" customFormat="1" ht="47.5" thickBot="1">
      <c r="A130" s="585">
        <f>IF(G130&lt;&gt;"",SUBTOTAL(103,$G$4:G130),"")</f>
        <v>127</v>
      </c>
      <c r="B130" s="1149"/>
      <c r="C130" s="1150"/>
      <c r="D130" s="543">
        <v>250910008</v>
      </c>
      <c r="E130" s="543" t="s">
        <v>361</v>
      </c>
      <c r="F130" s="542" t="s">
        <v>118</v>
      </c>
      <c r="G130" s="544" t="s">
        <v>182</v>
      </c>
      <c r="H130" s="545" t="s">
        <v>975</v>
      </c>
      <c r="I130" s="545"/>
      <c r="J130" s="546"/>
      <c r="K130" s="547" t="s">
        <v>188</v>
      </c>
      <c r="L130" s="545"/>
      <c r="M130" s="545"/>
      <c r="N130" s="548"/>
      <c r="O130" s="549"/>
      <c r="P130" s="977"/>
      <c r="Q130" s="549"/>
      <c r="R130" s="549"/>
      <c r="S130" s="547"/>
      <c r="T130" s="547" t="s">
        <v>983</v>
      </c>
      <c r="V130" s="768"/>
      <c r="W130" s="768"/>
      <c r="X130" s="768"/>
      <c r="Y130" s="768"/>
      <c r="Z130" s="768"/>
      <c r="AA130" s="768"/>
      <c r="AB130" s="768"/>
      <c r="AC130" s="768"/>
      <c r="AD130" s="768"/>
      <c r="AE130" s="768"/>
      <c r="AF130" s="768"/>
      <c r="AG130" s="768"/>
      <c r="AH130" s="755">
        <f t="shared" si="10"/>
        <v>0</v>
      </c>
      <c r="AJ130" s="768"/>
      <c r="AK130" s="768"/>
      <c r="AL130" s="768"/>
      <c r="AM130" s="768"/>
      <c r="AN130" s="768"/>
      <c r="AO130" s="768"/>
      <c r="AP130" s="768"/>
      <c r="AQ130" s="768"/>
      <c r="AR130" s="768"/>
      <c r="AS130" s="768"/>
      <c r="AT130" s="768">
        <v>6004200</v>
      </c>
      <c r="AU130" s="768"/>
      <c r="AV130" s="755">
        <f t="shared" si="17"/>
        <v>6004200</v>
      </c>
      <c r="AX130" s="552"/>
      <c r="AY130" s="552"/>
      <c r="AZ130" s="552"/>
      <c r="BA130" s="552"/>
      <c r="BB130" s="552"/>
      <c r="BC130" s="552"/>
      <c r="BD130" s="552"/>
      <c r="BE130" s="552"/>
      <c r="BF130" s="552"/>
      <c r="BG130" s="552"/>
      <c r="BH130" s="552"/>
      <c r="BI130" s="552"/>
      <c r="BJ130" s="552"/>
      <c r="BK130" s="42"/>
    </row>
    <row r="131" spans="1:63" s="43" customFormat="1" ht="47.5" thickBot="1">
      <c r="A131" s="585">
        <f>IF(G131&lt;&gt;"",SUBTOTAL(103,$G$4:G131),"")</f>
        <v>128</v>
      </c>
      <c r="B131" s="1149"/>
      <c r="C131" s="1150"/>
      <c r="D131" s="543">
        <v>251009001</v>
      </c>
      <c r="E131" s="543" t="s">
        <v>361</v>
      </c>
      <c r="F131" s="542" t="s">
        <v>118</v>
      </c>
      <c r="G131" s="544" t="s">
        <v>182</v>
      </c>
      <c r="H131" s="545" t="s">
        <v>976</v>
      </c>
      <c r="I131" s="545"/>
      <c r="J131" s="546"/>
      <c r="K131" s="547" t="s">
        <v>188</v>
      </c>
      <c r="L131" s="545"/>
      <c r="M131" s="545"/>
      <c r="N131" s="548"/>
      <c r="O131" s="549"/>
      <c r="P131" s="977"/>
      <c r="Q131" s="549"/>
      <c r="R131" s="549"/>
      <c r="S131" s="547"/>
      <c r="T131" s="547" t="s">
        <v>983</v>
      </c>
      <c r="V131" s="768"/>
      <c r="W131" s="768"/>
      <c r="X131" s="768"/>
      <c r="Y131" s="768"/>
      <c r="Z131" s="768"/>
      <c r="AA131" s="768"/>
      <c r="AB131" s="768"/>
      <c r="AC131" s="768"/>
      <c r="AD131" s="768"/>
      <c r="AE131" s="768"/>
      <c r="AF131" s="768"/>
      <c r="AG131" s="768"/>
      <c r="AH131" s="755">
        <f t="shared" si="10"/>
        <v>0</v>
      </c>
      <c r="AJ131" s="768"/>
      <c r="AK131" s="768"/>
      <c r="AL131" s="768"/>
      <c r="AM131" s="768"/>
      <c r="AN131" s="768"/>
      <c r="AO131" s="768"/>
      <c r="AP131" s="768"/>
      <c r="AQ131" s="768"/>
      <c r="AR131" s="768"/>
      <c r="AS131" s="768"/>
      <c r="AT131" s="768">
        <v>6004200</v>
      </c>
      <c r="AU131" s="768"/>
      <c r="AV131" s="755">
        <f t="shared" si="17"/>
        <v>6004200</v>
      </c>
      <c r="AX131" s="552"/>
      <c r="AY131" s="552"/>
      <c r="AZ131" s="552"/>
      <c r="BA131" s="552"/>
      <c r="BB131" s="552"/>
      <c r="BC131" s="552"/>
      <c r="BD131" s="552"/>
      <c r="BE131" s="552"/>
      <c r="BF131" s="552"/>
      <c r="BG131" s="552"/>
      <c r="BH131" s="552"/>
      <c r="BI131" s="552"/>
      <c r="BJ131" s="552"/>
      <c r="BK131" s="42"/>
    </row>
    <row r="132" spans="1:63" s="77" customFormat="1" ht="26.5" thickBot="1">
      <c r="A132" s="1364">
        <f>IF(G132&lt;&gt;"",SUBTOTAL(103,$G$4:G132),"")</f>
        <v>129</v>
      </c>
      <c r="B132" s="1365"/>
      <c r="C132" s="1366"/>
      <c r="D132" s="1367"/>
      <c r="E132" s="1367" t="s">
        <v>361</v>
      </c>
      <c r="F132" s="1368" t="s">
        <v>117</v>
      </c>
      <c r="G132" s="1369" t="s">
        <v>354</v>
      </c>
      <c r="H132" s="1370" t="s">
        <v>978</v>
      </c>
      <c r="I132" s="1370"/>
      <c r="J132" s="1371"/>
      <c r="K132" s="1372" t="s">
        <v>977</v>
      </c>
      <c r="L132" s="1370"/>
      <c r="M132" s="1370"/>
      <c r="N132" s="1373"/>
      <c r="O132" s="1374"/>
      <c r="P132" s="1375"/>
      <c r="Q132" s="1374"/>
      <c r="R132" s="1374"/>
      <c r="S132" s="1372"/>
      <c r="T132" s="1372" t="s">
        <v>983</v>
      </c>
      <c r="V132" s="1376"/>
      <c r="W132" s="1376"/>
      <c r="X132" s="1376"/>
      <c r="Y132" s="1376"/>
      <c r="Z132" s="1376"/>
      <c r="AA132" s="1376"/>
      <c r="AB132" s="1376"/>
      <c r="AC132" s="1376"/>
      <c r="AD132" s="1376"/>
      <c r="AE132" s="1376"/>
      <c r="AF132" s="1376"/>
      <c r="AG132" s="1376"/>
      <c r="AH132" s="1377">
        <f t="shared" si="10"/>
        <v>0</v>
      </c>
      <c r="AJ132" s="1376"/>
      <c r="AK132" s="1376"/>
      <c r="AL132" s="1376"/>
      <c r="AM132" s="1376"/>
      <c r="AN132" s="1376"/>
      <c r="AO132" s="1376"/>
      <c r="AP132" s="1376"/>
      <c r="AQ132" s="1376"/>
      <c r="AR132" s="1376"/>
      <c r="AS132" s="1376"/>
      <c r="AT132" s="1376">
        <v>166755686</v>
      </c>
      <c r="AU132" s="1376">
        <v>295702385</v>
      </c>
      <c r="AV132" s="1377">
        <f t="shared" si="17"/>
        <v>462458071</v>
      </c>
      <c r="AX132" s="1378"/>
      <c r="AY132" s="1378"/>
      <c r="AZ132" s="1378"/>
      <c r="BA132" s="1378"/>
      <c r="BB132" s="1378"/>
      <c r="BC132" s="1378"/>
      <c r="BD132" s="1378"/>
      <c r="BE132" s="1378"/>
      <c r="BF132" s="1378"/>
      <c r="BG132" s="1378"/>
      <c r="BH132" s="1378"/>
      <c r="BI132" s="1378"/>
      <c r="BJ132" s="1378"/>
      <c r="BK132" s="76"/>
    </row>
    <row r="133" spans="1:63" s="43" customFormat="1" ht="47.5" thickBot="1">
      <c r="A133" s="585">
        <f>IF(G133&lt;&gt;"",SUBTOTAL(103,$G$4:G133),"")</f>
        <v>130</v>
      </c>
      <c r="B133" s="1149"/>
      <c r="C133" s="1150"/>
      <c r="D133" s="543">
        <v>251113008</v>
      </c>
      <c r="E133" s="543" t="s">
        <v>361</v>
      </c>
      <c r="F133" s="542" t="s">
        <v>118</v>
      </c>
      <c r="G133" s="544" t="s">
        <v>182</v>
      </c>
      <c r="H133" s="545" t="s">
        <v>984</v>
      </c>
      <c r="I133" s="545"/>
      <c r="J133" s="546"/>
      <c r="K133" s="547" t="s">
        <v>905</v>
      </c>
      <c r="L133" s="545"/>
      <c r="M133" s="545"/>
      <c r="N133" s="548"/>
      <c r="O133" s="549"/>
      <c r="P133" s="977"/>
      <c r="Q133" s="549"/>
      <c r="R133" s="549"/>
      <c r="S133" s="547"/>
      <c r="T133" s="547" t="s">
        <v>983</v>
      </c>
      <c r="V133" s="768"/>
      <c r="W133" s="768"/>
      <c r="X133" s="768"/>
      <c r="Y133" s="768"/>
      <c r="Z133" s="768"/>
      <c r="AA133" s="768"/>
      <c r="AB133" s="768"/>
      <c r="AC133" s="768"/>
      <c r="AD133" s="768"/>
      <c r="AE133" s="768"/>
      <c r="AF133" s="768"/>
      <c r="AG133" s="768"/>
      <c r="AH133" s="755">
        <f t="shared" ref="AH133:AH138" si="18">SUM(V133:AG133)</f>
        <v>0</v>
      </c>
      <c r="AJ133" s="768"/>
      <c r="AK133" s="768"/>
      <c r="AL133" s="768"/>
      <c r="AM133" s="768"/>
      <c r="AN133" s="768"/>
      <c r="AO133" s="768"/>
      <c r="AP133" s="768"/>
      <c r="AQ133" s="768"/>
      <c r="AR133" s="768"/>
      <c r="AS133" s="768"/>
      <c r="AT133" s="768"/>
      <c r="AU133" s="768">
        <v>24000000</v>
      </c>
      <c r="AV133" s="755">
        <f t="shared" si="17"/>
        <v>24000000</v>
      </c>
      <c r="AX133" s="552"/>
      <c r="AY133" s="552"/>
      <c r="AZ133" s="552"/>
      <c r="BA133" s="552"/>
      <c r="BB133" s="552"/>
      <c r="BC133" s="552"/>
      <c r="BD133" s="552"/>
      <c r="BE133" s="552"/>
      <c r="BF133" s="552"/>
      <c r="BG133" s="552"/>
      <c r="BH133" s="552"/>
      <c r="BI133" s="552"/>
      <c r="BJ133" s="552"/>
      <c r="BK133" s="42"/>
    </row>
    <row r="134" spans="1:63" s="43" customFormat="1" ht="47.5" thickBot="1">
      <c r="A134" s="585">
        <f>IF(G134&lt;&gt;"",SUBTOTAL(103,$G$4:G134),"")</f>
        <v>131</v>
      </c>
      <c r="B134" s="1149"/>
      <c r="C134" s="1150"/>
      <c r="D134" s="543">
        <v>251003004</v>
      </c>
      <c r="E134" s="543" t="s">
        <v>361</v>
      </c>
      <c r="F134" s="542" t="s">
        <v>117</v>
      </c>
      <c r="G134" s="544" t="s">
        <v>182</v>
      </c>
      <c r="H134" s="545" t="s">
        <v>985</v>
      </c>
      <c r="I134" s="545"/>
      <c r="J134" s="546"/>
      <c r="K134" s="547" t="s">
        <v>792</v>
      </c>
      <c r="L134" s="545"/>
      <c r="M134" s="545"/>
      <c r="N134" s="548"/>
      <c r="O134" s="549"/>
      <c r="P134" s="977"/>
      <c r="Q134" s="549"/>
      <c r="R134" s="549"/>
      <c r="S134" s="547"/>
      <c r="T134" s="547" t="s">
        <v>980</v>
      </c>
      <c r="V134" s="768"/>
      <c r="W134" s="768"/>
      <c r="X134" s="768"/>
      <c r="Y134" s="768"/>
      <c r="Z134" s="768"/>
      <c r="AA134" s="768"/>
      <c r="AB134" s="768"/>
      <c r="AC134" s="768"/>
      <c r="AD134" s="768"/>
      <c r="AE134" s="768"/>
      <c r="AF134" s="768"/>
      <c r="AG134" s="768"/>
      <c r="AH134" s="755">
        <f t="shared" si="18"/>
        <v>0</v>
      </c>
      <c r="AJ134" s="768"/>
      <c r="AK134" s="768"/>
      <c r="AL134" s="768"/>
      <c r="AM134" s="768"/>
      <c r="AN134" s="768"/>
      <c r="AO134" s="768"/>
      <c r="AP134" s="768"/>
      <c r="AQ134" s="768"/>
      <c r="AR134" s="768"/>
      <c r="AS134" s="768"/>
      <c r="AT134" s="768"/>
      <c r="AU134" s="768">
        <v>7269615</v>
      </c>
      <c r="AV134" s="755">
        <f t="shared" ref="AV134:AV136" si="19">SUM(AJ134:AU134)</f>
        <v>7269615</v>
      </c>
      <c r="AX134" s="552"/>
      <c r="AY134" s="552"/>
      <c r="AZ134" s="552"/>
      <c r="BA134" s="552"/>
      <c r="BB134" s="552"/>
      <c r="BC134" s="552"/>
      <c r="BD134" s="552"/>
      <c r="BE134" s="552"/>
      <c r="BF134" s="552"/>
      <c r="BG134" s="552"/>
      <c r="BH134" s="552"/>
      <c r="BI134" s="552"/>
      <c r="BJ134" s="552"/>
      <c r="BK134" s="42"/>
    </row>
    <row r="135" spans="1:63" s="43" customFormat="1" ht="47.5" thickBot="1">
      <c r="A135" s="585">
        <f>IF(G135&lt;&gt;"",SUBTOTAL(103,$G$4:G135),"")</f>
        <v>132</v>
      </c>
      <c r="B135" s="1149"/>
      <c r="C135" s="1150"/>
      <c r="D135" s="543">
        <v>251202002</v>
      </c>
      <c r="E135" s="543" t="s">
        <v>361</v>
      </c>
      <c r="F135" s="542" t="s">
        <v>117</v>
      </c>
      <c r="G135" s="544" t="s">
        <v>182</v>
      </c>
      <c r="H135" s="545" t="s">
        <v>986</v>
      </c>
      <c r="I135" s="545"/>
      <c r="J135" s="546"/>
      <c r="K135" s="547" t="s">
        <v>792</v>
      </c>
      <c r="L135" s="545"/>
      <c r="M135" s="545"/>
      <c r="N135" s="548"/>
      <c r="O135" s="549"/>
      <c r="P135" s="977"/>
      <c r="Q135" s="549"/>
      <c r="R135" s="549"/>
      <c r="S135" s="547"/>
      <c r="T135" s="547" t="s">
        <v>980</v>
      </c>
      <c r="V135" s="768"/>
      <c r="W135" s="768"/>
      <c r="X135" s="768"/>
      <c r="Y135" s="768"/>
      <c r="Z135" s="768"/>
      <c r="AA135" s="768"/>
      <c r="AB135" s="768"/>
      <c r="AC135" s="768"/>
      <c r="AD135" s="768"/>
      <c r="AE135" s="768"/>
      <c r="AF135" s="768"/>
      <c r="AG135" s="768"/>
      <c r="AH135" s="755">
        <f t="shared" si="18"/>
        <v>0</v>
      </c>
      <c r="AJ135" s="768"/>
      <c r="AK135" s="768"/>
      <c r="AL135" s="768"/>
      <c r="AM135" s="768"/>
      <c r="AN135" s="768"/>
      <c r="AO135" s="768"/>
      <c r="AP135" s="768"/>
      <c r="AQ135" s="768"/>
      <c r="AR135" s="768"/>
      <c r="AS135" s="768"/>
      <c r="AT135" s="768"/>
      <c r="AU135" s="768">
        <v>12627615</v>
      </c>
      <c r="AV135" s="755">
        <f t="shared" si="19"/>
        <v>12627615</v>
      </c>
      <c r="AX135" s="552"/>
      <c r="AY135" s="552"/>
      <c r="AZ135" s="552"/>
      <c r="BA135" s="552"/>
      <c r="BB135" s="552"/>
      <c r="BC135" s="552"/>
      <c r="BD135" s="552"/>
      <c r="BE135" s="552"/>
      <c r="BF135" s="552"/>
      <c r="BG135" s="552"/>
      <c r="BH135" s="552"/>
      <c r="BI135" s="552"/>
      <c r="BJ135" s="552"/>
      <c r="BK135" s="42"/>
    </row>
    <row r="136" spans="1:63" s="43" customFormat="1" ht="47.5" thickBot="1">
      <c r="A136" s="585">
        <f>IF(G136&lt;&gt;"",SUBTOTAL(103,$G$4:G136),"")</f>
        <v>133</v>
      </c>
      <c r="B136" s="1149"/>
      <c r="C136" s="1150"/>
      <c r="D136" s="543">
        <v>250624008</v>
      </c>
      <c r="E136" s="543" t="s">
        <v>175</v>
      </c>
      <c r="F136" s="542" t="s">
        <v>119</v>
      </c>
      <c r="G136" s="544" t="s">
        <v>718</v>
      </c>
      <c r="H136" s="545" t="s">
        <v>988</v>
      </c>
      <c r="I136" s="545"/>
      <c r="J136" s="546"/>
      <c r="K136" s="547" t="s">
        <v>987</v>
      </c>
      <c r="L136" s="545"/>
      <c r="M136" s="545"/>
      <c r="N136" s="548"/>
      <c r="O136" s="549"/>
      <c r="P136" s="977"/>
      <c r="Q136" s="549"/>
      <c r="R136" s="549"/>
      <c r="S136" s="547"/>
      <c r="T136" s="547"/>
      <c r="V136" s="768"/>
      <c r="W136" s="768"/>
      <c r="X136" s="768"/>
      <c r="Y136" s="768"/>
      <c r="Z136" s="768"/>
      <c r="AA136" s="768"/>
      <c r="AB136" s="768"/>
      <c r="AC136" s="768"/>
      <c r="AD136" s="768"/>
      <c r="AE136" s="768"/>
      <c r="AF136" s="768"/>
      <c r="AG136" s="768"/>
      <c r="AH136" s="755">
        <f t="shared" si="18"/>
        <v>0</v>
      </c>
      <c r="AJ136" s="768"/>
      <c r="AK136" s="768"/>
      <c r="AL136" s="768"/>
      <c r="AM136" s="768"/>
      <c r="AN136" s="768"/>
      <c r="AO136" s="768"/>
      <c r="AP136" s="768"/>
      <c r="AQ136" s="768"/>
      <c r="AR136" s="768"/>
      <c r="AS136" s="768"/>
      <c r="AT136" s="768"/>
      <c r="AU136" s="768">
        <v>95900000</v>
      </c>
      <c r="AV136" s="755">
        <f t="shared" si="19"/>
        <v>95900000</v>
      </c>
      <c r="AX136" s="552"/>
      <c r="AY136" s="552"/>
      <c r="AZ136" s="552"/>
      <c r="BA136" s="552"/>
      <c r="BB136" s="552"/>
      <c r="BC136" s="552"/>
      <c r="BD136" s="552"/>
      <c r="BE136" s="552"/>
      <c r="BF136" s="552"/>
      <c r="BG136" s="552"/>
      <c r="BH136" s="552"/>
      <c r="BI136" s="552"/>
      <c r="BJ136" s="552"/>
      <c r="BK136" s="42"/>
    </row>
    <row r="137" spans="1:63" s="43" customFormat="1" ht="71" thickBot="1">
      <c r="A137" s="585">
        <f>IF(G137&lt;&gt;"",SUBTOTAL(103,$G$4:G137),"")</f>
        <v>134</v>
      </c>
      <c r="B137" s="1149"/>
      <c r="C137" s="1150"/>
      <c r="D137" s="543">
        <v>250912002</v>
      </c>
      <c r="E137" s="543" t="s">
        <v>175</v>
      </c>
      <c r="F137" s="542" t="s">
        <v>119</v>
      </c>
      <c r="G137" s="544" t="s">
        <v>718</v>
      </c>
      <c r="H137" s="545" t="s">
        <v>989</v>
      </c>
      <c r="I137" s="545"/>
      <c r="J137" s="546"/>
      <c r="K137" s="547" t="s">
        <v>990</v>
      </c>
      <c r="L137" s="545"/>
      <c r="M137" s="545"/>
      <c r="N137" s="548"/>
      <c r="O137" s="549"/>
      <c r="P137" s="977"/>
      <c r="Q137" s="549"/>
      <c r="R137" s="549"/>
      <c r="S137" s="547"/>
      <c r="T137" s="547"/>
      <c r="V137" s="768"/>
      <c r="W137" s="768"/>
      <c r="X137" s="768"/>
      <c r="Y137" s="768"/>
      <c r="Z137" s="768"/>
      <c r="AA137" s="768"/>
      <c r="AB137" s="768"/>
      <c r="AC137" s="768"/>
      <c r="AD137" s="768"/>
      <c r="AE137" s="768"/>
      <c r="AF137" s="768"/>
      <c r="AG137" s="768"/>
      <c r="AH137" s="755">
        <f t="shared" si="18"/>
        <v>0</v>
      </c>
      <c r="AJ137" s="768"/>
      <c r="AK137" s="768"/>
      <c r="AL137" s="768"/>
      <c r="AM137" s="768"/>
      <c r="AN137" s="768"/>
      <c r="AO137" s="768"/>
      <c r="AP137" s="768"/>
      <c r="AQ137" s="768"/>
      <c r="AR137" s="768"/>
      <c r="AS137" s="768"/>
      <c r="AT137" s="768"/>
      <c r="AU137" s="768">
        <v>670000</v>
      </c>
      <c r="AV137" s="755">
        <f t="shared" ref="AV137" si="20">SUM(AJ137:AU137)</f>
        <v>670000</v>
      </c>
      <c r="AX137" s="552"/>
      <c r="AY137" s="552"/>
      <c r="AZ137" s="552"/>
      <c r="BA137" s="552"/>
      <c r="BB137" s="552"/>
      <c r="BC137" s="552"/>
      <c r="BD137" s="552"/>
      <c r="BE137" s="552"/>
      <c r="BF137" s="552"/>
      <c r="BG137" s="552"/>
      <c r="BH137" s="552"/>
      <c r="BI137" s="552"/>
      <c r="BJ137" s="552"/>
      <c r="BK137" s="42"/>
    </row>
    <row r="138" spans="1:63" s="43" customFormat="1" ht="47.5" thickBot="1">
      <c r="A138" s="585">
        <f>IF(G138&lt;&gt;"",SUBTOTAL(103,$G$4:G138),"")</f>
        <v>135</v>
      </c>
      <c r="B138" s="1149"/>
      <c r="C138" s="1150"/>
      <c r="D138" s="543">
        <v>250924002</v>
      </c>
      <c r="E138" s="543" t="s">
        <v>175</v>
      </c>
      <c r="F138" s="542" t="s">
        <v>119</v>
      </c>
      <c r="G138" s="544" t="s">
        <v>909</v>
      </c>
      <c r="H138" s="545" t="s">
        <v>991</v>
      </c>
      <c r="I138" s="545"/>
      <c r="J138" s="546"/>
      <c r="K138" s="547" t="s">
        <v>188</v>
      </c>
      <c r="L138" s="545"/>
      <c r="M138" s="545"/>
      <c r="N138" s="548"/>
      <c r="O138" s="549"/>
      <c r="P138" s="977"/>
      <c r="Q138" s="549"/>
      <c r="R138" s="549"/>
      <c r="S138" s="547"/>
      <c r="T138" s="547" t="s">
        <v>992</v>
      </c>
      <c r="V138" s="768"/>
      <c r="W138" s="768"/>
      <c r="X138" s="768"/>
      <c r="Y138" s="768"/>
      <c r="Z138" s="768"/>
      <c r="AA138" s="768"/>
      <c r="AB138" s="768"/>
      <c r="AC138" s="768"/>
      <c r="AD138" s="768"/>
      <c r="AE138" s="768"/>
      <c r="AF138" s="768"/>
      <c r="AG138" s="768"/>
      <c r="AH138" s="755">
        <f t="shared" si="18"/>
        <v>0</v>
      </c>
      <c r="AJ138" s="768"/>
      <c r="AK138" s="768"/>
      <c r="AL138" s="768"/>
      <c r="AM138" s="768"/>
      <c r="AN138" s="768"/>
      <c r="AO138" s="768"/>
      <c r="AP138" s="768"/>
      <c r="AQ138" s="768"/>
      <c r="AR138" s="768"/>
      <c r="AS138" s="768"/>
      <c r="AT138" s="768"/>
      <c r="AU138" s="768">
        <v>18527840</v>
      </c>
      <c r="AV138" s="755">
        <f t="shared" ref="AV138" si="21">SUM(AJ138:AU138)</f>
        <v>18527840</v>
      </c>
      <c r="AX138" s="552"/>
      <c r="AY138" s="552"/>
      <c r="AZ138" s="552"/>
      <c r="BA138" s="552"/>
      <c r="BB138" s="552"/>
      <c r="BC138" s="552"/>
      <c r="BD138" s="552"/>
      <c r="BE138" s="552"/>
      <c r="BF138" s="552"/>
      <c r="BG138" s="552"/>
      <c r="BH138" s="552"/>
      <c r="BI138" s="552"/>
      <c r="BJ138" s="552"/>
      <c r="BK138" s="42"/>
    </row>
    <row r="139" spans="1:63" s="43" customFormat="1" ht="26.5" thickBot="1">
      <c r="A139" s="585"/>
      <c r="B139" s="1149"/>
      <c r="C139" s="1150"/>
      <c r="D139" s="543"/>
      <c r="E139" s="543"/>
      <c r="F139" s="542"/>
      <c r="G139" s="544"/>
      <c r="H139" s="545"/>
      <c r="I139" s="545"/>
      <c r="J139" s="546"/>
      <c r="K139" s="547"/>
      <c r="L139" s="545"/>
      <c r="M139" s="545"/>
      <c r="N139" s="548"/>
      <c r="O139" s="549"/>
      <c r="P139" s="977"/>
      <c r="Q139" s="549"/>
      <c r="R139" s="549"/>
      <c r="S139" s="547"/>
      <c r="T139" s="547"/>
      <c r="V139" s="768"/>
      <c r="W139" s="768"/>
      <c r="X139" s="768"/>
      <c r="Y139" s="768"/>
      <c r="Z139" s="768"/>
      <c r="AA139" s="768"/>
      <c r="AB139" s="768"/>
      <c r="AC139" s="768"/>
      <c r="AD139" s="768"/>
      <c r="AE139" s="768"/>
      <c r="AF139" s="768"/>
      <c r="AG139" s="768"/>
      <c r="AH139" s="755"/>
      <c r="AJ139" s="768"/>
      <c r="AK139" s="768"/>
      <c r="AL139" s="768"/>
      <c r="AM139" s="768"/>
      <c r="AN139" s="768"/>
      <c r="AO139" s="768"/>
      <c r="AP139" s="768"/>
      <c r="AQ139" s="768"/>
      <c r="AR139" s="768"/>
      <c r="AS139" s="768"/>
      <c r="AT139" s="768"/>
      <c r="AU139" s="768"/>
      <c r="AV139" s="755"/>
      <c r="AX139" s="552"/>
      <c r="AY139" s="552"/>
      <c r="AZ139" s="552"/>
      <c r="BA139" s="552"/>
      <c r="BB139" s="552"/>
      <c r="BC139" s="552"/>
      <c r="BD139" s="552"/>
      <c r="BE139" s="552"/>
      <c r="BF139" s="552"/>
      <c r="BG139" s="552"/>
      <c r="BH139" s="552"/>
      <c r="BI139" s="552"/>
      <c r="BJ139" s="552"/>
      <c r="BK139" s="42"/>
    </row>
    <row r="140" spans="1:63" s="43" customFormat="1" ht="26.5" thickBot="1">
      <c r="A140" s="585"/>
      <c r="B140" s="1149"/>
      <c r="C140" s="1150"/>
      <c r="D140" s="543"/>
      <c r="E140" s="543"/>
      <c r="F140" s="542"/>
      <c r="G140" s="544"/>
      <c r="H140" s="545"/>
      <c r="I140" s="545"/>
      <c r="J140" s="546"/>
      <c r="K140" s="547"/>
      <c r="L140" s="545"/>
      <c r="M140" s="545"/>
      <c r="N140" s="548"/>
      <c r="O140" s="549"/>
      <c r="P140" s="977"/>
      <c r="Q140" s="549"/>
      <c r="R140" s="549"/>
      <c r="S140" s="547"/>
      <c r="T140" s="547"/>
      <c r="V140" s="768"/>
      <c r="W140" s="768"/>
      <c r="X140" s="768"/>
      <c r="Y140" s="768"/>
      <c r="Z140" s="768"/>
      <c r="AA140" s="768"/>
      <c r="AB140" s="768"/>
      <c r="AC140" s="768"/>
      <c r="AD140" s="768"/>
      <c r="AE140" s="768"/>
      <c r="AF140" s="768"/>
      <c r="AG140" s="768"/>
      <c r="AH140" s="755"/>
      <c r="AJ140" s="768"/>
      <c r="AK140" s="768"/>
      <c r="AL140" s="768"/>
      <c r="AM140" s="768"/>
      <c r="AN140" s="768"/>
      <c r="AO140" s="768"/>
      <c r="AP140" s="768"/>
      <c r="AQ140" s="768"/>
      <c r="AR140" s="768"/>
      <c r="AS140" s="768"/>
      <c r="AT140" s="768"/>
      <c r="AU140" s="768"/>
      <c r="AV140" s="755"/>
      <c r="AX140" s="552"/>
      <c r="AY140" s="552"/>
      <c r="AZ140" s="552"/>
      <c r="BA140" s="552"/>
      <c r="BB140" s="552"/>
      <c r="BC140" s="552"/>
      <c r="BD140" s="552"/>
      <c r="BE140" s="552"/>
      <c r="BF140" s="552"/>
      <c r="BG140" s="552"/>
      <c r="BH140" s="552"/>
      <c r="BI140" s="552"/>
      <c r="BJ140" s="552"/>
      <c r="BK140" s="42"/>
    </row>
    <row r="141" spans="1:63" s="43" customFormat="1" ht="26.5" thickBot="1">
      <c r="A141" s="585"/>
      <c r="B141" s="1149"/>
      <c r="C141" s="1150"/>
      <c r="D141" s="543"/>
      <c r="E141" s="543"/>
      <c r="F141" s="542"/>
      <c r="G141" s="544"/>
      <c r="H141" s="545"/>
      <c r="I141" s="545"/>
      <c r="J141" s="546"/>
      <c r="K141" s="547"/>
      <c r="L141" s="545"/>
      <c r="M141" s="545"/>
      <c r="N141" s="548"/>
      <c r="O141" s="549"/>
      <c r="P141" s="977"/>
      <c r="Q141" s="549"/>
      <c r="R141" s="549"/>
      <c r="S141" s="547"/>
      <c r="T141" s="547"/>
      <c r="V141" s="768"/>
      <c r="W141" s="768"/>
      <c r="X141" s="768"/>
      <c r="Y141" s="768"/>
      <c r="Z141" s="768"/>
      <c r="AA141" s="768"/>
      <c r="AB141" s="768"/>
      <c r="AC141" s="768"/>
      <c r="AD141" s="768"/>
      <c r="AE141" s="768"/>
      <c r="AF141" s="768"/>
      <c r="AG141" s="768"/>
      <c r="AH141" s="755"/>
      <c r="AJ141" s="768"/>
      <c r="AK141" s="768"/>
      <c r="AL141" s="768"/>
      <c r="AM141" s="768"/>
      <c r="AN141" s="768"/>
      <c r="AO141" s="768"/>
      <c r="AP141" s="768"/>
      <c r="AQ141" s="768"/>
      <c r="AR141" s="768"/>
      <c r="AS141" s="768"/>
      <c r="AT141" s="768"/>
      <c r="AU141" s="768"/>
      <c r="AV141" s="755"/>
      <c r="AX141" s="552"/>
      <c r="AY141" s="552"/>
      <c r="AZ141" s="552"/>
      <c r="BA141" s="552"/>
      <c r="BB141" s="552"/>
      <c r="BC141" s="552"/>
      <c r="BD141" s="552"/>
      <c r="BE141" s="552"/>
      <c r="BF141" s="552"/>
      <c r="BG141" s="552"/>
      <c r="BH141" s="552"/>
      <c r="BI141" s="552"/>
      <c r="BJ141" s="552"/>
      <c r="BK141" s="42"/>
    </row>
    <row r="142" spans="1:63" s="43" customFormat="1" ht="26.5" thickBot="1">
      <c r="A142" s="1136" t="str">
        <f>IF(G142&lt;&gt;"",SUBTOTAL(103,$G$4:G142),"")</f>
        <v/>
      </c>
      <c r="B142" s="1149"/>
      <c r="C142" s="1150"/>
      <c r="D142" s="1138"/>
      <c r="E142" s="1138"/>
      <c r="F142" s="1137"/>
      <c r="G142" s="1139"/>
      <c r="H142" s="1140"/>
      <c r="I142" s="1140"/>
      <c r="J142" s="1141"/>
      <c r="K142" s="1142"/>
      <c r="L142" s="1140"/>
      <c r="M142" s="1140"/>
      <c r="N142" s="1143"/>
      <c r="O142" s="1151"/>
      <c r="P142" s="1152"/>
      <c r="Q142" s="1151"/>
      <c r="R142" s="1151"/>
      <c r="S142" s="1142"/>
      <c r="T142" s="1142"/>
      <c r="V142" s="1144"/>
      <c r="W142" s="1145"/>
      <c r="X142" s="1146"/>
      <c r="Y142" s="1145"/>
      <c r="Z142" s="1145"/>
      <c r="AA142" s="1145"/>
      <c r="AB142" s="1145"/>
      <c r="AC142" s="1145"/>
      <c r="AD142" s="1145"/>
      <c r="AE142" s="1145"/>
      <c r="AF142" s="1145"/>
      <c r="AG142" s="1147"/>
      <c r="AH142" s="1148"/>
      <c r="AJ142" s="1144"/>
      <c r="AK142" s="1145"/>
      <c r="AL142" s="1146"/>
      <c r="AM142" s="1145"/>
      <c r="AN142" s="1145"/>
      <c r="AO142" s="1145"/>
      <c r="AP142" s="1145"/>
      <c r="AQ142" s="1145"/>
      <c r="AR142" s="1145"/>
      <c r="AS142" s="1145"/>
      <c r="AT142" s="1145"/>
      <c r="AU142" s="1147"/>
      <c r="AV142" s="1148">
        <f t="shared" si="17"/>
        <v>0</v>
      </c>
      <c r="AX142" s="1132"/>
      <c r="AY142" s="1132"/>
      <c r="AZ142" s="1132"/>
      <c r="BA142" s="1132"/>
      <c r="BB142" s="1132"/>
      <c r="BC142" s="1133"/>
      <c r="BD142" s="1134"/>
      <c r="BE142" s="1134"/>
      <c r="BF142" s="1134"/>
      <c r="BG142" s="1134"/>
      <c r="BH142" s="1134"/>
      <c r="BI142" s="1134"/>
      <c r="BJ142" s="1135"/>
      <c r="BK142" s="42"/>
    </row>
    <row r="143" spans="1:63" s="40" customFormat="1" ht="41.4" customHeight="1" thickBot="1">
      <c r="A143" s="141" t="s">
        <v>341</v>
      </c>
      <c r="B143" s="141"/>
      <c r="C143" s="141"/>
      <c r="D143" s="141"/>
      <c r="E143" s="141"/>
      <c r="F143" s="141"/>
      <c r="G143" s="141"/>
      <c r="H143" s="576"/>
      <c r="I143" s="141"/>
      <c r="J143" s="141"/>
      <c r="K143" s="141"/>
      <c r="L143" s="141"/>
      <c r="M143" s="141"/>
      <c r="N143" s="141"/>
      <c r="O143" s="141"/>
      <c r="P143" s="141"/>
      <c r="Q143" s="141"/>
      <c r="R143" s="141"/>
      <c r="S143" s="141"/>
      <c r="T143" s="141"/>
      <c r="V143" s="746">
        <f>SUM(V4:PreviousCell)</f>
        <v>0</v>
      </c>
      <c r="W143" s="746">
        <f>SUM(W4:PreviousCell)</f>
        <v>0</v>
      </c>
      <c r="X143" s="746">
        <f>SUM(X4:PreviousCell)</f>
        <v>0</v>
      </c>
      <c r="Y143" s="746">
        <f>SUM(Y4:PreviousCell)</f>
        <v>0</v>
      </c>
      <c r="Z143" s="746">
        <f>SUM(Z4:PreviousCell)</f>
        <v>0</v>
      </c>
      <c r="AA143" s="746">
        <f>SUM(AA4:PreviousCell)</f>
        <v>0</v>
      </c>
      <c r="AB143" s="746">
        <f>SUM(AB4:PreviousCell)</f>
        <v>0</v>
      </c>
      <c r="AC143" s="746">
        <f>SUM(AC4:PreviousCell)</f>
        <v>0</v>
      </c>
      <c r="AD143" s="746">
        <f>SUM(AD4:PreviousCell)</f>
        <v>0</v>
      </c>
      <c r="AE143" s="746">
        <f>SUM(AE4:PreviousCell)</f>
        <v>0</v>
      </c>
      <c r="AF143" s="746">
        <f>SUM(AF4:PreviousCell)</f>
        <v>0</v>
      </c>
      <c r="AG143" s="747">
        <f>SUM(AG4:PreviousCell)</f>
        <v>0</v>
      </c>
      <c r="AH143" s="784">
        <f>SUM(AH4:PreviousCell)</f>
        <v>0</v>
      </c>
      <c r="AJ143" s="746">
        <f>SUM(AJ4:PreviousCell)</f>
        <v>2819419822</v>
      </c>
      <c r="AK143" s="746">
        <f>SUM(AK4:PreviousCell)</f>
        <v>3540635528.3649859</v>
      </c>
      <c r="AL143" s="746">
        <f>SUM(AL4:PreviousCell)</f>
        <v>1384288235.375</v>
      </c>
      <c r="AM143" s="746">
        <f>SUM(AM4:PreviousCell)</f>
        <v>2451417385.2199998</v>
      </c>
      <c r="AN143" s="746">
        <f>SUM(AN4:PreviousCell)</f>
        <v>6343040555.999999</v>
      </c>
      <c r="AO143" s="746">
        <f>SUM(AO4:PreviousCell)</f>
        <v>3559933022.0799999</v>
      </c>
      <c r="AP143" s="746">
        <f>SUM(AP4:PreviousCell)</f>
        <v>3634507093.9999986</v>
      </c>
      <c r="AQ143" s="746">
        <f>SUM(AQ4:PreviousCell)</f>
        <v>5611785194.2064991</v>
      </c>
      <c r="AR143" s="746">
        <f>SUM(AR4:PreviousCell)</f>
        <v>2951340347.9999995</v>
      </c>
      <c r="AS143" s="746">
        <f>SUM(AS4:PreviousCell)</f>
        <v>2936557002.9999995</v>
      </c>
      <c r="AT143" s="746">
        <f>SUM(AT4:PreviousCell)</f>
        <v>2089589981</v>
      </c>
      <c r="AU143" s="747">
        <f>SUM(AU4:PreviousCell)</f>
        <v>1603540042</v>
      </c>
      <c r="AV143" s="784">
        <f>SUM(AV4:PreviousCell)</f>
        <v>38926054211.24649</v>
      </c>
      <c r="AX143" s="80">
        <f>SUM(AX4:PreviousCell)</f>
        <v>1373004544.9180741</v>
      </c>
      <c r="AY143" s="80">
        <f>SUM(AY4:PreviousCell)</f>
        <v>800039729.89382434</v>
      </c>
      <c r="AZ143" s="80">
        <f>SUM(AZ4:PreviousCell)</f>
        <v>1588474187.3301413</v>
      </c>
      <c r="BA143" s="80">
        <f>SUM(BA4:PreviousCell)</f>
        <v>1473703881.5787706</v>
      </c>
      <c r="BB143" s="80">
        <f>SUM(BB4:PreviousCell)</f>
        <v>1692352298.4501181</v>
      </c>
      <c r="BC143" s="80">
        <f>SUM(BC4:PreviousCell)</f>
        <v>1461310860.0632601</v>
      </c>
      <c r="BD143" s="80">
        <f>SUM(BD4:PreviousCell)</f>
        <v>2024478558.2500501</v>
      </c>
      <c r="BE143" s="80">
        <f>SUM(BE4:PreviousCell)</f>
        <v>5210013261.2825069</v>
      </c>
      <c r="BF143" s="80">
        <f>SUM(BF4:PreviousCell)</f>
        <v>8720227258.810955</v>
      </c>
      <c r="BG143" s="80">
        <f>SUM(BG4:PreviousCell)</f>
        <v>2940126120.592298</v>
      </c>
      <c r="BH143" s="80">
        <f>SUM(BH4:PreviousCell)</f>
        <v>4517369324.1431808</v>
      </c>
      <c r="BI143" s="80">
        <f>SUM(BI4:PreviousCell)</f>
        <v>3832254159.8875475</v>
      </c>
      <c r="BJ143" s="81">
        <f>SUM(BJ4:PreviousCell)</f>
        <v>35633354185.200729</v>
      </c>
      <c r="BK143" s="39"/>
    </row>
    <row r="144" spans="1:63" s="40" customFormat="1" ht="41.9" customHeight="1">
      <c r="G144" s="82"/>
      <c r="H144" s="82"/>
      <c r="I144" s="82"/>
      <c r="J144" s="82"/>
      <c r="K144" s="82"/>
      <c r="L144" s="82"/>
      <c r="M144" s="82"/>
      <c r="N144" s="82"/>
      <c r="O144" s="82"/>
      <c r="P144" s="82"/>
      <c r="Q144" s="82"/>
      <c r="R144" s="82"/>
      <c r="S144" s="82"/>
      <c r="T144" s="82"/>
      <c r="V144" s="82"/>
      <c r="W144" s="82"/>
      <c r="X144" s="82"/>
      <c r="Y144" s="82"/>
      <c r="Z144" s="82"/>
      <c r="AA144" s="82"/>
      <c r="AB144" s="82"/>
      <c r="AC144" s="82"/>
      <c r="AD144" s="82"/>
      <c r="AE144" s="82"/>
      <c r="AF144" s="82"/>
      <c r="AG144" s="82"/>
      <c r="AH144" s="82"/>
      <c r="AJ144" s="82"/>
      <c r="AK144" s="82"/>
      <c r="AL144" s="82"/>
      <c r="AM144" s="82"/>
      <c r="AN144" s="82"/>
      <c r="AO144" s="82"/>
      <c r="AP144" s="82"/>
      <c r="AQ144" s="82"/>
      <c r="AR144" s="82"/>
      <c r="AS144" s="82"/>
      <c r="AT144" s="82"/>
      <c r="AU144" s="82"/>
      <c r="AV144" s="82"/>
      <c r="AX144" s="82"/>
      <c r="AY144" s="82"/>
      <c r="AZ144" s="82"/>
      <c r="BA144" s="82"/>
      <c r="BB144" s="83"/>
      <c r="BC144" s="82"/>
      <c r="BD144" s="82"/>
      <c r="BE144" s="82"/>
      <c r="BF144" s="82"/>
      <c r="BG144" s="82"/>
      <c r="BH144" s="82"/>
      <c r="BI144" s="82"/>
      <c r="BJ144" s="82"/>
      <c r="BK144" s="39"/>
    </row>
    <row r="145" spans="7:63" s="149" customFormat="1" ht="41.9" customHeight="1">
      <c r="G145" s="150" t="s">
        <v>367</v>
      </c>
      <c r="H145" s="150"/>
      <c r="I145" s="150"/>
      <c r="J145" s="150"/>
      <c r="K145" s="150"/>
      <c r="L145" s="150"/>
      <c r="M145" s="150"/>
      <c r="N145" s="150"/>
      <c r="O145" s="150"/>
      <c r="P145" s="150"/>
      <c r="Q145" s="150"/>
      <c r="R145" s="150"/>
      <c r="S145" s="150"/>
      <c r="T145" s="150"/>
      <c r="V145" s="152"/>
      <c r="W145" s="152"/>
      <c r="X145" s="152"/>
      <c r="Y145" s="152"/>
      <c r="Z145" s="152"/>
      <c r="AA145" s="152"/>
      <c r="AB145" s="152"/>
      <c r="AC145" s="152"/>
      <c r="AD145" s="152"/>
      <c r="AE145" s="152"/>
      <c r="AF145" s="152"/>
      <c r="AG145" s="152"/>
      <c r="AH145" s="152"/>
      <c r="AJ145" s="152">
        <f t="shared" ref="AJ145:AV145" si="22">SUBTOTAL(9,AJ4:AJ142)</f>
        <v>2819419822</v>
      </c>
      <c r="AK145" s="152">
        <f t="shared" si="22"/>
        <v>3540635528.3649859</v>
      </c>
      <c r="AL145" s="152">
        <f t="shared" si="22"/>
        <v>1384288235.375</v>
      </c>
      <c r="AM145" s="152">
        <f t="shared" si="22"/>
        <v>2451417385.2199998</v>
      </c>
      <c r="AN145" s="152">
        <f t="shared" si="22"/>
        <v>6343040555.999999</v>
      </c>
      <c r="AO145" s="152">
        <f t="shared" si="22"/>
        <v>3559933022.0799999</v>
      </c>
      <c r="AP145" s="152">
        <f t="shared" si="22"/>
        <v>3634507093.9999986</v>
      </c>
      <c r="AQ145" s="152">
        <f t="shared" si="22"/>
        <v>5611785194.2064991</v>
      </c>
      <c r="AR145" s="152">
        <f t="shared" si="22"/>
        <v>2951340347.9999995</v>
      </c>
      <c r="AS145" s="152">
        <f t="shared" si="22"/>
        <v>2936557002.9999995</v>
      </c>
      <c r="AT145" s="152">
        <f t="shared" si="22"/>
        <v>2089589981</v>
      </c>
      <c r="AU145" s="152">
        <f t="shared" si="22"/>
        <v>1603540042</v>
      </c>
      <c r="AV145" s="152">
        <f t="shared" si="22"/>
        <v>38926054211.24649</v>
      </c>
      <c r="AX145" s="152">
        <f t="shared" ref="AX145:BJ145" si="23">SUBTOTAL(9,AX4:AX142)</f>
        <v>1373004544.9180741</v>
      </c>
      <c r="AY145" s="152">
        <f t="shared" si="23"/>
        <v>800039729.89382434</v>
      </c>
      <c r="AZ145" s="152">
        <f t="shared" si="23"/>
        <v>1588474187.3301413</v>
      </c>
      <c r="BA145" s="152">
        <f t="shared" si="23"/>
        <v>1473703881.5787706</v>
      </c>
      <c r="BB145" s="152">
        <f t="shared" si="23"/>
        <v>1692352298.4501181</v>
      </c>
      <c r="BC145" s="152">
        <f t="shared" si="23"/>
        <v>1461310860.0632601</v>
      </c>
      <c r="BD145" s="152">
        <f t="shared" si="23"/>
        <v>2024478558.2500501</v>
      </c>
      <c r="BE145" s="152">
        <f t="shared" si="23"/>
        <v>5210013261.2825069</v>
      </c>
      <c r="BF145" s="152">
        <f t="shared" si="23"/>
        <v>8720227258.810955</v>
      </c>
      <c r="BG145" s="152">
        <f t="shared" si="23"/>
        <v>2940126120.592298</v>
      </c>
      <c r="BH145" s="152">
        <f t="shared" si="23"/>
        <v>4517369324.1431808</v>
      </c>
      <c r="BI145" s="152">
        <f t="shared" si="23"/>
        <v>3832254159.8875475</v>
      </c>
      <c r="BJ145" s="152">
        <f t="shared" si="23"/>
        <v>35633354185.200729</v>
      </c>
      <c r="BK145" s="151"/>
    </row>
    <row r="146" spans="7:63" s="40" customFormat="1" ht="41.9" customHeight="1">
      <c r="G146" s="82"/>
      <c r="H146" s="82"/>
      <c r="I146" s="82"/>
      <c r="J146" s="82"/>
      <c r="K146" s="82"/>
      <c r="L146" s="82"/>
      <c r="M146" s="82"/>
      <c r="N146" s="82"/>
      <c r="O146" s="82"/>
      <c r="P146" s="82"/>
      <c r="Q146" s="82"/>
      <c r="R146" s="82"/>
      <c r="S146" s="82"/>
      <c r="T146" s="82"/>
      <c r="V146" s="82"/>
      <c r="W146" s="82"/>
      <c r="X146" s="82"/>
      <c r="Y146" s="82"/>
      <c r="Z146" s="82"/>
      <c r="AA146" s="82"/>
      <c r="AB146" s="82"/>
      <c r="AC146" s="82"/>
      <c r="AD146" s="82"/>
      <c r="AE146" s="82"/>
      <c r="AF146" s="82"/>
      <c r="AG146" s="82"/>
      <c r="AH146" s="82"/>
      <c r="AJ146" s="82"/>
      <c r="AK146" s="82"/>
      <c r="AL146" s="82"/>
      <c r="AM146" s="82"/>
      <c r="AN146" s="82"/>
      <c r="AO146" s="82"/>
      <c r="AP146" s="82"/>
      <c r="AQ146" s="82"/>
      <c r="AR146" s="82"/>
      <c r="AS146" s="82"/>
      <c r="AT146" s="82"/>
      <c r="AU146" s="82"/>
      <c r="AV146" s="82"/>
      <c r="AX146" s="82"/>
      <c r="AY146" s="82"/>
      <c r="AZ146" s="82"/>
      <c r="BA146" s="82"/>
      <c r="BB146" s="83"/>
      <c r="BC146" s="82"/>
      <c r="BD146" s="82"/>
      <c r="BE146" s="82"/>
      <c r="BF146" s="82"/>
      <c r="BG146" s="82"/>
      <c r="BH146" s="82"/>
      <c r="BI146" s="82"/>
      <c r="BJ146" s="82"/>
      <c r="BK146" s="39"/>
    </row>
    <row r="147" spans="7:63" s="40" customFormat="1" ht="41.9" customHeight="1">
      <c r="G147" s="84" t="s">
        <v>60</v>
      </c>
      <c r="H147" s="85"/>
      <c r="I147" s="85"/>
      <c r="J147" s="85"/>
      <c r="K147" s="85"/>
      <c r="L147" s="85"/>
      <c r="M147" s="85"/>
      <c r="N147" s="85"/>
      <c r="O147" s="85"/>
      <c r="P147" s="85"/>
      <c r="Q147" s="85"/>
      <c r="R147" s="85"/>
      <c r="S147" s="85"/>
      <c r="T147" s="85"/>
      <c r="V147" s="591"/>
      <c r="W147" s="591"/>
      <c r="X147" s="591"/>
      <c r="Y147" s="591"/>
      <c r="Z147" s="591"/>
      <c r="AA147" s="591"/>
      <c r="AB147" s="591"/>
      <c r="AC147" s="591"/>
      <c r="AD147" s="591"/>
      <c r="AE147" s="591"/>
      <c r="AF147" s="591"/>
      <c r="AG147" s="591"/>
      <c r="AH147" s="592"/>
      <c r="AJ147" s="591">
        <f>SUM('SX PET:Phân bổ của TĐH'!C4)</f>
        <v>2980000000</v>
      </c>
      <c r="AK147" s="591">
        <f>SUM('SX PET:Phân bổ của TĐH'!D4)</f>
        <v>2990000000</v>
      </c>
      <c r="AL147" s="591">
        <f>SUM('SX PET:Phân bổ của TĐH'!E4)</f>
        <v>4459000000</v>
      </c>
      <c r="AM147" s="591">
        <f>SUM('SX PET:Phân bổ của TĐH'!F4)</f>
        <v>3365000000</v>
      </c>
      <c r="AN147" s="591">
        <f>SUM('SX PET:Phân bổ của TĐH'!G4)</f>
        <v>3355000000</v>
      </c>
      <c r="AO147" s="591">
        <f>SUM('SX PET:Phân bổ của TĐH'!H4)</f>
        <v>6159000000</v>
      </c>
      <c r="AP147" s="591">
        <f>SUM('SX PET:Phân bổ của TĐH'!I4)</f>
        <v>3415000000</v>
      </c>
      <c r="AQ147" s="591">
        <f>SUM('SX PET:Phân bổ của TĐH'!J4)</f>
        <v>3510000000</v>
      </c>
      <c r="AR147" s="591">
        <f>SUM('SX PET:Phân bổ của TĐH'!K4)</f>
        <v>4614000000</v>
      </c>
      <c r="AS147" s="591">
        <f>SUM('SX PET:Phân bổ của TĐH'!L4)</f>
        <v>3365000000</v>
      </c>
      <c r="AT147" s="591">
        <f>SUM('SX PET:Phân bổ của TĐH'!M4)</f>
        <v>3420000000</v>
      </c>
      <c r="AU147" s="591">
        <f>SUM('SX PET:Phân bổ của TĐH'!N4)</f>
        <v>8368000000</v>
      </c>
      <c r="AV147" s="592">
        <f>SUM(AJ147:AU147)</f>
        <v>50000000000</v>
      </c>
      <c r="AX147" s="86">
        <f>SUM('SX PET:Phân bổ của TĐH'!R4)</f>
        <v>1133666666.3333333</v>
      </c>
      <c r="AY147" s="86">
        <f>SUM('SX PET:Phân bổ của TĐH'!S4)</f>
        <v>1173666666.3333333</v>
      </c>
      <c r="AZ147" s="86">
        <f>SUM('SX PET:Phân bổ của TĐH'!T4)</f>
        <v>1283666666.3333333</v>
      </c>
      <c r="BA147" s="86">
        <f>SUM('SX PET:Phân bổ của TĐH'!U4)</f>
        <v>1283666666.3333333</v>
      </c>
      <c r="BB147" s="86">
        <f>SUM('SX PET:Phân bổ của TĐH'!V4)</f>
        <v>1283666666.3333333</v>
      </c>
      <c r="BC147" s="86">
        <f>SUM('SX PET:Phân bổ của TĐH'!W4)</f>
        <v>2535095237.333333</v>
      </c>
      <c r="BD147" s="86">
        <f>SUM('SX PET:Phân bổ của TĐH'!X4)</f>
        <v>1825095237.3333333</v>
      </c>
      <c r="BE147" s="86">
        <f>SUM('SX PET:Phân bổ của TĐH'!Y4)</f>
        <v>1825095237.3333333</v>
      </c>
      <c r="BF147" s="86">
        <f>SUM('SX PET:Phân bổ của TĐH'!Z4)</f>
        <v>1825095237.3333333</v>
      </c>
      <c r="BG147" s="86">
        <f>SUM('SX PET:Phân bổ của TĐH'!AA4)</f>
        <v>1625095237.3333333</v>
      </c>
      <c r="BH147" s="86">
        <f>SUM('SX PET:Phân bổ của TĐH'!AB4)</f>
        <v>1625095237.3333333</v>
      </c>
      <c r="BI147" s="86">
        <f>SUM('SX PET:Phân bổ của TĐH'!AC4)</f>
        <v>5385095237.333333</v>
      </c>
      <c r="BJ147" s="86">
        <f>SUM(AX147:BI147)</f>
        <v>22803999993</v>
      </c>
      <c r="BK147" s="39"/>
    </row>
    <row r="148" spans="7:63" s="87" customFormat="1" ht="41.9" customHeight="1">
      <c r="G148" s="88"/>
      <c r="H148" s="88"/>
      <c r="I148" s="88"/>
      <c r="J148" s="88"/>
      <c r="K148" s="88"/>
      <c r="L148" s="88"/>
      <c r="M148" s="88"/>
      <c r="N148" s="88"/>
      <c r="O148" s="88"/>
      <c r="P148" s="88"/>
      <c r="Q148" s="88"/>
      <c r="R148" s="88"/>
      <c r="S148" s="88"/>
      <c r="T148" s="88"/>
      <c r="V148" s="88"/>
      <c r="W148" s="88"/>
      <c r="X148" s="88"/>
      <c r="Y148" s="88"/>
      <c r="Z148" s="88"/>
      <c r="AA148" s="88"/>
      <c r="AB148" s="88"/>
      <c r="AC148" s="88"/>
      <c r="AD148" s="88"/>
      <c r="AE148" s="88"/>
      <c r="AF148" s="88"/>
      <c r="AG148" s="88"/>
      <c r="AH148" s="88"/>
      <c r="AJ148" s="88"/>
      <c r="AK148" s="88"/>
      <c r="AL148" s="88"/>
      <c r="AM148" s="88"/>
      <c r="AN148" s="88"/>
      <c r="AO148" s="88"/>
      <c r="AP148" s="88"/>
      <c r="AQ148" s="88"/>
      <c r="AR148" s="88"/>
      <c r="AS148" s="88"/>
      <c r="AT148" s="88"/>
      <c r="AU148" s="88"/>
      <c r="AV148" s="88"/>
      <c r="AX148" s="89">
        <f>AX143/AX147</f>
        <v>1.2111183875228877</v>
      </c>
      <c r="AY148" s="89">
        <f t="shared" ref="AY148" si="24">AY143/AY147</f>
        <v>0.68165838976516091</v>
      </c>
      <c r="AZ148" s="89">
        <f>AZ143/AZ147</f>
        <v>1.2374506785842314</v>
      </c>
      <c r="BA148" s="89">
        <f>BA143/BA147</f>
        <v>1.1480424943870047</v>
      </c>
      <c r="BB148" s="89">
        <f>BB143/BB147</f>
        <v>1.3183736423445152</v>
      </c>
      <c r="BC148" s="89">
        <f>BC143/BC147</f>
        <v>0.57643233222291612</v>
      </c>
      <c r="BD148" s="89">
        <f t="shared" ref="BD148:BJ148" si="25">BD143/BD147</f>
        <v>1.1092454337933828</v>
      </c>
      <c r="BE148" s="89">
        <f t="shared" si="25"/>
        <v>2.8546528174030605</v>
      </c>
      <c r="BF148" s="89">
        <f t="shared" si="25"/>
        <v>4.777957380214402</v>
      </c>
      <c r="BG148" s="89">
        <f t="shared" si="25"/>
        <v>1.8092023489139244</v>
      </c>
      <c r="BH148" s="89">
        <f t="shared" si="25"/>
        <v>2.7797566692496529</v>
      </c>
      <c r="BI148" s="89">
        <f t="shared" si="25"/>
        <v>0.71164092573880955</v>
      </c>
      <c r="BJ148" s="89">
        <f t="shared" si="25"/>
        <v>1.5625922731160706</v>
      </c>
      <c r="BK148" s="37"/>
    </row>
    <row r="149" spans="7:63" s="40" customFormat="1" ht="41.9" customHeight="1">
      <c r="G149" s="82" t="s">
        <v>339</v>
      </c>
      <c r="H149" s="82"/>
      <c r="I149" s="82"/>
      <c r="J149" s="82"/>
      <c r="K149" s="82"/>
      <c r="L149" s="82"/>
      <c r="M149" s="82"/>
      <c r="N149" s="82"/>
      <c r="O149" s="82"/>
      <c r="P149" s="82"/>
      <c r="Q149" s="82"/>
      <c r="R149" s="82"/>
      <c r="S149" s="82"/>
      <c r="T149" s="82"/>
      <c r="V149" s="82"/>
      <c r="W149" s="82"/>
      <c r="X149" s="82"/>
      <c r="Y149" s="82"/>
      <c r="Z149" s="82"/>
      <c r="AA149" s="82"/>
      <c r="AB149" s="82"/>
      <c r="AC149" s="82"/>
      <c r="AD149" s="82"/>
      <c r="AE149" s="82"/>
      <c r="AF149" s="82"/>
      <c r="AG149" s="82"/>
      <c r="AH149" s="82"/>
      <c r="AJ149" s="82"/>
      <c r="AK149" s="82"/>
      <c r="AL149" s="82"/>
      <c r="AM149" s="82"/>
      <c r="AN149" s="82"/>
      <c r="AO149" s="82"/>
      <c r="AP149" s="82"/>
      <c r="AQ149" s="82"/>
      <c r="AR149" s="82"/>
      <c r="AS149" s="82"/>
      <c r="AT149" s="82"/>
      <c r="AU149" s="82"/>
      <c r="AV149" s="82"/>
      <c r="AX149" s="133">
        <f>SUM('&gt;Cải tiến:KTTC'!C5)</f>
        <v>0</v>
      </c>
      <c r="AY149" s="133">
        <f>SUM('&gt;Cải tiến:KTTC'!D5)</f>
        <v>0</v>
      </c>
      <c r="AZ149" s="133">
        <f>SUM('&gt;Cải tiến:KTTC'!E5)</f>
        <v>0</v>
      </c>
      <c r="BA149" s="133">
        <f>SUM('&gt;Cải tiến:KTTC'!F5)</f>
        <v>0</v>
      </c>
      <c r="BB149" s="133">
        <f>SUM('&gt;Cải tiến:KTTC'!G5)</f>
        <v>0</v>
      </c>
      <c r="BC149" s="133">
        <f>SUM('&gt;Cải tiến:KTTC'!H5)</f>
        <v>0</v>
      </c>
      <c r="BD149" s="133">
        <f>SUM('&gt;Cải tiến:KTTC'!I5)</f>
        <v>0</v>
      </c>
      <c r="BE149" s="133">
        <f>SUM('&gt;Cải tiến:KTTC'!J5)</f>
        <v>0</v>
      </c>
      <c r="BF149" s="133">
        <f>SUM('&gt;Cải tiến:KTTC'!K5)</f>
        <v>0</v>
      </c>
      <c r="BG149" s="133">
        <f>SUM('&gt;Cải tiến:KTTC'!L5)</f>
        <v>0</v>
      </c>
      <c r="BH149" s="133">
        <f>SUM('&gt;Cải tiến:KTTC'!M5)</f>
        <v>0</v>
      </c>
      <c r="BI149" s="133">
        <f>SUM('&gt;Cải tiến:KTTC'!N5)</f>
        <v>0</v>
      </c>
      <c r="BJ149" s="134">
        <f>SUM(AX149:BI149)</f>
        <v>0</v>
      </c>
      <c r="BK149" s="39"/>
    </row>
    <row r="150" spans="7:63" s="135" customFormat="1" ht="41.9" customHeight="1">
      <c r="G150" s="136" t="s">
        <v>340</v>
      </c>
      <c r="H150" s="136"/>
      <c r="I150" s="136"/>
      <c r="J150" s="136"/>
      <c r="K150" s="136"/>
      <c r="L150" s="136"/>
      <c r="M150" s="136"/>
      <c r="N150" s="136"/>
      <c r="O150" s="136"/>
      <c r="P150" s="136"/>
      <c r="Q150" s="136"/>
      <c r="R150" s="136"/>
      <c r="S150" s="136"/>
      <c r="T150" s="136"/>
      <c r="V150" s="136"/>
      <c r="W150" s="136"/>
      <c r="X150" s="136"/>
      <c r="Y150" s="136"/>
      <c r="Z150" s="136"/>
      <c r="AA150" s="136"/>
      <c r="AB150" s="136"/>
      <c r="AC150" s="136"/>
      <c r="AD150" s="136"/>
      <c r="AE150" s="136"/>
      <c r="AF150" s="136"/>
      <c r="AG150" s="136"/>
      <c r="AH150" s="136"/>
      <c r="AJ150" s="136"/>
      <c r="AK150" s="136"/>
      <c r="AL150" s="136"/>
      <c r="AM150" s="136"/>
      <c r="AN150" s="136"/>
      <c r="AO150" s="136"/>
      <c r="AP150" s="136"/>
      <c r="AQ150" s="136"/>
      <c r="AR150" s="136"/>
      <c r="AS150" s="136"/>
      <c r="AT150" s="136"/>
      <c r="AU150" s="136"/>
      <c r="AV150" s="136"/>
      <c r="AX150" s="137">
        <f t="shared" ref="AX150:BJ150" si="26">AX143-AX149</f>
        <v>1373004544.9180741</v>
      </c>
      <c r="AY150" s="137">
        <f t="shared" si="26"/>
        <v>800039729.89382434</v>
      </c>
      <c r="AZ150" s="137">
        <f t="shared" si="26"/>
        <v>1588474187.3301413</v>
      </c>
      <c r="BA150" s="137">
        <f t="shared" si="26"/>
        <v>1473703881.5787706</v>
      </c>
      <c r="BB150" s="137">
        <f t="shared" si="26"/>
        <v>1692352298.4501181</v>
      </c>
      <c r="BC150" s="137">
        <f t="shared" si="26"/>
        <v>1461310860.0632601</v>
      </c>
      <c r="BD150" s="137">
        <f t="shared" si="26"/>
        <v>2024478558.2500501</v>
      </c>
      <c r="BE150" s="137">
        <f t="shared" si="26"/>
        <v>5210013261.2825069</v>
      </c>
      <c r="BF150" s="137">
        <f t="shared" si="26"/>
        <v>8720227258.810955</v>
      </c>
      <c r="BG150" s="137">
        <f>BG143-BG149</f>
        <v>2940126120.592298</v>
      </c>
      <c r="BH150" s="137">
        <f t="shared" si="26"/>
        <v>4517369324.1431808</v>
      </c>
      <c r="BI150" s="137">
        <f t="shared" si="26"/>
        <v>3832254159.8875475</v>
      </c>
      <c r="BJ150" s="137">
        <f t="shared" si="26"/>
        <v>35633354185.200729</v>
      </c>
      <c r="BK150" s="138"/>
    </row>
    <row r="151" spans="7:63" ht="41.9" customHeight="1">
      <c r="G151" s="84" t="s">
        <v>371</v>
      </c>
      <c r="H151" s="220"/>
      <c r="I151" s="220"/>
      <c r="J151" s="220"/>
      <c r="K151" s="220"/>
      <c r="L151" s="220"/>
      <c r="M151" s="220"/>
      <c r="N151" s="220"/>
      <c r="O151" s="220"/>
      <c r="P151" s="220"/>
      <c r="Q151" s="220"/>
      <c r="R151" s="220"/>
      <c r="S151" s="220"/>
      <c r="T151" s="220"/>
      <c r="V151" s="220"/>
      <c r="W151" s="220"/>
      <c r="X151" s="220"/>
      <c r="Y151" s="220"/>
      <c r="Z151" s="220"/>
      <c r="AA151" s="220"/>
      <c r="AB151" s="220"/>
      <c r="AC151" s="220"/>
      <c r="AD151" s="220"/>
      <c r="AE151" s="220"/>
      <c r="AF151" s="220"/>
      <c r="AG151" s="220"/>
      <c r="AH151" s="220"/>
      <c r="AJ151" s="220"/>
      <c r="AK151" s="220"/>
      <c r="AL151" s="220"/>
      <c r="AM151" s="220"/>
      <c r="AN151" s="220"/>
      <c r="AO151" s="220"/>
      <c r="AP151" s="220"/>
      <c r="AQ151" s="220"/>
      <c r="AR151" s="220"/>
      <c r="AS151" s="220"/>
      <c r="AT151" s="220"/>
      <c r="AU151" s="220"/>
      <c r="AV151" s="220"/>
      <c r="AX151" s="221">
        <v>1133666666.3333333</v>
      </c>
      <c r="AY151" s="221">
        <v>1173666666.3333333</v>
      </c>
      <c r="AZ151" s="221">
        <v>1283666666.3333333</v>
      </c>
      <c r="BA151" s="221">
        <v>1283666666.3333333</v>
      </c>
      <c r="BB151" s="221">
        <v>1283666666.3333333</v>
      </c>
      <c r="BC151" s="221">
        <v>2455095237.333333</v>
      </c>
      <c r="BD151" s="221">
        <v>1755095237.3333333</v>
      </c>
      <c r="BE151" s="221">
        <v>1755095237.3333333</v>
      </c>
      <c r="BF151" s="221">
        <v>1755095237.3333333</v>
      </c>
      <c r="BG151" s="221">
        <v>1555095237.3333333</v>
      </c>
      <c r="BH151" s="221">
        <v>1555095237.3333333</v>
      </c>
      <c r="BI151" s="221">
        <v>5385095237.333333</v>
      </c>
      <c r="BJ151" s="86">
        <f>SUM(AX151:BI151)</f>
        <v>22373999993.000004</v>
      </c>
    </row>
    <row r="152" spans="7:63" ht="41.9" customHeight="1">
      <c r="BB152" s="91"/>
      <c r="BC152" s="92"/>
      <c r="BI152" s="38"/>
    </row>
    <row r="153" spans="7:63" ht="41.9" customHeight="1">
      <c r="BB153" s="90"/>
      <c r="BC153" s="90"/>
    </row>
    <row r="154" spans="7:63" ht="41.9" customHeight="1">
      <c r="Q154" s="316"/>
      <c r="AF154" s="153"/>
      <c r="AH154" s="597"/>
      <c r="AT154" s="153"/>
      <c r="AV154" s="597"/>
      <c r="BB154" s="93"/>
      <c r="BC154" s="94"/>
      <c r="BD154" s="94"/>
      <c r="BE154" s="94"/>
      <c r="BF154" s="94"/>
      <c r="BG154" s="94"/>
      <c r="BH154" s="94"/>
      <c r="BI154" s="94"/>
      <c r="BJ154" s="94"/>
      <c r="BK154" s="95"/>
    </row>
    <row r="155" spans="7:63" ht="41.9" customHeight="1">
      <c r="H155" s="153"/>
      <c r="J155" s="96"/>
      <c r="Q155" s="316"/>
      <c r="V155" s="153"/>
      <c r="W155" s="153"/>
      <c r="AF155" s="153"/>
      <c r="AH155" s="597"/>
      <c r="AJ155" s="153"/>
      <c r="AK155" s="153"/>
      <c r="AT155" s="153"/>
      <c r="AV155" s="597"/>
      <c r="BB155" s="90"/>
      <c r="BC155" s="90"/>
    </row>
    <row r="156" spans="7:63" ht="41.9" customHeight="1">
      <c r="J156" s="96"/>
      <c r="Q156" s="316"/>
      <c r="V156" s="597"/>
      <c r="W156" s="597"/>
      <c r="X156" s="153"/>
      <c r="AF156" s="597"/>
      <c r="AJ156" s="597"/>
      <c r="AK156" s="597"/>
      <c r="AL156" s="153"/>
      <c r="AT156" s="597"/>
      <c r="BB156" s="90"/>
      <c r="BC156" s="90"/>
    </row>
    <row r="157" spans="7:63" ht="41.9" customHeight="1">
      <c r="Q157" s="316"/>
      <c r="BB157" s="90"/>
      <c r="BC157" s="90"/>
    </row>
    <row r="158" spans="7:63" ht="41.9" customHeight="1">
      <c r="Q158" s="316"/>
      <c r="BB158" s="90"/>
      <c r="BC158" s="90"/>
    </row>
    <row r="159" spans="7:63" ht="41.9" customHeight="1">
      <c r="Q159" s="316"/>
    </row>
    <row r="160" spans="7:63" ht="41.9" customHeight="1">
      <c r="Q160" s="316"/>
    </row>
    <row r="161" spans="11:55" ht="41.9" customHeight="1">
      <c r="Q161" s="316"/>
    </row>
    <row r="162" spans="11:55" ht="41.9" customHeight="1">
      <c r="K162" s="90"/>
      <c r="Q162" s="316"/>
      <c r="T162" s="90"/>
      <c r="BB162" s="38"/>
      <c r="BC162" s="38"/>
    </row>
    <row r="163" spans="11:55" ht="41.9" customHeight="1">
      <c r="K163" s="90"/>
      <c r="Q163" s="316"/>
      <c r="T163" s="90"/>
    </row>
    <row r="164" spans="11:55" ht="41.9" customHeight="1">
      <c r="K164" s="90"/>
      <c r="Q164" s="316"/>
      <c r="T164" s="90"/>
    </row>
    <row r="165" spans="11:55" ht="41.9" customHeight="1">
      <c r="Q165" s="316"/>
    </row>
    <row r="166" spans="11:55" ht="41.9" customHeight="1">
      <c r="Q166" s="316"/>
    </row>
    <row r="167" spans="11:55" ht="41.9" customHeight="1">
      <c r="Q167" s="316"/>
    </row>
    <row r="168" spans="11:55" ht="41.9" customHeight="1">
      <c r="Q168" s="316"/>
    </row>
    <row r="169" spans="11:55" ht="41.9" customHeight="1">
      <c r="Q169" s="316"/>
    </row>
    <row r="170" spans="11:55" ht="41.9" customHeight="1">
      <c r="L170" s="90"/>
      <c r="M170" s="90"/>
      <c r="O170" s="90"/>
      <c r="P170" s="90"/>
      <c r="Q170" s="316"/>
      <c r="R170" s="90"/>
      <c r="S170" s="90"/>
      <c r="V170" s="90"/>
      <c r="W170" s="90"/>
      <c r="X170" s="90"/>
      <c r="Y170" s="90"/>
      <c r="Z170" s="90"/>
      <c r="AA170" s="90"/>
      <c r="AB170" s="90"/>
      <c r="AC170" s="90"/>
      <c r="AD170" s="90"/>
      <c r="AE170" s="90"/>
      <c r="AF170" s="90"/>
      <c r="AG170" s="90"/>
      <c r="AH170" s="90"/>
      <c r="AJ170" s="90"/>
      <c r="AK170" s="90"/>
      <c r="AL170" s="90"/>
      <c r="AM170" s="90"/>
      <c r="AN170" s="90"/>
      <c r="AO170" s="90"/>
      <c r="AP170" s="90"/>
      <c r="AQ170" s="90"/>
      <c r="AR170" s="90"/>
      <c r="AS170" s="90"/>
      <c r="AT170" s="90"/>
      <c r="AU170" s="90"/>
      <c r="AV170" s="90"/>
    </row>
    <row r="171" spans="11:55" ht="41.9" customHeight="1">
      <c r="K171"/>
      <c r="L171" s="90"/>
      <c r="M171" s="90"/>
      <c r="N171" s="90"/>
      <c r="O171" s="90"/>
      <c r="P171" s="90"/>
      <c r="Q171" s="90"/>
      <c r="R171" s="90"/>
      <c r="S171" s="90"/>
      <c r="T171"/>
      <c r="V171" s="90"/>
      <c r="W171" s="90"/>
      <c r="X171" s="90"/>
      <c r="Y171" s="90"/>
      <c r="Z171" s="90"/>
      <c r="AA171" s="90"/>
      <c r="AB171" s="90"/>
      <c r="AC171" s="90"/>
      <c r="AD171" s="90"/>
      <c r="AE171" s="90"/>
      <c r="AF171" s="90"/>
      <c r="AG171" s="90"/>
      <c r="AH171" s="90"/>
      <c r="AJ171" s="90"/>
      <c r="AK171" s="90"/>
      <c r="AL171" s="90"/>
      <c r="AM171" s="90"/>
      <c r="AN171" s="90"/>
      <c r="AO171" s="90"/>
      <c r="AP171" s="90"/>
      <c r="AQ171" s="90"/>
      <c r="AR171" s="90"/>
      <c r="AS171" s="90"/>
      <c r="AT171" s="90"/>
      <c r="AU171" s="90"/>
      <c r="AV171" s="90"/>
    </row>
    <row r="172" spans="11:55" ht="41.9" customHeight="1">
      <c r="K172"/>
      <c r="L172" s="90"/>
      <c r="M172" s="90"/>
      <c r="N172" s="90"/>
      <c r="O172" s="90"/>
      <c r="P172" s="90"/>
      <c r="Q172" s="90"/>
      <c r="R172" s="90"/>
      <c r="S172" s="90"/>
      <c r="T172"/>
      <c r="V172" s="90"/>
      <c r="W172" s="90"/>
      <c r="X172" s="90"/>
      <c r="Y172" s="90"/>
      <c r="Z172" s="90"/>
      <c r="AA172" s="90"/>
      <c r="AB172" s="90"/>
      <c r="AC172" s="90"/>
      <c r="AD172" s="90"/>
      <c r="AE172" s="90"/>
      <c r="AF172" s="90"/>
      <c r="AG172" s="90"/>
      <c r="AH172" s="90"/>
      <c r="AJ172" s="90"/>
      <c r="AK172" s="90"/>
      <c r="AL172" s="90"/>
      <c r="AM172" s="90"/>
      <c r="AN172" s="90"/>
      <c r="AO172" s="90"/>
      <c r="AP172" s="90"/>
      <c r="AQ172" s="90"/>
      <c r="AR172" s="90"/>
      <c r="AS172" s="90"/>
      <c r="AT172" s="90"/>
      <c r="AU172" s="90"/>
      <c r="AV172" s="90"/>
    </row>
    <row r="173" spans="11:55" ht="41.9" customHeight="1">
      <c r="K173"/>
      <c r="L173" s="90"/>
      <c r="M173" s="90"/>
      <c r="N173" s="90"/>
      <c r="O173" s="90"/>
      <c r="P173" s="90"/>
      <c r="Q173" s="90"/>
      <c r="R173" s="90"/>
      <c r="S173" s="90"/>
      <c r="T173"/>
      <c r="V173" s="90"/>
      <c r="W173" s="90"/>
      <c r="X173" s="90"/>
      <c r="Y173" s="90"/>
      <c r="Z173" s="90"/>
      <c r="AA173" s="90"/>
      <c r="AB173" s="90"/>
      <c r="AC173" s="90"/>
      <c r="AD173" s="90"/>
      <c r="AE173" s="90"/>
      <c r="AF173" s="90"/>
      <c r="AG173" s="90"/>
      <c r="AH173" s="90"/>
      <c r="AJ173" s="90"/>
      <c r="AK173" s="90"/>
      <c r="AL173" s="90"/>
      <c r="AM173" s="90"/>
      <c r="AN173" s="90"/>
      <c r="AO173" s="90"/>
      <c r="AP173" s="90"/>
      <c r="AQ173" s="90"/>
      <c r="AR173" s="90"/>
      <c r="AS173" s="90"/>
      <c r="AT173" s="90"/>
      <c r="AU173" s="90"/>
      <c r="AV173" s="90"/>
    </row>
    <row r="174" spans="11:55" ht="41.9" customHeight="1">
      <c r="K174"/>
      <c r="T174"/>
    </row>
    <row r="175" spans="11:55" ht="41.9" customHeight="1">
      <c r="K175"/>
      <c r="T175"/>
    </row>
    <row r="176" spans="11:55" ht="41.9" customHeight="1">
      <c r="K176"/>
      <c r="L176" s="38"/>
      <c r="M176" s="38"/>
      <c r="N176" s="38"/>
      <c r="O176" s="38"/>
      <c r="P176" s="38"/>
      <c r="Q176" s="38"/>
      <c r="R176" s="38"/>
      <c r="S176" s="38"/>
      <c r="T176"/>
      <c r="V176" s="38"/>
      <c r="W176" s="38"/>
      <c r="X176" s="38"/>
      <c r="Y176" s="38"/>
      <c r="Z176" s="38"/>
      <c r="AA176" s="38"/>
      <c r="AB176" s="38"/>
      <c r="AC176" s="38"/>
      <c r="AD176" s="38"/>
      <c r="AE176" s="38"/>
      <c r="AF176" s="38"/>
      <c r="AG176" s="38"/>
      <c r="AH176" s="38"/>
      <c r="AJ176" s="38"/>
      <c r="AK176" s="38"/>
      <c r="AL176" s="38"/>
      <c r="AM176" s="38"/>
      <c r="AN176" s="38"/>
      <c r="AO176" s="38"/>
      <c r="AP176" s="38"/>
      <c r="AQ176" s="38"/>
      <c r="AR176" s="38"/>
      <c r="AS176" s="38"/>
      <c r="AT176" s="38"/>
      <c r="AU176" s="38"/>
      <c r="AV176" s="38"/>
    </row>
    <row r="177" spans="11:20" ht="41.9" customHeight="1">
      <c r="K177"/>
      <c r="T177"/>
    </row>
    <row r="178" spans="11:20" ht="41.9" customHeight="1">
      <c r="K178"/>
      <c r="T178"/>
    </row>
    <row r="179" spans="11:20" ht="41.9" customHeight="1">
      <c r="K179"/>
      <c r="T179"/>
    </row>
    <row r="180" spans="11:20" ht="41.9" customHeight="1">
      <c r="K180"/>
      <c r="T180"/>
    </row>
    <row r="181" spans="11:20" ht="41.9" customHeight="1">
      <c r="K181"/>
      <c r="T181"/>
    </row>
    <row r="182" spans="11:20" ht="41.9" customHeight="1">
      <c r="K182"/>
      <c r="T182"/>
    </row>
    <row r="183" spans="11:20" ht="41.9" customHeight="1">
      <c r="K183"/>
      <c r="T183"/>
    </row>
    <row r="184" spans="11:20" ht="41.9" customHeight="1">
      <c r="K184"/>
      <c r="T184"/>
    </row>
  </sheetData>
  <autoFilter ref="A3:BK143" xr:uid="{00000000-0001-0000-0000-000000000000}"/>
  <sortState xmlns:xlrd2="http://schemas.microsoft.com/office/spreadsheetml/2017/richdata2" ref="G2:K3">
    <sortCondition ref="G2:G3"/>
  </sortState>
  <mergeCells count="22">
    <mergeCell ref="G2:G3"/>
    <mergeCell ref="K2:K3"/>
    <mergeCell ref="H2:H3"/>
    <mergeCell ref="J2:J3"/>
    <mergeCell ref="N2:N3"/>
    <mergeCell ref="I2:I3"/>
    <mergeCell ref="L2:L3"/>
    <mergeCell ref="M2:M3"/>
    <mergeCell ref="O2:O3"/>
    <mergeCell ref="Q2:Q3"/>
    <mergeCell ref="R2:R3"/>
    <mergeCell ref="AX2:BJ2"/>
    <mergeCell ref="AJ2:AV2"/>
    <mergeCell ref="P2:P3"/>
    <mergeCell ref="T2:T3"/>
    <mergeCell ref="V2:AH2"/>
    <mergeCell ref="D2:D3"/>
    <mergeCell ref="A2:A3"/>
    <mergeCell ref="E2:E3"/>
    <mergeCell ref="F2:F3"/>
    <mergeCell ref="B2:B3"/>
    <mergeCell ref="C2:C3"/>
  </mergeCells>
  <phoneticPr fontId="14" type="noConversion"/>
  <conditionalFormatting sqref="D4:D142">
    <cfRule type="duplicateValues" dxfId="8" priority="11"/>
  </conditionalFormatting>
  <dataValidations disablePrompts="1" count="2">
    <dataValidation type="list" allowBlank="1" showInputMessage="1" showErrorMessage="1" sqref="E4:E142" xr:uid="{36D71AB2-B669-4DDB-9E9D-201C2E9D06CE}">
      <formula1>LIST_CT</formula1>
    </dataValidation>
    <dataValidation type="list" allowBlank="1" showInputMessage="1" showErrorMessage="1" sqref="G4:G142" xr:uid="{1AC5069F-785E-4226-8724-0FD205D70B97}">
      <formula1>Department</formula1>
    </dataValidation>
  </dataValidations>
  <hyperlinks>
    <hyperlink ref="N23" r:id="rId1" location="Sheet1!A1" xr:uid="{331F112E-8E12-4E1C-9B16-2EA8A08373F4}"/>
    <hyperlink ref="N24" r:id="rId2" location="Thuế!A1" xr:uid="{BEF58C5B-3250-4D8D-A3C1-C54703565B36}"/>
    <hyperlink ref="N25" r:id="rId3" location="'Bán USD'!A1" xr:uid="{28839811-8420-4AF8-8B11-65055B00EC74}"/>
    <hyperlink ref="N26" r:id="rId4" location="'Đảo nợ'!A1" xr:uid="{DB292456-8812-46CF-8EC5-A42CB8E3CBC3}"/>
    <hyperlink ref="N22" r:id="rId5" location="Sheet1!A1" xr:uid="{0BF0976C-F71C-4DFC-988E-E94AD5BB13D4}"/>
    <hyperlink ref="N21" r:id="rId6" location="Sheet1!A1" xr:uid="{52A24BCE-B168-48ED-9515-0B92E3029584}"/>
    <hyperlink ref="N20" r:id="rId7" location="'Tiết kiệm-Tháng'!A1" xr:uid="{A29040E3-362A-4778-B73B-9E2B64FBF70F}"/>
    <hyperlink ref="N19" r:id="rId8" location="Sheet1!A1" xr:uid="{0DA9D1E0-A283-490F-A5E1-FEE0187A5324}"/>
    <hyperlink ref="N18" r:id="rId9" location="Ryan!A1" xr:uid="{2D8CA054-6D19-4B62-BD69-BC69562B94D1}"/>
    <hyperlink ref="N17" r:id="rId10" location="'Blending silo'!A1" xr:uid="{25D9937F-19FA-426B-9CFD-08E2197D6428}"/>
    <hyperlink ref="N16" r:id="rId11" location="'VỆ SINH SIN HÀN  DẦU CÁC MÁY'!A1" xr:uid="{EB621A56-1844-4ADA-AAAD-A7FB5E196CE2}"/>
    <hyperlink ref="N15" r:id="rId12" location="'Đổi NCC khuôn Starlinger'!A1" xr:uid="{73C02BE9-F215-45D3-94DA-068103D2BEA7}"/>
    <hyperlink ref="N14" r:id="rId13" location="'Lưới lọc Starlinger'!A1" xr:uid="{98465E8C-6610-4BD7-A269-F264825226A6}"/>
    <hyperlink ref="N13" r:id="rId14" location="'4.TIẾT KIỆM NĂM 2024'!A1" xr:uid="{735363E9-4647-48E0-B007-456ACED0AE71}"/>
    <hyperlink ref="N12" r:id="rId15" location="'3. CT LỰA CHAI CHUYỀN PET 1+2'!A1" xr:uid="{06E3D8FE-738F-4A33-9110-8036BAD990C0}"/>
    <hyperlink ref="N11" r:id="rId16" location="'2. CẢI TIẾN LẮP HỆ THỐNG XẢ BAO'!A1" xr:uid="{1CD167E2-C310-41B7-A227-48001D2A3615}"/>
    <hyperlink ref="N10" r:id="rId17" location="'1. CẢI TIẾN LỘT NHÃN +  BĂM LAV'!A1" xr:uid="{6123E5E6-5645-47B8-B472-B8F6A3205F21}"/>
    <hyperlink ref="N9" r:id="rId18" location="'Chi phí'!A1" xr:uid="{1CC274E8-6629-44B4-8061-DE71A18CBEC8}"/>
    <hyperlink ref="N8" r:id="rId19" location="'Tổng tiết kiệm'!A1" xr:uid="{D31E1196-63BD-4804-B92F-B804D9A42E29}"/>
    <hyperlink ref="N7" r:id="rId20" location="'Tổng tiết kiệm'!A1" xr:uid="{440038AF-B26F-48D6-80E2-F990BBBC7922}"/>
    <hyperlink ref="N4" r:id="rId21" location="Sheet1!A31" xr:uid="{D630E435-C275-4175-9E6B-23CD997435B6}"/>
    <hyperlink ref="N6" r:id="rId22" location="Sheet1!A14" xr:uid="{16793638-8B55-4321-837C-2A34BD003791}"/>
    <hyperlink ref="N5" r:id="rId23" location="Sheet1!A13" xr:uid="{BEADAFAE-3E90-4AC5-8582-2D33C586E5D1}"/>
    <hyperlink ref="N33" r:id="rId24" location="'Tiết kiệm'!A1" xr:uid="{82EF66DB-99AA-48EC-B0B2-995A22E738A8}"/>
    <hyperlink ref="N34" r:id="rId25" location="'Tiết kiệm'!A1" xr:uid="{C6067674-F874-446C-9646-545F5211028B}"/>
    <hyperlink ref="N32" r:id="rId26" xr:uid="{2E1E9215-A1A3-4369-B028-E26246209D3E}"/>
    <hyperlink ref="N28" r:id="rId27" xr:uid="{0900EEA1-1774-4F07-B94E-378EA3B8B2FC}"/>
    <hyperlink ref="N27" r:id="rId28" xr:uid="{856A1203-1531-43EF-BF37-473B0D426434}"/>
    <hyperlink ref="N35" r:id="rId29" xr:uid="{453AE2B4-C7A6-4997-9790-F0387FDF40B4}"/>
    <hyperlink ref="N37" r:id="rId30" xr:uid="{CAE88629-84E5-4D05-86EF-AD7A7691C07B}"/>
    <hyperlink ref="N40" r:id="rId31" xr:uid="{2BDD0F60-52D0-47E1-9DFA-F4166BBE1E81}"/>
    <hyperlink ref="N39" r:id="rId32" xr:uid="{0958481C-0F86-4A1E-90FE-F53B8754664F}"/>
    <hyperlink ref="N38" r:id="rId33" xr:uid="{B4B86878-8F23-40EA-8AEB-36C67F906BF5}"/>
    <hyperlink ref="N42" r:id="rId34" xr:uid="{D0617EB0-B7CC-4BDC-9126-3B90E21E52CA}"/>
    <hyperlink ref="N43" r:id="rId35" xr:uid="{4B343706-8560-48D2-8388-2BE29A5AA880}"/>
    <hyperlink ref="N44" r:id="rId36" xr:uid="{0119441C-FCA4-44E9-8B05-2043DD1C6724}"/>
    <hyperlink ref="N45" r:id="rId37" xr:uid="{937E1291-7F0A-4692-8FF4-831CD612CE56}"/>
    <hyperlink ref="N46" r:id="rId38" xr:uid="{4A71E2E1-F74D-4E22-AC82-C5369B6FA29D}"/>
    <hyperlink ref="N29" r:id="rId39" xr:uid="{BE4478BE-FE6F-4C97-891C-436FD3495428}"/>
    <hyperlink ref="N30" r:id="rId40" xr:uid="{D6AF79E2-5F80-4D12-A95D-13DC2B4E8921}"/>
    <hyperlink ref="N31" r:id="rId41" xr:uid="{5F35759A-9062-4CA3-BB2B-212C7FDA19BD}"/>
  </hyperlinks>
  <pageMargins left="0.41" right="0.46" top="0.54" bottom="0.49" header="0.28000000000000003" footer="0.17"/>
  <pageSetup paperSize="9" scale="38" orientation="landscape" r:id="rId42"/>
  <legacyDrawing r:id="rId4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262892E-08CB-4661-8405-FBBCE52713D2}">
          <x14:formula1>
            <xm:f>MD!$C$19:$C$21</xm:f>
          </x14:formula1>
          <xm:sqref>F4:F142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20C34-076E-46A1-8796-FC70C2D4653B}">
  <sheetPr codeName="Sheet20">
    <tabColor rgb="FF119303"/>
  </sheetPr>
  <dimension ref="A1:AG77"/>
  <sheetViews>
    <sheetView showGridLines="0" zoomScale="85" zoomScaleNormal="85" workbookViewId="0">
      <selection activeCell="S58" sqref="S58"/>
    </sheetView>
  </sheetViews>
  <sheetFormatPr defaultColWidth="8.54296875" defaultRowHeight="14"/>
  <cols>
    <col min="1" max="1" width="8.54296875" style="156"/>
    <col min="2" max="2" width="27.54296875" style="156" customWidth="1"/>
    <col min="3" max="18" width="8.54296875" style="156"/>
    <col min="19" max="19" width="26.453125" style="156" customWidth="1"/>
    <col min="20" max="32" width="8.54296875" style="156"/>
    <col min="33" max="33" width="12.54296875" style="156" customWidth="1"/>
    <col min="34" max="16384" width="8.54296875" style="156"/>
  </cols>
  <sheetData>
    <row r="1" spans="1:33" ht="16.5">
      <c r="B1" s="199" t="s">
        <v>383</v>
      </c>
    </row>
    <row r="3" spans="1:33" ht="16.5">
      <c r="B3" s="199" t="s">
        <v>117</v>
      </c>
    </row>
    <row r="4" spans="1:33">
      <c r="B4" s="233" t="s">
        <v>374</v>
      </c>
      <c r="S4" s="232"/>
    </row>
    <row r="5" spans="1:33">
      <c r="A5" s="237" t="s">
        <v>0</v>
      </c>
      <c r="B5" s="238" t="s">
        <v>375</v>
      </c>
      <c r="C5" s="239">
        <v>2025</v>
      </c>
      <c r="D5" s="239">
        <v>1</v>
      </c>
      <c r="E5" s="239">
        <v>2</v>
      </c>
      <c r="F5" s="239">
        <v>3</v>
      </c>
      <c r="G5" s="239">
        <v>4</v>
      </c>
      <c r="H5" s="239">
        <v>5</v>
      </c>
      <c r="I5" s="239">
        <v>6</v>
      </c>
      <c r="J5" s="239">
        <v>7</v>
      </c>
      <c r="K5" s="239">
        <v>8</v>
      </c>
      <c r="L5" s="239">
        <v>9</v>
      </c>
      <c r="M5" s="239">
        <v>10</v>
      </c>
      <c r="N5" s="239">
        <v>11</v>
      </c>
      <c r="O5" s="240">
        <v>12</v>
      </c>
      <c r="R5" s="237" t="s">
        <v>0</v>
      </c>
      <c r="S5" s="238" t="s">
        <v>375</v>
      </c>
      <c r="T5" s="239">
        <v>2025</v>
      </c>
      <c r="U5" s="239">
        <v>1</v>
      </c>
      <c r="V5" s="239">
        <v>2</v>
      </c>
      <c r="W5" s="239">
        <v>3</v>
      </c>
      <c r="X5" s="239">
        <v>4</v>
      </c>
      <c r="Y5" s="239">
        <v>5</v>
      </c>
      <c r="Z5" s="239">
        <v>6</v>
      </c>
      <c r="AA5" s="239">
        <v>7</v>
      </c>
      <c r="AB5" s="239">
        <v>8</v>
      </c>
      <c r="AC5" s="239">
        <v>9</v>
      </c>
      <c r="AD5" s="239">
        <v>10</v>
      </c>
      <c r="AE5" s="239">
        <v>11</v>
      </c>
      <c r="AF5" s="240">
        <v>12</v>
      </c>
    </row>
    <row r="6" spans="1:33">
      <c r="A6" s="226">
        <v>1</v>
      </c>
      <c r="B6" s="224" t="s">
        <v>164</v>
      </c>
      <c r="C6" s="255">
        <f>SUM(D6:O6)</f>
        <v>0</v>
      </c>
      <c r="D6" s="235">
        <f>SUMIFS('GTTK chung'!$P$4:$P$143,'GTTK chung'!$Q$4:$Q$143,2025,'GTTK chung'!$Q$4:$Q$143,D$5,'GTTK chung'!$E$4:$E$143,$B6,'GTTK chung'!$F$4:$F$143,"PET")</f>
        <v>0</v>
      </c>
      <c r="E6" s="235">
        <f>SUMIFS('GTTK chung'!$P$4:$P$143,'GTTK chung'!$Q$4:$Q$143,2025,'GTTK chung'!$Q$4:$Q$143,E$5,'GTTK chung'!$E$4:$E$143,$B6,'GTTK chung'!$F$4:$F$143,"PET")</f>
        <v>0</v>
      </c>
      <c r="F6" s="235">
        <f>SUMIFS('GTTK chung'!$P$4:$P$143,'GTTK chung'!$Q$4:$Q$143,2025,'GTTK chung'!$Q$4:$Q$143,F$5,'GTTK chung'!$E$4:$E$143,$B6,'GTTK chung'!$F$4:$F$143,"PET")</f>
        <v>0</v>
      </c>
      <c r="G6" s="235">
        <f>SUMIFS('GTTK chung'!$P$4:$P$143,'GTTK chung'!$Q$4:$Q$143,2025,'GTTK chung'!$Q$4:$Q$143,G$5,'GTTK chung'!$E$4:$E$143,$B6,'GTTK chung'!$F$4:$F$143,"PET")</f>
        <v>0</v>
      </c>
      <c r="H6" s="235">
        <f>SUMIFS('GTTK chung'!$P$4:$P$143,'GTTK chung'!$Q$4:$Q$143,2025,'GTTK chung'!$Q$4:$Q$143,H$5,'GTTK chung'!$E$4:$E$143,$B6,'GTTK chung'!$F$4:$F$143,"PET")</f>
        <v>0</v>
      </c>
      <c r="I6" s="235">
        <f>SUMIFS('GTTK chung'!$P$4:$P$143,'GTTK chung'!$Q$4:$Q$143,2025,'GTTK chung'!$Q$4:$Q$143,I$5,'GTTK chung'!$E$4:$E$143,$B6,'GTTK chung'!$F$4:$F$143,"PET")</f>
        <v>0</v>
      </c>
      <c r="J6" s="235">
        <f>SUMIFS('GTTK chung'!$P$4:$P$143,'GTTK chung'!$Q$4:$Q$143,2025,'GTTK chung'!$Q$4:$Q$143,J$5,'GTTK chung'!$E$4:$E$143,$B6,'GTTK chung'!$F$4:$F$143,"PET")</f>
        <v>0</v>
      </c>
      <c r="K6" s="235">
        <f>SUMIFS('GTTK chung'!$P$4:$P$143,'GTTK chung'!$Q$4:$Q$143,2025,'GTTK chung'!$Q$4:$Q$143,K$5,'GTTK chung'!$E$4:$E$143,$B6,'GTTK chung'!$F$4:$F$143,"PET")</f>
        <v>0</v>
      </c>
      <c r="L6" s="235">
        <f>SUMIFS('GTTK chung'!$P$4:$P$143,'GTTK chung'!$Q$4:$Q$143,2025,'GTTK chung'!$Q$4:$Q$143,L$5,'GTTK chung'!$E$4:$E$143,$B6,'GTTK chung'!$F$4:$F$143,"PET")</f>
        <v>0</v>
      </c>
      <c r="M6" s="235">
        <f>SUMIFS('GTTK chung'!$P$4:$P$143,'GTTK chung'!$Q$4:$Q$143,2025,'GTTK chung'!$Q$4:$Q$143,M$5,'GTTK chung'!$E$4:$E$143,$B6,'GTTK chung'!$F$4:$F$143,"PET")</f>
        <v>0</v>
      </c>
      <c r="N6" s="235">
        <f>SUMIFS('GTTK chung'!$P$4:$P$143,'GTTK chung'!$Q$4:$Q$143,2025,'GTTK chung'!$Q$4:$Q$143,N$5,'GTTK chung'!$E$4:$E$143,$B6,'GTTK chung'!$F$4:$F$143,"PET")</f>
        <v>0</v>
      </c>
      <c r="O6" s="235">
        <f>SUMIFS('GTTK chung'!$P$4:$P$143,'GTTK chung'!$Q$4:$Q$143,2025,'GTTK chung'!$Q$4:$Q$143,O$5,'GTTK chung'!$E$4:$E$143,$B6,'GTTK chung'!$F$4:$F$143,"PET")</f>
        <v>0</v>
      </c>
      <c r="R6" s="226">
        <v>1</v>
      </c>
      <c r="S6" s="224" t="s">
        <v>164</v>
      </c>
      <c r="T6" s="255"/>
      <c r="U6" s="235">
        <f>SUM($D6:D6)</f>
        <v>0</v>
      </c>
      <c r="V6" s="235">
        <f>SUM($D6:E6)</f>
        <v>0</v>
      </c>
      <c r="W6" s="235">
        <f>SUM($D6:F6)</f>
        <v>0</v>
      </c>
      <c r="X6" s="235">
        <f>SUM($D6:G6)</f>
        <v>0</v>
      </c>
      <c r="Y6" s="235">
        <f>SUM($D6:H6)</f>
        <v>0</v>
      </c>
      <c r="Z6" s="235">
        <f>SUM($D6:I6)</f>
        <v>0</v>
      </c>
      <c r="AA6" s="235">
        <f>SUM($D6:J6)</f>
        <v>0</v>
      </c>
      <c r="AB6" s="235">
        <f>SUM($D6:K6)</f>
        <v>0</v>
      </c>
      <c r="AC6" s="235">
        <f>SUM($D6:L6)</f>
        <v>0</v>
      </c>
      <c r="AD6" s="235">
        <f>SUM($D6:M6)</f>
        <v>0</v>
      </c>
      <c r="AE6" s="235">
        <f>SUM($D6:N6)</f>
        <v>0</v>
      </c>
      <c r="AF6" s="235">
        <f>SUM($D6:O6)</f>
        <v>0</v>
      </c>
      <c r="AG6" s="258"/>
    </row>
    <row r="7" spans="1:33">
      <c r="A7" s="228">
        <v>2</v>
      </c>
      <c r="B7" s="225" t="s">
        <v>31</v>
      </c>
      <c r="C7" s="256">
        <f t="shared" ref="C7:C13" si="0">SUM(D7:O7)</f>
        <v>0</v>
      </c>
      <c r="D7" s="236">
        <f>SUMIFS('GTTK chung'!$P$4:$P$143,'GTTK chung'!$Q$4:$Q$143,2025,'GTTK chung'!$Q$4:$Q$143,D$5,'GTTK chung'!$E$4:$E$143,$B7,'GTTK chung'!$F$4:$F$143,"PET")</f>
        <v>0</v>
      </c>
      <c r="E7" s="236">
        <f>SUMIFS('GTTK chung'!$P$4:$P$143,'GTTK chung'!$Q$4:$Q$143,2025,'GTTK chung'!$Q$4:$Q$143,E$5,'GTTK chung'!$E$4:$E$143,$B7,'GTTK chung'!$F$4:$F$143,"PET")</f>
        <v>0</v>
      </c>
      <c r="F7" s="236">
        <f>SUMIFS('GTTK chung'!$P$4:$P$143,'GTTK chung'!$Q$4:$Q$143,2025,'GTTK chung'!$Q$4:$Q$143,F$5,'GTTK chung'!$E$4:$E$143,$B7,'GTTK chung'!$F$4:$F$143,"PET")</f>
        <v>0</v>
      </c>
      <c r="G7" s="236">
        <f>SUMIFS('GTTK chung'!$P$4:$P$143,'GTTK chung'!$Q$4:$Q$143,2025,'GTTK chung'!$Q$4:$Q$143,G$5,'GTTK chung'!$E$4:$E$143,$B7,'GTTK chung'!$F$4:$F$143,"PET")</f>
        <v>0</v>
      </c>
      <c r="H7" s="236">
        <f>SUMIFS('GTTK chung'!$P$4:$P$143,'GTTK chung'!$Q$4:$Q$143,2025,'GTTK chung'!$Q$4:$Q$143,H$5,'GTTK chung'!$E$4:$E$143,$B7,'GTTK chung'!$F$4:$F$143,"PET")</f>
        <v>0</v>
      </c>
      <c r="I7" s="236">
        <f>SUMIFS('GTTK chung'!$P$4:$P$143,'GTTK chung'!$Q$4:$Q$143,2025,'GTTK chung'!$Q$4:$Q$143,I$5,'GTTK chung'!$E$4:$E$143,$B7,'GTTK chung'!$F$4:$F$143,"PET")</f>
        <v>0</v>
      </c>
      <c r="J7" s="236">
        <f>SUMIFS('GTTK chung'!$P$4:$P$143,'GTTK chung'!$Q$4:$Q$143,2025,'GTTK chung'!$Q$4:$Q$143,J$5,'GTTK chung'!$E$4:$E$143,$B7,'GTTK chung'!$F$4:$F$143,"PET")</f>
        <v>0</v>
      </c>
      <c r="K7" s="236">
        <f>SUMIFS('GTTK chung'!$P$4:$P$143,'GTTK chung'!$Q$4:$Q$143,2025,'GTTK chung'!$Q$4:$Q$143,K$5,'GTTK chung'!$E$4:$E$143,$B7,'GTTK chung'!$F$4:$F$143,"PET")</f>
        <v>0</v>
      </c>
      <c r="L7" s="236">
        <f>SUMIFS('GTTK chung'!$P$4:$P$143,'GTTK chung'!$Q$4:$Q$143,2025,'GTTK chung'!$Q$4:$Q$143,L$5,'GTTK chung'!$E$4:$E$143,$B7,'GTTK chung'!$F$4:$F$143,"PET")</f>
        <v>0</v>
      </c>
      <c r="M7" s="236">
        <f>SUMIFS('GTTK chung'!$P$4:$P$143,'GTTK chung'!$Q$4:$Q$143,2025,'GTTK chung'!$Q$4:$Q$143,M$5,'GTTK chung'!$E$4:$E$143,$B7,'GTTK chung'!$F$4:$F$143,"PET")</f>
        <v>0</v>
      </c>
      <c r="N7" s="236">
        <f>SUMIFS('GTTK chung'!$P$4:$P$143,'GTTK chung'!$Q$4:$Q$143,2025,'GTTK chung'!$Q$4:$Q$143,N$5,'GTTK chung'!$E$4:$E$143,$B7,'GTTK chung'!$F$4:$F$143,"PET")</f>
        <v>0</v>
      </c>
      <c r="O7" s="236">
        <f>SUMIFS('GTTK chung'!$P$4:$P$143,'GTTK chung'!$Q$4:$Q$143,2025,'GTTK chung'!$Q$4:$Q$143,O$5,'GTTK chung'!$E$4:$E$143,$B7,'GTTK chung'!$F$4:$F$143,"PET")</f>
        <v>0</v>
      </c>
      <c r="R7" s="228">
        <v>2</v>
      </c>
      <c r="S7" s="225" t="s">
        <v>173</v>
      </c>
      <c r="T7" s="256"/>
      <c r="U7" s="236">
        <f>SUM($D7:D7)</f>
        <v>0</v>
      </c>
      <c r="V7" s="236">
        <f>SUM($D7:E7)</f>
        <v>0</v>
      </c>
      <c r="W7" s="236">
        <f>SUM($D7:F7)</f>
        <v>0</v>
      </c>
      <c r="X7" s="236">
        <f>SUM($D7:G7)</f>
        <v>0</v>
      </c>
      <c r="Y7" s="236">
        <f>SUM($D7:H7)</f>
        <v>0</v>
      </c>
      <c r="Z7" s="236">
        <f>SUM($D7:I7)</f>
        <v>0</v>
      </c>
      <c r="AA7" s="236">
        <f>SUM($D7:J7)</f>
        <v>0</v>
      </c>
      <c r="AB7" s="236">
        <f>SUM($D7:K7)</f>
        <v>0</v>
      </c>
      <c r="AC7" s="236">
        <f>SUM($D7:L7)</f>
        <v>0</v>
      </c>
      <c r="AD7" s="236">
        <f>SUM($D7:M7)</f>
        <v>0</v>
      </c>
      <c r="AE7" s="236">
        <f>SUM($D7:N7)</f>
        <v>0</v>
      </c>
      <c r="AF7" s="236">
        <f>SUM($D7:O7)</f>
        <v>0</v>
      </c>
      <c r="AG7" s="218"/>
    </row>
    <row r="8" spans="1:33">
      <c r="A8" s="228">
        <v>3</v>
      </c>
      <c r="B8" s="225" t="s">
        <v>167</v>
      </c>
      <c r="C8" s="256">
        <f t="shared" si="0"/>
        <v>0</v>
      </c>
      <c r="D8" s="236">
        <f>SUMIFS('GTTK chung'!$P$4:$P$143,'GTTK chung'!$Q$4:$Q$143,2025,'GTTK chung'!$Q$4:$Q$143,D$5,'GTTK chung'!$E$4:$E$143,$B8,'GTTK chung'!$F$4:$F$143,"PET")</f>
        <v>0</v>
      </c>
      <c r="E8" s="236">
        <f>SUMIFS('GTTK chung'!$P$4:$P$143,'GTTK chung'!$Q$4:$Q$143,2025,'GTTK chung'!$Q$4:$Q$143,E$5,'GTTK chung'!$E$4:$E$143,$B8,'GTTK chung'!$F$4:$F$143,"PET")</f>
        <v>0</v>
      </c>
      <c r="F8" s="236">
        <f>SUMIFS('GTTK chung'!$P$4:$P$143,'GTTK chung'!$Q$4:$Q$143,2025,'GTTK chung'!$Q$4:$Q$143,F$5,'GTTK chung'!$E$4:$E$143,$B8,'GTTK chung'!$F$4:$F$143,"PET")</f>
        <v>0</v>
      </c>
      <c r="G8" s="236">
        <f>SUMIFS('GTTK chung'!$P$4:$P$143,'GTTK chung'!$Q$4:$Q$143,2025,'GTTK chung'!$Q$4:$Q$143,G$5,'GTTK chung'!$E$4:$E$143,$B8,'GTTK chung'!$F$4:$F$143,"PET")</f>
        <v>0</v>
      </c>
      <c r="H8" s="236">
        <f>SUMIFS('GTTK chung'!$P$4:$P$143,'GTTK chung'!$Q$4:$Q$143,2025,'GTTK chung'!$Q$4:$Q$143,H$5,'GTTK chung'!$E$4:$E$143,$B8,'GTTK chung'!$F$4:$F$143,"PET")</f>
        <v>0</v>
      </c>
      <c r="I8" s="236">
        <f>SUMIFS('GTTK chung'!$P$4:$P$143,'GTTK chung'!$Q$4:$Q$143,2025,'GTTK chung'!$Q$4:$Q$143,I$5,'GTTK chung'!$E$4:$E$143,$B8,'GTTK chung'!$F$4:$F$143,"PET")</f>
        <v>0</v>
      </c>
      <c r="J8" s="236">
        <f>SUMIFS('GTTK chung'!$P$4:$P$143,'GTTK chung'!$Q$4:$Q$143,2025,'GTTK chung'!$Q$4:$Q$143,J$5,'GTTK chung'!$E$4:$E$143,$B8,'GTTK chung'!$F$4:$F$143,"PET")</f>
        <v>0</v>
      </c>
      <c r="K8" s="236">
        <f>SUMIFS('GTTK chung'!$P$4:$P$143,'GTTK chung'!$Q$4:$Q$143,2025,'GTTK chung'!$Q$4:$Q$143,K$5,'GTTK chung'!$E$4:$E$143,$B8,'GTTK chung'!$F$4:$F$143,"PET")</f>
        <v>0</v>
      </c>
      <c r="L8" s="236">
        <f>SUMIFS('GTTK chung'!$P$4:$P$143,'GTTK chung'!$Q$4:$Q$143,2025,'GTTK chung'!$Q$4:$Q$143,L$5,'GTTK chung'!$E$4:$E$143,$B8,'GTTK chung'!$F$4:$F$143,"PET")</f>
        <v>0</v>
      </c>
      <c r="M8" s="236">
        <f>SUMIFS('GTTK chung'!$P$4:$P$143,'GTTK chung'!$Q$4:$Q$143,2025,'GTTK chung'!$Q$4:$Q$143,M$5,'GTTK chung'!$E$4:$E$143,$B8,'GTTK chung'!$F$4:$F$143,"PET")</f>
        <v>0</v>
      </c>
      <c r="N8" s="236">
        <f>SUMIFS('GTTK chung'!$P$4:$P$143,'GTTK chung'!$Q$4:$Q$143,2025,'GTTK chung'!$Q$4:$Q$143,N$5,'GTTK chung'!$E$4:$E$143,$B8,'GTTK chung'!$F$4:$F$143,"PET")</f>
        <v>0</v>
      </c>
      <c r="O8" s="236">
        <f>SUMIFS('GTTK chung'!$P$4:$P$143,'GTTK chung'!$Q$4:$Q$143,2025,'GTTK chung'!$Q$4:$Q$143,O$5,'GTTK chung'!$E$4:$E$143,$B8,'GTTK chung'!$F$4:$F$143,"PET")</f>
        <v>0</v>
      </c>
      <c r="R8" s="228">
        <v>3</v>
      </c>
      <c r="S8" s="225" t="s">
        <v>361</v>
      </c>
      <c r="T8" s="256"/>
      <c r="U8" s="236">
        <f>SUM($D8:D8)</f>
        <v>0</v>
      </c>
      <c r="V8" s="236">
        <f>SUM($D8:E8)</f>
        <v>0</v>
      </c>
      <c r="W8" s="236">
        <f>SUM($D8:F8)</f>
        <v>0</v>
      </c>
      <c r="X8" s="236">
        <f>SUM($D8:G8)</f>
        <v>0</v>
      </c>
      <c r="Y8" s="236">
        <f>SUM($D8:H8)</f>
        <v>0</v>
      </c>
      <c r="Z8" s="236">
        <f>SUM($D8:I8)</f>
        <v>0</v>
      </c>
      <c r="AA8" s="236">
        <f>SUM($D8:J8)</f>
        <v>0</v>
      </c>
      <c r="AB8" s="236">
        <f>SUM($D8:K8)</f>
        <v>0</v>
      </c>
      <c r="AC8" s="236">
        <f>SUM($D8:L8)</f>
        <v>0</v>
      </c>
      <c r="AD8" s="236">
        <f>SUM($D8:M8)</f>
        <v>0</v>
      </c>
      <c r="AE8" s="236">
        <f>SUM($D8:N8)</f>
        <v>0</v>
      </c>
      <c r="AF8" s="236">
        <f>SUM($D8:O8)</f>
        <v>0</v>
      </c>
      <c r="AG8" s="218"/>
    </row>
    <row r="9" spans="1:33">
      <c r="A9" s="228">
        <v>4</v>
      </c>
      <c r="B9" s="225" t="s">
        <v>169</v>
      </c>
      <c r="C9" s="256">
        <f t="shared" si="0"/>
        <v>0</v>
      </c>
      <c r="D9" s="236">
        <f>SUMIFS('GTTK chung'!$P$4:$P$143,'GTTK chung'!$Q$4:$Q$143,2025,'GTTK chung'!$Q$4:$Q$143,D$5,'GTTK chung'!$E$4:$E$143,$B9,'GTTK chung'!$F$4:$F$143,"PET")</f>
        <v>0</v>
      </c>
      <c r="E9" s="236">
        <f>SUMIFS('GTTK chung'!$P$4:$P$143,'GTTK chung'!$Q$4:$Q$143,2025,'GTTK chung'!$Q$4:$Q$143,E$5,'GTTK chung'!$E$4:$E$143,$B9,'GTTK chung'!$F$4:$F$143,"PET")</f>
        <v>0</v>
      </c>
      <c r="F9" s="236">
        <f>SUMIFS('GTTK chung'!$P$4:$P$143,'GTTK chung'!$Q$4:$Q$143,2025,'GTTK chung'!$Q$4:$Q$143,F$5,'GTTK chung'!$E$4:$E$143,$B9,'GTTK chung'!$F$4:$F$143,"PET")</f>
        <v>0</v>
      </c>
      <c r="G9" s="236">
        <f>SUMIFS('GTTK chung'!$P$4:$P$143,'GTTK chung'!$Q$4:$Q$143,2025,'GTTK chung'!$Q$4:$Q$143,G$5,'GTTK chung'!$E$4:$E$143,$B9,'GTTK chung'!$F$4:$F$143,"PET")</f>
        <v>0</v>
      </c>
      <c r="H9" s="236">
        <f>SUMIFS('GTTK chung'!$P$4:$P$143,'GTTK chung'!$Q$4:$Q$143,2025,'GTTK chung'!$Q$4:$Q$143,H$5,'GTTK chung'!$E$4:$E$143,$B9,'GTTK chung'!$F$4:$F$143,"PET")</f>
        <v>0</v>
      </c>
      <c r="I9" s="236">
        <f>SUMIFS('GTTK chung'!$P$4:$P$143,'GTTK chung'!$Q$4:$Q$143,2025,'GTTK chung'!$Q$4:$Q$143,I$5,'GTTK chung'!$E$4:$E$143,$B9,'GTTK chung'!$F$4:$F$143,"PET")</f>
        <v>0</v>
      </c>
      <c r="J9" s="236">
        <f>SUMIFS('GTTK chung'!$P$4:$P$143,'GTTK chung'!$Q$4:$Q$143,2025,'GTTK chung'!$Q$4:$Q$143,J$5,'GTTK chung'!$E$4:$E$143,$B9,'GTTK chung'!$F$4:$F$143,"PET")</f>
        <v>0</v>
      </c>
      <c r="K9" s="236">
        <f>SUMIFS('GTTK chung'!$P$4:$P$143,'GTTK chung'!$Q$4:$Q$143,2025,'GTTK chung'!$Q$4:$Q$143,K$5,'GTTK chung'!$E$4:$E$143,$B9,'GTTK chung'!$F$4:$F$143,"PET")</f>
        <v>0</v>
      </c>
      <c r="L9" s="236">
        <f>SUMIFS('GTTK chung'!$P$4:$P$143,'GTTK chung'!$Q$4:$Q$143,2025,'GTTK chung'!$Q$4:$Q$143,L$5,'GTTK chung'!$E$4:$E$143,$B9,'GTTK chung'!$F$4:$F$143,"PET")</f>
        <v>0</v>
      </c>
      <c r="M9" s="236">
        <f>SUMIFS('GTTK chung'!$P$4:$P$143,'GTTK chung'!$Q$4:$Q$143,2025,'GTTK chung'!$Q$4:$Q$143,M$5,'GTTK chung'!$E$4:$E$143,$B9,'GTTK chung'!$F$4:$F$143,"PET")</f>
        <v>0</v>
      </c>
      <c r="N9" s="236">
        <f>SUMIFS('GTTK chung'!$P$4:$P$143,'GTTK chung'!$Q$4:$Q$143,2025,'GTTK chung'!$Q$4:$Q$143,N$5,'GTTK chung'!$E$4:$E$143,$B9,'GTTK chung'!$F$4:$F$143,"PET")</f>
        <v>0</v>
      </c>
      <c r="O9" s="236">
        <f>SUMIFS('GTTK chung'!$P$4:$P$143,'GTTK chung'!$Q$4:$Q$143,2025,'GTTK chung'!$Q$4:$Q$143,O$5,'GTTK chung'!$E$4:$E$143,$B9,'GTTK chung'!$F$4:$F$143,"PET")</f>
        <v>0</v>
      </c>
      <c r="R9" s="228">
        <v>4</v>
      </c>
      <c r="S9" s="225" t="s">
        <v>171</v>
      </c>
      <c r="T9" s="256"/>
      <c r="U9" s="236">
        <f>SUM($D9:D9)</f>
        <v>0</v>
      </c>
      <c r="V9" s="236">
        <f>SUM($D9:E9)</f>
        <v>0</v>
      </c>
      <c r="W9" s="236">
        <f>SUM($D9:F9)</f>
        <v>0</v>
      </c>
      <c r="X9" s="236">
        <f>SUM($D9:G9)</f>
        <v>0</v>
      </c>
      <c r="Y9" s="236">
        <f>SUM($D9:H9)</f>
        <v>0</v>
      </c>
      <c r="Z9" s="236">
        <f>SUM($D9:I9)</f>
        <v>0</v>
      </c>
      <c r="AA9" s="236">
        <f>SUM($D9:J9)</f>
        <v>0</v>
      </c>
      <c r="AB9" s="236">
        <f>SUM($D9:K9)</f>
        <v>0</v>
      </c>
      <c r="AC9" s="236">
        <f>SUM($D9:L9)</f>
        <v>0</v>
      </c>
      <c r="AD9" s="236">
        <f>SUM($D9:M9)</f>
        <v>0</v>
      </c>
      <c r="AE9" s="236">
        <f>SUM($D9:N9)</f>
        <v>0</v>
      </c>
      <c r="AF9" s="236">
        <f>SUM($D9:O9)</f>
        <v>0</v>
      </c>
      <c r="AG9" s="218"/>
    </row>
    <row r="10" spans="1:33">
      <c r="A10" s="228">
        <v>5</v>
      </c>
      <c r="B10" s="225" t="s">
        <v>171</v>
      </c>
      <c r="C10" s="256">
        <f t="shared" si="0"/>
        <v>0</v>
      </c>
      <c r="D10" s="236">
        <f>SUMIFS('GTTK chung'!$P$4:$P$143,'GTTK chung'!$Q$4:$Q$143,2025,'GTTK chung'!$Q$4:$Q$143,D$5,'GTTK chung'!$E$4:$E$143,$B10,'GTTK chung'!$F$4:$F$143,"PET")</f>
        <v>0</v>
      </c>
      <c r="E10" s="236">
        <f>SUMIFS('GTTK chung'!$P$4:$P$143,'GTTK chung'!$Q$4:$Q$143,2025,'GTTK chung'!$Q$4:$Q$143,E$5,'GTTK chung'!$E$4:$E$143,$B10,'GTTK chung'!$F$4:$F$143,"PET")</f>
        <v>0</v>
      </c>
      <c r="F10" s="236">
        <f>SUMIFS('GTTK chung'!$P$4:$P$143,'GTTK chung'!$Q$4:$Q$143,2025,'GTTK chung'!$Q$4:$Q$143,F$5,'GTTK chung'!$E$4:$E$143,$B10,'GTTK chung'!$F$4:$F$143,"PET")</f>
        <v>0</v>
      </c>
      <c r="G10" s="236">
        <f>SUMIFS('GTTK chung'!$P$4:$P$143,'GTTK chung'!$Q$4:$Q$143,2025,'GTTK chung'!$Q$4:$Q$143,G$5,'GTTK chung'!$E$4:$E$143,$B10,'GTTK chung'!$F$4:$F$143,"PET")</f>
        <v>0</v>
      </c>
      <c r="H10" s="236">
        <f>SUMIFS('GTTK chung'!$P$4:$P$143,'GTTK chung'!$Q$4:$Q$143,2025,'GTTK chung'!$Q$4:$Q$143,H$5,'GTTK chung'!$E$4:$E$143,$B10,'GTTK chung'!$F$4:$F$143,"PET")</f>
        <v>0</v>
      </c>
      <c r="I10" s="236">
        <f>SUMIFS('GTTK chung'!$P$4:$P$143,'GTTK chung'!$Q$4:$Q$143,2025,'GTTK chung'!$Q$4:$Q$143,I$5,'GTTK chung'!$E$4:$E$143,$B10,'GTTK chung'!$F$4:$F$143,"PET")</f>
        <v>0</v>
      </c>
      <c r="J10" s="236">
        <f>SUMIFS('GTTK chung'!$P$4:$P$143,'GTTK chung'!$Q$4:$Q$143,2025,'GTTK chung'!$Q$4:$Q$143,J$5,'GTTK chung'!$E$4:$E$143,$B10,'GTTK chung'!$F$4:$F$143,"PET")</f>
        <v>0</v>
      </c>
      <c r="K10" s="236">
        <f>SUMIFS('GTTK chung'!$P$4:$P$143,'GTTK chung'!$Q$4:$Q$143,2025,'GTTK chung'!$Q$4:$Q$143,K$5,'GTTK chung'!$E$4:$E$143,$B10,'GTTK chung'!$F$4:$F$143,"PET")</f>
        <v>0</v>
      </c>
      <c r="L10" s="236">
        <f>SUMIFS('GTTK chung'!$P$4:$P$143,'GTTK chung'!$Q$4:$Q$143,2025,'GTTK chung'!$Q$4:$Q$143,L$5,'GTTK chung'!$E$4:$E$143,$B10,'GTTK chung'!$F$4:$F$143,"PET")</f>
        <v>0</v>
      </c>
      <c r="M10" s="236">
        <f>SUMIFS('GTTK chung'!$P$4:$P$143,'GTTK chung'!$Q$4:$Q$143,2025,'GTTK chung'!$Q$4:$Q$143,M$5,'GTTK chung'!$E$4:$E$143,$B10,'GTTK chung'!$F$4:$F$143,"PET")</f>
        <v>0</v>
      </c>
      <c r="N10" s="236">
        <f>SUMIFS('GTTK chung'!$P$4:$P$143,'GTTK chung'!$Q$4:$Q$143,2025,'GTTK chung'!$Q$4:$Q$143,N$5,'GTTK chung'!$E$4:$E$143,$B10,'GTTK chung'!$F$4:$F$143,"PET")</f>
        <v>0</v>
      </c>
      <c r="O10" s="236">
        <f>SUMIFS('GTTK chung'!$P$4:$P$143,'GTTK chung'!$Q$4:$Q$143,2025,'GTTK chung'!$Q$4:$Q$143,O$5,'GTTK chung'!$E$4:$E$143,$B10,'GTTK chung'!$F$4:$F$143,"PET")</f>
        <v>0</v>
      </c>
      <c r="R10" s="228">
        <v>5</v>
      </c>
      <c r="S10" s="225" t="s">
        <v>175</v>
      </c>
      <c r="T10" s="256"/>
      <c r="U10" s="236">
        <f>SUM($D10:D10)</f>
        <v>0</v>
      </c>
      <c r="V10" s="236">
        <f>SUM($D10:E10)</f>
        <v>0</v>
      </c>
      <c r="W10" s="236">
        <f>SUM($D10:F10)</f>
        <v>0</v>
      </c>
      <c r="X10" s="236">
        <f>SUM($D10:G10)</f>
        <v>0</v>
      </c>
      <c r="Y10" s="236">
        <f>SUM($D10:H10)</f>
        <v>0</v>
      </c>
      <c r="Z10" s="236">
        <f>SUM($D10:I10)</f>
        <v>0</v>
      </c>
      <c r="AA10" s="236">
        <f>SUM($D10:J10)</f>
        <v>0</v>
      </c>
      <c r="AB10" s="236">
        <f>SUM($D10:K10)</f>
        <v>0</v>
      </c>
      <c r="AC10" s="236">
        <f>SUM($D10:L10)</f>
        <v>0</v>
      </c>
      <c r="AD10" s="236">
        <f>SUM($D10:M10)</f>
        <v>0</v>
      </c>
      <c r="AE10" s="236">
        <f>SUM($D10:N10)</f>
        <v>0</v>
      </c>
      <c r="AF10" s="236">
        <f>SUM($D10:O10)</f>
        <v>0</v>
      </c>
      <c r="AG10" s="218"/>
    </row>
    <row r="11" spans="1:33">
      <c r="A11" s="228">
        <v>6</v>
      </c>
      <c r="B11" s="225" t="s">
        <v>173</v>
      </c>
      <c r="C11" s="256">
        <f t="shared" si="0"/>
        <v>0</v>
      </c>
      <c r="D11" s="236">
        <f>SUMIFS('GTTK chung'!$P$4:$P$143,'GTTK chung'!$Q$4:$Q$143,2025,'GTTK chung'!$Q$4:$Q$143,D$5,'GTTK chung'!$E$4:$E$143,$B11,'GTTK chung'!$F$4:$F$143,"PET")</f>
        <v>0</v>
      </c>
      <c r="E11" s="236">
        <f>SUMIFS('GTTK chung'!$P$4:$P$143,'GTTK chung'!$Q$4:$Q$143,2025,'GTTK chung'!$Q$4:$Q$143,E$5,'GTTK chung'!$E$4:$E$143,$B11,'GTTK chung'!$F$4:$F$143,"PET")</f>
        <v>0</v>
      </c>
      <c r="F11" s="236">
        <f>SUMIFS('GTTK chung'!$P$4:$P$143,'GTTK chung'!$Q$4:$Q$143,2025,'GTTK chung'!$Q$4:$Q$143,F$5,'GTTK chung'!$E$4:$E$143,$B11,'GTTK chung'!$F$4:$F$143,"PET")</f>
        <v>0</v>
      </c>
      <c r="G11" s="236">
        <f>SUMIFS('GTTK chung'!$P$4:$P$143,'GTTK chung'!$Q$4:$Q$143,2025,'GTTK chung'!$Q$4:$Q$143,G$5,'GTTK chung'!$E$4:$E$143,$B11,'GTTK chung'!$F$4:$F$143,"PET")</f>
        <v>0</v>
      </c>
      <c r="H11" s="236">
        <f>SUMIFS('GTTK chung'!$P$4:$P$143,'GTTK chung'!$Q$4:$Q$143,2025,'GTTK chung'!$Q$4:$Q$143,H$5,'GTTK chung'!$E$4:$E$143,$B11,'GTTK chung'!$F$4:$F$143,"PET")</f>
        <v>0</v>
      </c>
      <c r="I11" s="236">
        <f>SUMIFS('GTTK chung'!$P$4:$P$143,'GTTK chung'!$Q$4:$Q$143,2025,'GTTK chung'!$Q$4:$Q$143,I$5,'GTTK chung'!$E$4:$E$143,$B11,'GTTK chung'!$F$4:$F$143,"PET")</f>
        <v>0</v>
      </c>
      <c r="J11" s="236">
        <f>SUMIFS('GTTK chung'!$P$4:$P$143,'GTTK chung'!$Q$4:$Q$143,2025,'GTTK chung'!$Q$4:$Q$143,J$5,'GTTK chung'!$E$4:$E$143,$B11,'GTTK chung'!$F$4:$F$143,"PET")</f>
        <v>0</v>
      </c>
      <c r="K11" s="236">
        <f>SUMIFS('GTTK chung'!$P$4:$P$143,'GTTK chung'!$Q$4:$Q$143,2025,'GTTK chung'!$Q$4:$Q$143,K$5,'GTTK chung'!$E$4:$E$143,$B11,'GTTK chung'!$F$4:$F$143,"PET")</f>
        <v>0</v>
      </c>
      <c r="L11" s="236">
        <f>SUMIFS('GTTK chung'!$P$4:$P$143,'GTTK chung'!$Q$4:$Q$143,2025,'GTTK chung'!$Q$4:$Q$143,L$5,'GTTK chung'!$E$4:$E$143,$B11,'GTTK chung'!$F$4:$F$143,"PET")</f>
        <v>0</v>
      </c>
      <c r="M11" s="236">
        <f>SUMIFS('GTTK chung'!$P$4:$P$143,'GTTK chung'!$Q$4:$Q$143,2025,'GTTK chung'!$Q$4:$Q$143,M$5,'GTTK chung'!$E$4:$E$143,$B11,'GTTK chung'!$F$4:$F$143,"PET")</f>
        <v>0</v>
      </c>
      <c r="N11" s="236">
        <f>SUMIFS('GTTK chung'!$P$4:$P$143,'GTTK chung'!$Q$4:$Q$143,2025,'GTTK chung'!$Q$4:$Q$143,N$5,'GTTK chung'!$E$4:$E$143,$B11,'GTTK chung'!$F$4:$F$143,"PET")</f>
        <v>0</v>
      </c>
      <c r="O11" s="236">
        <f>SUMIFS('GTTK chung'!$P$4:$P$143,'GTTK chung'!$Q$4:$Q$143,2025,'GTTK chung'!$Q$4:$Q$143,O$5,'GTTK chung'!$E$4:$E$143,$B11,'GTTK chung'!$F$4:$F$143,"PET")</f>
        <v>0</v>
      </c>
      <c r="R11" s="228">
        <v>6</v>
      </c>
      <c r="S11" s="225" t="s">
        <v>31</v>
      </c>
      <c r="T11" s="256"/>
      <c r="U11" s="236">
        <f>SUM($D11:D11)</f>
        <v>0</v>
      </c>
      <c r="V11" s="236">
        <f>SUM($D11:E11)</f>
        <v>0</v>
      </c>
      <c r="W11" s="236">
        <f>SUM($D11:F11)</f>
        <v>0</v>
      </c>
      <c r="X11" s="236">
        <f>SUM($D11:G11)</f>
        <v>0</v>
      </c>
      <c r="Y11" s="236">
        <f>SUM($D11:H11)</f>
        <v>0</v>
      </c>
      <c r="Z11" s="236">
        <f>SUM($D11:I11)</f>
        <v>0</v>
      </c>
      <c r="AA11" s="236">
        <f>SUM($D11:J11)</f>
        <v>0</v>
      </c>
      <c r="AB11" s="236">
        <f>SUM($D11:K11)</f>
        <v>0</v>
      </c>
      <c r="AC11" s="236">
        <f>SUM($D11:L11)</f>
        <v>0</v>
      </c>
      <c r="AD11" s="236">
        <f>SUM($D11:M11)</f>
        <v>0</v>
      </c>
      <c r="AE11" s="236">
        <f>SUM($D11:N11)</f>
        <v>0</v>
      </c>
      <c r="AF11" s="236">
        <f>SUM($D11:O11)</f>
        <v>0</v>
      </c>
      <c r="AG11" s="218"/>
    </row>
    <row r="12" spans="1:33">
      <c r="A12" s="228">
        <v>7</v>
      </c>
      <c r="B12" s="225" t="s">
        <v>361</v>
      </c>
      <c r="C12" s="256">
        <f t="shared" si="0"/>
        <v>0</v>
      </c>
      <c r="D12" s="236">
        <f>SUMIFS('GTTK chung'!$P$4:$P$143,'GTTK chung'!$Q$4:$Q$143,2025,'GTTK chung'!$Q$4:$Q$143,D$5,'GTTK chung'!$E$4:$E$143,$B12,'GTTK chung'!$F$4:$F$143,"PET")</f>
        <v>0</v>
      </c>
      <c r="E12" s="236">
        <f>SUMIFS('GTTK chung'!$P$4:$P$143,'GTTK chung'!$Q$4:$Q$143,2025,'GTTK chung'!$Q$4:$Q$143,E$5,'GTTK chung'!$E$4:$E$143,$B12,'GTTK chung'!$F$4:$F$143,"PET")</f>
        <v>0</v>
      </c>
      <c r="F12" s="236">
        <f>SUMIFS('GTTK chung'!$P$4:$P$143,'GTTK chung'!$Q$4:$Q$143,2025,'GTTK chung'!$Q$4:$Q$143,F$5,'GTTK chung'!$E$4:$E$143,$B12,'GTTK chung'!$F$4:$F$143,"PET")</f>
        <v>0</v>
      </c>
      <c r="G12" s="236">
        <f>SUMIFS('GTTK chung'!$P$4:$P$143,'GTTK chung'!$Q$4:$Q$143,2025,'GTTK chung'!$Q$4:$Q$143,G$5,'GTTK chung'!$E$4:$E$143,$B12,'GTTK chung'!$F$4:$F$143,"PET")</f>
        <v>0</v>
      </c>
      <c r="H12" s="236">
        <f>SUMIFS('GTTK chung'!$P$4:$P$143,'GTTK chung'!$Q$4:$Q$143,2025,'GTTK chung'!$Q$4:$Q$143,H$5,'GTTK chung'!$E$4:$E$143,$B12,'GTTK chung'!$F$4:$F$143,"PET")</f>
        <v>0</v>
      </c>
      <c r="I12" s="236">
        <f>SUMIFS('GTTK chung'!$P$4:$P$143,'GTTK chung'!$Q$4:$Q$143,2025,'GTTK chung'!$Q$4:$Q$143,I$5,'GTTK chung'!$E$4:$E$143,$B12,'GTTK chung'!$F$4:$F$143,"PET")</f>
        <v>0</v>
      </c>
      <c r="J12" s="236">
        <f>SUMIFS('GTTK chung'!$P$4:$P$143,'GTTK chung'!$Q$4:$Q$143,2025,'GTTK chung'!$Q$4:$Q$143,J$5,'GTTK chung'!$E$4:$E$143,$B12,'GTTK chung'!$F$4:$F$143,"PET")</f>
        <v>0</v>
      </c>
      <c r="K12" s="236">
        <f>SUMIFS('GTTK chung'!$P$4:$P$143,'GTTK chung'!$Q$4:$Q$143,2025,'GTTK chung'!$Q$4:$Q$143,K$5,'GTTK chung'!$E$4:$E$143,$B12,'GTTK chung'!$F$4:$F$143,"PET")</f>
        <v>0</v>
      </c>
      <c r="L12" s="236">
        <f>SUMIFS('GTTK chung'!$P$4:$P$143,'GTTK chung'!$Q$4:$Q$143,2025,'GTTK chung'!$Q$4:$Q$143,L$5,'GTTK chung'!$E$4:$E$143,$B12,'GTTK chung'!$F$4:$F$143,"PET")</f>
        <v>0</v>
      </c>
      <c r="M12" s="236">
        <f>SUMIFS('GTTK chung'!$P$4:$P$143,'GTTK chung'!$Q$4:$Q$143,2025,'GTTK chung'!$Q$4:$Q$143,M$5,'GTTK chung'!$E$4:$E$143,$B12,'GTTK chung'!$F$4:$F$143,"PET")</f>
        <v>0</v>
      </c>
      <c r="N12" s="236">
        <f>SUMIFS('GTTK chung'!$P$4:$P$143,'GTTK chung'!$Q$4:$Q$143,2025,'GTTK chung'!$Q$4:$Q$143,N$5,'GTTK chung'!$E$4:$E$143,$B12,'GTTK chung'!$F$4:$F$143,"PET")</f>
        <v>0</v>
      </c>
      <c r="O12" s="236">
        <f>SUMIFS('GTTK chung'!$P$4:$P$143,'GTTK chung'!$Q$4:$Q$143,2025,'GTTK chung'!$Q$4:$Q$143,O$5,'GTTK chung'!$E$4:$E$143,$B12,'GTTK chung'!$F$4:$F$143,"PET")</f>
        <v>0</v>
      </c>
      <c r="R12" s="228">
        <v>7</v>
      </c>
      <c r="S12" s="225" t="s">
        <v>167</v>
      </c>
      <c r="T12" s="256"/>
      <c r="U12" s="236">
        <f>SUM($D12:D12)</f>
        <v>0</v>
      </c>
      <c r="V12" s="236">
        <f>SUM($D12:E12)</f>
        <v>0</v>
      </c>
      <c r="W12" s="236">
        <f>SUM($D12:F12)</f>
        <v>0</v>
      </c>
      <c r="X12" s="236">
        <f>SUM($D12:G12)</f>
        <v>0</v>
      </c>
      <c r="Y12" s="236">
        <f>SUM($D12:H12)</f>
        <v>0</v>
      </c>
      <c r="Z12" s="236">
        <f>SUM($D12:I12)</f>
        <v>0</v>
      </c>
      <c r="AA12" s="236">
        <f>SUM($D12:J12)</f>
        <v>0</v>
      </c>
      <c r="AB12" s="236">
        <f>SUM($D12:K12)</f>
        <v>0</v>
      </c>
      <c r="AC12" s="236">
        <f>SUM($D12:L12)</f>
        <v>0</v>
      </c>
      <c r="AD12" s="236">
        <f>SUM($D12:M12)</f>
        <v>0</v>
      </c>
      <c r="AE12" s="236">
        <f>SUM($D12:N12)</f>
        <v>0</v>
      </c>
      <c r="AF12" s="236">
        <f>SUM($D12:O12)</f>
        <v>0</v>
      </c>
      <c r="AG12" s="218"/>
    </row>
    <row r="13" spans="1:33">
      <c r="A13" s="228">
        <v>8</v>
      </c>
      <c r="B13" s="225" t="s">
        <v>175</v>
      </c>
      <c r="C13" s="256">
        <f t="shared" si="0"/>
        <v>0</v>
      </c>
      <c r="D13" s="236">
        <f>SUMIFS('GTTK chung'!$P$4:$P$143,'GTTK chung'!$Q$4:$Q$143,2025,'GTTK chung'!$Q$4:$Q$143,D$5,'GTTK chung'!$E$4:$E$143,$B13,'GTTK chung'!$F$4:$F$143,"PET")</f>
        <v>0</v>
      </c>
      <c r="E13" s="236">
        <f>SUMIFS('GTTK chung'!$P$4:$P$143,'GTTK chung'!$Q$4:$Q$143,2025,'GTTK chung'!$Q$4:$Q$143,E$5,'GTTK chung'!$E$4:$E$143,$B13,'GTTK chung'!$F$4:$F$143,"PET")</f>
        <v>0</v>
      </c>
      <c r="F13" s="236">
        <f>SUMIFS('GTTK chung'!$P$4:$P$143,'GTTK chung'!$Q$4:$Q$143,2025,'GTTK chung'!$Q$4:$Q$143,F$5,'GTTK chung'!$E$4:$E$143,$B13,'GTTK chung'!$F$4:$F$143,"PET")</f>
        <v>0</v>
      </c>
      <c r="G13" s="236">
        <f>SUMIFS('GTTK chung'!$P$4:$P$143,'GTTK chung'!$Q$4:$Q$143,2025,'GTTK chung'!$Q$4:$Q$143,G$5,'GTTK chung'!$E$4:$E$143,$B13,'GTTK chung'!$F$4:$F$143,"PET")</f>
        <v>0</v>
      </c>
      <c r="H13" s="236">
        <f>SUMIFS('GTTK chung'!$P$4:$P$143,'GTTK chung'!$Q$4:$Q$143,2025,'GTTK chung'!$Q$4:$Q$143,H$5,'GTTK chung'!$E$4:$E$143,$B13,'GTTK chung'!$F$4:$F$143,"PET")</f>
        <v>0</v>
      </c>
      <c r="I13" s="236">
        <f>SUMIFS('GTTK chung'!$P$4:$P$143,'GTTK chung'!$Q$4:$Q$143,2025,'GTTK chung'!$Q$4:$Q$143,I$5,'GTTK chung'!$E$4:$E$143,$B13,'GTTK chung'!$F$4:$F$143,"PET")</f>
        <v>0</v>
      </c>
      <c r="J13" s="236">
        <f>SUMIFS('GTTK chung'!$P$4:$P$143,'GTTK chung'!$Q$4:$Q$143,2025,'GTTK chung'!$Q$4:$Q$143,J$5,'GTTK chung'!$E$4:$E$143,$B13,'GTTK chung'!$F$4:$F$143,"PET")</f>
        <v>0</v>
      </c>
      <c r="K13" s="236">
        <f>SUMIFS('GTTK chung'!$P$4:$P$143,'GTTK chung'!$Q$4:$Q$143,2025,'GTTK chung'!$Q$4:$Q$143,K$5,'GTTK chung'!$E$4:$E$143,$B13,'GTTK chung'!$F$4:$F$143,"PET")</f>
        <v>0</v>
      </c>
      <c r="L13" s="236">
        <f>SUMIFS('GTTK chung'!$P$4:$P$143,'GTTK chung'!$Q$4:$Q$143,2025,'GTTK chung'!$Q$4:$Q$143,L$5,'GTTK chung'!$E$4:$E$143,$B13,'GTTK chung'!$F$4:$F$143,"PET")</f>
        <v>0</v>
      </c>
      <c r="M13" s="236">
        <f>SUMIFS('GTTK chung'!$P$4:$P$143,'GTTK chung'!$Q$4:$Q$143,2025,'GTTK chung'!$Q$4:$Q$143,M$5,'GTTK chung'!$E$4:$E$143,$B13,'GTTK chung'!$F$4:$F$143,"PET")</f>
        <v>0</v>
      </c>
      <c r="N13" s="236">
        <f>SUMIFS('GTTK chung'!$P$4:$P$143,'GTTK chung'!$Q$4:$Q$143,2025,'GTTK chung'!$Q$4:$Q$143,N$5,'GTTK chung'!$E$4:$E$143,$B13,'GTTK chung'!$F$4:$F$143,"PET")</f>
        <v>0</v>
      </c>
      <c r="O13" s="236">
        <f>SUMIFS('GTTK chung'!$P$4:$P$143,'GTTK chung'!$Q$4:$Q$143,2025,'GTTK chung'!$Q$4:$Q$143,O$5,'GTTK chung'!$E$4:$E$143,$B13,'GTTK chung'!$F$4:$F$143,"PET")</f>
        <v>0</v>
      </c>
      <c r="R13" s="228">
        <v>8</v>
      </c>
      <c r="S13" s="225" t="s">
        <v>169</v>
      </c>
      <c r="T13" s="256"/>
      <c r="U13" s="236">
        <f>SUM($D13:D13)</f>
        <v>0</v>
      </c>
      <c r="V13" s="236">
        <f>SUM($D13:E13)</f>
        <v>0</v>
      </c>
      <c r="W13" s="236">
        <f>SUM($D13:F13)</f>
        <v>0</v>
      </c>
      <c r="X13" s="236">
        <f>SUM($D13:G13)</f>
        <v>0</v>
      </c>
      <c r="Y13" s="236">
        <f>SUM($D13:H13)</f>
        <v>0</v>
      </c>
      <c r="Z13" s="236">
        <f>SUM($D13:I13)</f>
        <v>0</v>
      </c>
      <c r="AA13" s="236">
        <f>SUM($D13:J13)</f>
        <v>0</v>
      </c>
      <c r="AB13" s="236">
        <f>SUM($D13:K13)</f>
        <v>0</v>
      </c>
      <c r="AC13" s="236">
        <f>SUM($D13:L13)</f>
        <v>0</v>
      </c>
      <c r="AD13" s="236">
        <f>SUM($D13:M13)</f>
        <v>0</v>
      </c>
      <c r="AE13" s="236">
        <f>SUM($D13:N13)</f>
        <v>0</v>
      </c>
      <c r="AF13" s="236">
        <f>SUM($D13:O13)</f>
        <v>0</v>
      </c>
      <c r="AG13" s="218"/>
    </row>
    <row r="14" spans="1:33">
      <c r="A14" s="252"/>
      <c r="B14" s="253" t="s">
        <v>376</v>
      </c>
      <c r="C14" s="254">
        <f>SUM(C6:C13)</f>
        <v>0</v>
      </c>
      <c r="D14" s="254">
        <f t="shared" ref="D14:O14" si="1">SUM(D6:D13)</f>
        <v>0</v>
      </c>
      <c r="E14" s="254">
        <f t="shared" si="1"/>
        <v>0</v>
      </c>
      <c r="F14" s="254">
        <f t="shared" si="1"/>
        <v>0</v>
      </c>
      <c r="G14" s="254">
        <f t="shared" si="1"/>
        <v>0</v>
      </c>
      <c r="H14" s="254">
        <f t="shared" si="1"/>
        <v>0</v>
      </c>
      <c r="I14" s="254">
        <f t="shared" si="1"/>
        <v>0</v>
      </c>
      <c r="J14" s="254">
        <f t="shared" si="1"/>
        <v>0</v>
      </c>
      <c r="K14" s="254">
        <f t="shared" si="1"/>
        <v>0</v>
      </c>
      <c r="L14" s="254">
        <f t="shared" si="1"/>
        <v>0</v>
      </c>
      <c r="M14" s="254">
        <f t="shared" si="1"/>
        <v>0</v>
      </c>
      <c r="N14" s="254">
        <f t="shared" si="1"/>
        <v>0</v>
      </c>
      <c r="O14" s="254">
        <f t="shared" si="1"/>
        <v>0</v>
      </c>
      <c r="R14" s="252"/>
      <c r="S14" s="253" t="s">
        <v>376</v>
      </c>
      <c r="T14" s="254"/>
      <c r="U14" s="254">
        <f t="shared" ref="U14:AF14" si="2">SUM(U6:U13)</f>
        <v>0</v>
      </c>
      <c r="V14" s="254">
        <f t="shared" si="2"/>
        <v>0</v>
      </c>
      <c r="W14" s="254">
        <f t="shared" si="2"/>
        <v>0</v>
      </c>
      <c r="X14" s="254">
        <f t="shared" si="2"/>
        <v>0</v>
      </c>
      <c r="Y14" s="254">
        <f t="shared" si="2"/>
        <v>0</v>
      </c>
      <c r="Z14" s="254">
        <f t="shared" si="2"/>
        <v>0</v>
      </c>
      <c r="AA14" s="254">
        <f t="shared" si="2"/>
        <v>0</v>
      </c>
      <c r="AB14" s="254">
        <f t="shared" si="2"/>
        <v>0</v>
      </c>
      <c r="AC14" s="254">
        <f t="shared" si="2"/>
        <v>0</v>
      </c>
      <c r="AD14" s="254">
        <f t="shared" si="2"/>
        <v>0</v>
      </c>
      <c r="AE14" s="254">
        <f t="shared" si="2"/>
        <v>0</v>
      </c>
      <c r="AF14" s="254">
        <f t="shared" si="2"/>
        <v>0</v>
      </c>
    </row>
    <row r="15" spans="1:33" ht="14.5">
      <c r="A15" s="241"/>
      <c r="B15" s="241"/>
      <c r="C15" s="251"/>
      <c r="D15" s="241"/>
      <c r="E15" s="241"/>
      <c r="F15" s="241"/>
      <c r="G15" s="241"/>
      <c r="H15" s="241"/>
      <c r="I15" s="241"/>
      <c r="J15" s="241"/>
      <c r="K15" s="241"/>
      <c r="L15" s="241"/>
      <c r="M15" s="241"/>
      <c r="N15" s="241"/>
      <c r="O15" s="241"/>
      <c r="P15" s="241"/>
      <c r="Q15" s="241"/>
      <c r="R15" s="241"/>
      <c r="S15" s="241"/>
      <c r="T15" s="242"/>
      <c r="U15" s="241"/>
      <c r="V15" s="241"/>
      <c r="W15" s="241"/>
      <c r="X15" s="241"/>
      <c r="Y15" s="241"/>
      <c r="Z15" s="241"/>
      <c r="AA15" s="241"/>
      <c r="AB15" s="241"/>
      <c r="AC15" s="241"/>
      <c r="AD15" s="241"/>
      <c r="AE15" s="241"/>
      <c r="AF15" s="241"/>
    </row>
    <row r="20" spans="16:29">
      <c r="U20" s="257"/>
      <c r="V20" s="257"/>
      <c r="W20" s="257"/>
      <c r="X20" s="257"/>
      <c r="Y20" s="257"/>
      <c r="Z20" s="257"/>
      <c r="AA20" s="257"/>
      <c r="AB20" s="257"/>
      <c r="AC20" s="257"/>
    </row>
    <row r="22" spans="16:29">
      <c r="P22" s="265"/>
    </row>
    <row r="35" spans="1:33" ht="16.5">
      <c r="B35" s="199" t="s">
        <v>118</v>
      </c>
    </row>
    <row r="36" spans="1:33">
      <c r="B36" s="233" t="s">
        <v>374</v>
      </c>
      <c r="S36" s="232"/>
    </row>
    <row r="37" spans="1:33">
      <c r="A37" s="237" t="s">
        <v>0</v>
      </c>
      <c r="B37" s="238" t="s">
        <v>375</v>
      </c>
      <c r="C37" s="239">
        <v>2025</v>
      </c>
      <c r="D37" s="239">
        <v>1</v>
      </c>
      <c r="E37" s="239">
        <v>2</v>
      </c>
      <c r="F37" s="239">
        <v>3</v>
      </c>
      <c r="G37" s="239">
        <v>4</v>
      </c>
      <c r="H37" s="239">
        <v>5</v>
      </c>
      <c r="I37" s="239">
        <v>6</v>
      </c>
      <c r="J37" s="239">
        <v>7</v>
      </c>
      <c r="K37" s="239">
        <v>8</v>
      </c>
      <c r="L37" s="239">
        <v>9</v>
      </c>
      <c r="M37" s="239">
        <v>10</v>
      </c>
      <c r="N37" s="239">
        <v>11</v>
      </c>
      <c r="O37" s="240">
        <v>12</v>
      </c>
      <c r="R37" s="237" t="s">
        <v>0</v>
      </c>
      <c r="S37" s="238" t="s">
        <v>375</v>
      </c>
      <c r="T37" s="239">
        <v>2025</v>
      </c>
      <c r="U37" s="239">
        <v>1</v>
      </c>
      <c r="V37" s="239">
        <v>2</v>
      </c>
      <c r="W37" s="239">
        <v>3</v>
      </c>
      <c r="X37" s="239">
        <v>4</v>
      </c>
      <c r="Y37" s="239">
        <v>5</v>
      </c>
      <c r="Z37" s="239">
        <v>6</v>
      </c>
      <c r="AA37" s="239">
        <v>7</v>
      </c>
      <c r="AB37" s="239">
        <v>8</v>
      </c>
      <c r="AC37" s="239">
        <v>9</v>
      </c>
      <c r="AD37" s="239">
        <v>10</v>
      </c>
      <c r="AE37" s="239">
        <v>11</v>
      </c>
      <c r="AF37" s="240">
        <v>12</v>
      </c>
    </row>
    <row r="38" spans="1:33">
      <c r="A38" s="226">
        <v>1</v>
      </c>
      <c r="B38" s="224" t="s">
        <v>164</v>
      </c>
      <c r="C38" s="255">
        <f>SUM(D38:O38)</f>
        <v>0</v>
      </c>
      <c r="D38" s="235">
        <f>SUMIFS('GTTK chung'!$P$4:$P$143,'GTTK chung'!$Q$4:$Q$143,2025,'GTTK chung'!$Q$4:$Q$143,D$37,'GTTK chung'!$E$4:$E$143,$B38,'GTTK chung'!$F$4:$F$143,"hdpe")</f>
        <v>0</v>
      </c>
      <c r="E38" s="235">
        <f>SUMIFS('GTTK chung'!$P$4:$P$143,'GTTK chung'!$Q$4:$Q$143,2025,'GTTK chung'!$Q$4:$Q$143,E$37,'GTTK chung'!$E$4:$E$143,$B38,'GTTK chung'!$F$4:$F$143,"hdpe")</f>
        <v>0</v>
      </c>
      <c r="F38" s="235">
        <f>SUMIFS('GTTK chung'!$P$4:$P$143,'GTTK chung'!$Q$4:$Q$143,2025,'GTTK chung'!$Q$4:$Q$143,F$37,'GTTK chung'!$E$4:$E$143,$B38,'GTTK chung'!$F$4:$F$143,"hdpe")</f>
        <v>0</v>
      </c>
      <c r="G38" s="235">
        <f>SUMIFS('GTTK chung'!$P$4:$P$143,'GTTK chung'!$Q$4:$Q$143,2025,'GTTK chung'!$Q$4:$Q$143,G$37,'GTTK chung'!$E$4:$E$143,$B38,'GTTK chung'!$F$4:$F$143,"hdpe")</f>
        <v>0</v>
      </c>
      <c r="H38" s="235">
        <f>SUMIFS('GTTK chung'!$P$4:$P$143,'GTTK chung'!$Q$4:$Q$143,2025,'GTTK chung'!$Q$4:$Q$143,H$37,'GTTK chung'!$E$4:$E$143,$B38,'GTTK chung'!$F$4:$F$143,"hdpe")</f>
        <v>0</v>
      </c>
      <c r="I38" s="235">
        <f>SUMIFS('GTTK chung'!$P$4:$P$143,'GTTK chung'!$Q$4:$Q$143,2025,'GTTK chung'!$Q$4:$Q$143,I$37,'GTTK chung'!$E$4:$E$143,$B38,'GTTK chung'!$F$4:$F$143,"hdpe")</f>
        <v>0</v>
      </c>
      <c r="J38" s="235">
        <f>SUMIFS('GTTK chung'!$P$4:$P$143,'GTTK chung'!$Q$4:$Q$143,2025,'GTTK chung'!$Q$4:$Q$143,J$37,'GTTK chung'!$E$4:$E$143,$B38,'GTTK chung'!$F$4:$F$143,"hdpe")</f>
        <v>0</v>
      </c>
      <c r="K38" s="235">
        <f>SUMIFS('GTTK chung'!$P$4:$P$143,'GTTK chung'!$Q$4:$Q$143,2025,'GTTK chung'!$Q$4:$Q$143,K$37,'GTTK chung'!$E$4:$E$143,$B38,'GTTK chung'!$F$4:$F$143,"hdpe")</f>
        <v>0</v>
      </c>
      <c r="L38" s="235">
        <f>SUMIFS('GTTK chung'!$P$4:$P$143,'GTTK chung'!$Q$4:$Q$143,2025,'GTTK chung'!$Q$4:$Q$143,L$37,'GTTK chung'!$E$4:$E$143,$B38,'GTTK chung'!$F$4:$F$143,"hdpe")</f>
        <v>0</v>
      </c>
      <c r="M38" s="235">
        <f>SUMIFS('GTTK chung'!$P$4:$P$143,'GTTK chung'!$Q$4:$Q$143,2025,'GTTK chung'!$Q$4:$Q$143,M$37,'GTTK chung'!$E$4:$E$143,$B38,'GTTK chung'!$F$4:$F$143,"hdpe")</f>
        <v>0</v>
      </c>
      <c r="N38" s="235">
        <f>SUMIFS('GTTK chung'!$P$4:$P$143,'GTTK chung'!$Q$4:$Q$143,2025,'GTTK chung'!$Q$4:$Q$143,N$37,'GTTK chung'!$E$4:$E$143,$B38,'GTTK chung'!$F$4:$F$143,"hdpe")</f>
        <v>0</v>
      </c>
      <c r="O38" s="235">
        <f>SUMIFS('GTTK chung'!$P$4:$P$143,'GTTK chung'!$Q$4:$Q$143,2025,'GTTK chung'!$Q$4:$Q$143,O$37,'GTTK chung'!$E$4:$E$143,$B38,'GTTK chung'!$F$4:$F$143,"hdpe")</f>
        <v>0</v>
      </c>
      <c r="R38" s="226">
        <v>1</v>
      </c>
      <c r="S38" s="224" t="s">
        <v>164</v>
      </c>
      <c r="T38" s="255"/>
      <c r="U38" s="235">
        <f>SUM($D38:D38)</f>
        <v>0</v>
      </c>
      <c r="V38" s="235">
        <f>SUM($D38:E38)</f>
        <v>0</v>
      </c>
      <c r="W38" s="235">
        <f>SUM($D38:F38)</f>
        <v>0</v>
      </c>
      <c r="X38" s="235">
        <f>SUM($D38:G38)</f>
        <v>0</v>
      </c>
      <c r="Y38" s="235">
        <f>SUM($D38:H38)</f>
        <v>0</v>
      </c>
      <c r="Z38" s="235">
        <f>SUM($D38:I38)</f>
        <v>0</v>
      </c>
      <c r="AA38" s="235">
        <f>SUM($D38:J38)</f>
        <v>0</v>
      </c>
      <c r="AB38" s="235">
        <f>SUM($D38:K38)</f>
        <v>0</v>
      </c>
      <c r="AC38" s="235">
        <f>SUM($D38:L38)</f>
        <v>0</v>
      </c>
      <c r="AD38" s="235">
        <f>SUM($D38:M38)</f>
        <v>0</v>
      </c>
      <c r="AE38" s="235">
        <f>SUM($D38:N38)</f>
        <v>0</v>
      </c>
      <c r="AF38" s="235">
        <f>SUM($D38:O38)</f>
        <v>0</v>
      </c>
      <c r="AG38" s="258"/>
    </row>
    <row r="39" spans="1:33">
      <c r="A39" s="228">
        <v>2</v>
      </c>
      <c r="B39" s="225" t="s">
        <v>31</v>
      </c>
      <c r="C39" s="256">
        <f t="shared" ref="C39:C45" si="3">SUM(D39:O39)</f>
        <v>0</v>
      </c>
      <c r="D39" s="236">
        <f>SUMIFS('GTTK chung'!$P$4:$P$143,'GTTK chung'!$Q$4:$Q$143,2025,'GTTK chung'!$Q$4:$Q$143,D$37,'GTTK chung'!$E$4:$E$143,$B39,'GTTK chung'!$F$4:$F$143,"hdpe")</f>
        <v>0</v>
      </c>
      <c r="E39" s="236">
        <f>SUMIFS('GTTK chung'!$P$4:$P$143,'GTTK chung'!$Q$4:$Q$143,2025,'GTTK chung'!$Q$4:$Q$143,E$37,'GTTK chung'!$E$4:$E$143,$B39,'GTTK chung'!$F$4:$F$143,"hdpe")</f>
        <v>0</v>
      </c>
      <c r="F39" s="236">
        <f>SUMIFS('GTTK chung'!$P$4:$P$143,'GTTK chung'!$Q$4:$Q$143,2025,'GTTK chung'!$Q$4:$Q$143,F$37,'GTTK chung'!$E$4:$E$143,$B39,'GTTK chung'!$F$4:$F$143,"hdpe")</f>
        <v>0</v>
      </c>
      <c r="G39" s="236">
        <f>SUMIFS('GTTK chung'!$P$4:$P$143,'GTTK chung'!$Q$4:$Q$143,2025,'GTTK chung'!$Q$4:$Q$143,G$37,'GTTK chung'!$E$4:$E$143,$B39,'GTTK chung'!$F$4:$F$143,"hdpe")</f>
        <v>0</v>
      </c>
      <c r="H39" s="236">
        <f>SUMIFS('GTTK chung'!$P$4:$P$143,'GTTK chung'!$Q$4:$Q$143,2025,'GTTK chung'!$Q$4:$Q$143,H$37,'GTTK chung'!$E$4:$E$143,$B39,'GTTK chung'!$F$4:$F$143,"hdpe")</f>
        <v>0</v>
      </c>
      <c r="I39" s="236">
        <f>SUMIFS('GTTK chung'!$P$4:$P$143,'GTTK chung'!$Q$4:$Q$143,2025,'GTTK chung'!$Q$4:$Q$143,I$37,'GTTK chung'!$E$4:$E$143,$B39,'GTTK chung'!$F$4:$F$143,"hdpe")</f>
        <v>0</v>
      </c>
      <c r="J39" s="236">
        <f>SUMIFS('GTTK chung'!$P$4:$P$143,'GTTK chung'!$Q$4:$Q$143,2025,'GTTK chung'!$Q$4:$Q$143,J$37,'GTTK chung'!$E$4:$E$143,$B39,'GTTK chung'!$F$4:$F$143,"hdpe")</f>
        <v>0</v>
      </c>
      <c r="K39" s="236">
        <f>SUMIFS('GTTK chung'!$P$4:$P$143,'GTTK chung'!$Q$4:$Q$143,2025,'GTTK chung'!$Q$4:$Q$143,K$37,'GTTK chung'!$E$4:$E$143,$B39,'GTTK chung'!$F$4:$F$143,"hdpe")</f>
        <v>0</v>
      </c>
      <c r="L39" s="236">
        <f>SUMIFS('GTTK chung'!$P$4:$P$143,'GTTK chung'!$Q$4:$Q$143,2025,'GTTK chung'!$Q$4:$Q$143,L$37,'GTTK chung'!$E$4:$E$143,$B39,'GTTK chung'!$F$4:$F$143,"hdpe")</f>
        <v>0</v>
      </c>
      <c r="M39" s="236">
        <f>SUMIFS('GTTK chung'!$P$4:$P$143,'GTTK chung'!$Q$4:$Q$143,2025,'GTTK chung'!$Q$4:$Q$143,M$37,'GTTK chung'!$E$4:$E$143,$B39,'GTTK chung'!$F$4:$F$143,"hdpe")</f>
        <v>0</v>
      </c>
      <c r="N39" s="236">
        <f>SUMIFS('GTTK chung'!$P$4:$P$143,'GTTK chung'!$Q$4:$Q$143,2025,'GTTK chung'!$Q$4:$Q$143,N$37,'GTTK chung'!$E$4:$E$143,$B39,'GTTK chung'!$F$4:$F$143,"hdpe")</f>
        <v>0</v>
      </c>
      <c r="O39" s="236">
        <f>SUMIFS('GTTK chung'!$P$4:$P$143,'GTTK chung'!$Q$4:$Q$143,2025,'GTTK chung'!$Q$4:$Q$143,O$37,'GTTK chung'!$E$4:$E$143,$B39,'GTTK chung'!$F$4:$F$143,"hdpe")</f>
        <v>0</v>
      </c>
      <c r="R39" s="228">
        <v>2</v>
      </c>
      <c r="S39" s="225" t="s">
        <v>173</v>
      </c>
      <c r="T39" s="256"/>
      <c r="U39" s="236">
        <f>SUM($D39:D39)</f>
        <v>0</v>
      </c>
      <c r="V39" s="236">
        <f>SUM($D39:E39)</f>
        <v>0</v>
      </c>
      <c r="W39" s="236">
        <f>SUM($D39:F39)</f>
        <v>0</v>
      </c>
      <c r="X39" s="236">
        <f>SUM($D39:G39)</f>
        <v>0</v>
      </c>
      <c r="Y39" s="236">
        <f>SUM($D39:H39)</f>
        <v>0</v>
      </c>
      <c r="Z39" s="236">
        <f>SUM($D39:I39)</f>
        <v>0</v>
      </c>
      <c r="AA39" s="236">
        <f>SUM($D39:J39)</f>
        <v>0</v>
      </c>
      <c r="AB39" s="236">
        <f>SUM($D39:K39)</f>
        <v>0</v>
      </c>
      <c r="AC39" s="236">
        <f>SUM($D39:L39)</f>
        <v>0</v>
      </c>
      <c r="AD39" s="236">
        <f>SUM($D39:M39)</f>
        <v>0</v>
      </c>
      <c r="AE39" s="236">
        <f>SUM($D39:N39)</f>
        <v>0</v>
      </c>
      <c r="AF39" s="236">
        <f>SUM($D39:O39)</f>
        <v>0</v>
      </c>
      <c r="AG39" s="218"/>
    </row>
    <row r="40" spans="1:33">
      <c r="A40" s="228">
        <v>3</v>
      </c>
      <c r="B40" s="225" t="s">
        <v>167</v>
      </c>
      <c r="C40" s="256">
        <f t="shared" si="3"/>
        <v>0</v>
      </c>
      <c r="D40" s="236">
        <f>SUMIFS('GTTK chung'!$P$4:$P$143,'GTTK chung'!$Q$4:$Q$143,2025,'GTTK chung'!$Q$4:$Q$143,D$37,'GTTK chung'!$E$4:$E$143,$B40,'GTTK chung'!$F$4:$F$143,"hdpe")</f>
        <v>0</v>
      </c>
      <c r="E40" s="236">
        <f>SUMIFS('GTTK chung'!$P$4:$P$143,'GTTK chung'!$Q$4:$Q$143,2025,'GTTK chung'!$Q$4:$Q$143,E$37,'GTTK chung'!$E$4:$E$143,$B40,'GTTK chung'!$F$4:$F$143,"hdpe")</f>
        <v>0</v>
      </c>
      <c r="F40" s="236">
        <f>SUMIFS('GTTK chung'!$P$4:$P$143,'GTTK chung'!$Q$4:$Q$143,2025,'GTTK chung'!$Q$4:$Q$143,F$37,'GTTK chung'!$E$4:$E$143,$B40,'GTTK chung'!$F$4:$F$143,"hdpe")</f>
        <v>0</v>
      </c>
      <c r="G40" s="236">
        <f>SUMIFS('GTTK chung'!$P$4:$P$143,'GTTK chung'!$Q$4:$Q$143,2025,'GTTK chung'!$Q$4:$Q$143,G$37,'GTTK chung'!$E$4:$E$143,$B40,'GTTK chung'!$F$4:$F$143,"hdpe")</f>
        <v>0</v>
      </c>
      <c r="H40" s="236">
        <f>SUMIFS('GTTK chung'!$P$4:$P$143,'GTTK chung'!$Q$4:$Q$143,2025,'GTTK chung'!$Q$4:$Q$143,H$37,'GTTK chung'!$E$4:$E$143,$B40,'GTTK chung'!$F$4:$F$143,"hdpe")</f>
        <v>0</v>
      </c>
      <c r="I40" s="236">
        <f>SUMIFS('GTTK chung'!$P$4:$P$143,'GTTK chung'!$Q$4:$Q$143,2025,'GTTK chung'!$Q$4:$Q$143,I$37,'GTTK chung'!$E$4:$E$143,$B40,'GTTK chung'!$F$4:$F$143,"hdpe")</f>
        <v>0</v>
      </c>
      <c r="J40" s="236">
        <f>SUMIFS('GTTK chung'!$P$4:$P$143,'GTTK chung'!$Q$4:$Q$143,2025,'GTTK chung'!$Q$4:$Q$143,J$37,'GTTK chung'!$E$4:$E$143,$B40,'GTTK chung'!$F$4:$F$143,"hdpe")</f>
        <v>0</v>
      </c>
      <c r="K40" s="236">
        <f>SUMIFS('GTTK chung'!$P$4:$P$143,'GTTK chung'!$Q$4:$Q$143,2025,'GTTK chung'!$Q$4:$Q$143,K$37,'GTTK chung'!$E$4:$E$143,$B40,'GTTK chung'!$F$4:$F$143,"hdpe")</f>
        <v>0</v>
      </c>
      <c r="L40" s="236">
        <f>SUMIFS('GTTK chung'!$P$4:$P$143,'GTTK chung'!$Q$4:$Q$143,2025,'GTTK chung'!$Q$4:$Q$143,L$37,'GTTK chung'!$E$4:$E$143,$B40,'GTTK chung'!$F$4:$F$143,"hdpe")</f>
        <v>0</v>
      </c>
      <c r="M40" s="236">
        <f>SUMIFS('GTTK chung'!$P$4:$P$143,'GTTK chung'!$Q$4:$Q$143,2025,'GTTK chung'!$Q$4:$Q$143,M$37,'GTTK chung'!$E$4:$E$143,$B40,'GTTK chung'!$F$4:$F$143,"hdpe")</f>
        <v>0</v>
      </c>
      <c r="N40" s="236">
        <f>SUMIFS('GTTK chung'!$P$4:$P$143,'GTTK chung'!$Q$4:$Q$143,2025,'GTTK chung'!$Q$4:$Q$143,N$37,'GTTK chung'!$E$4:$E$143,$B40,'GTTK chung'!$F$4:$F$143,"hdpe")</f>
        <v>0</v>
      </c>
      <c r="O40" s="236">
        <f>SUMIFS('GTTK chung'!$P$4:$P$143,'GTTK chung'!$Q$4:$Q$143,2025,'GTTK chung'!$Q$4:$Q$143,O$37,'GTTK chung'!$E$4:$E$143,$B40,'GTTK chung'!$F$4:$F$143,"hdpe")</f>
        <v>0</v>
      </c>
      <c r="R40" s="228">
        <v>3</v>
      </c>
      <c r="S40" s="225" t="s">
        <v>361</v>
      </c>
      <c r="T40" s="256"/>
      <c r="U40" s="236">
        <f>SUM($D40:D40)</f>
        <v>0</v>
      </c>
      <c r="V40" s="236">
        <f>SUM($D40:E40)</f>
        <v>0</v>
      </c>
      <c r="W40" s="236">
        <f>SUM($D40:F40)</f>
        <v>0</v>
      </c>
      <c r="X40" s="236">
        <f>SUM($D40:G40)</f>
        <v>0</v>
      </c>
      <c r="Y40" s="236">
        <f>SUM($D40:H40)</f>
        <v>0</v>
      </c>
      <c r="Z40" s="236">
        <f>SUM($D40:I40)</f>
        <v>0</v>
      </c>
      <c r="AA40" s="236">
        <f>SUM($D40:J40)</f>
        <v>0</v>
      </c>
      <c r="AB40" s="236">
        <f>SUM($D40:K40)</f>
        <v>0</v>
      </c>
      <c r="AC40" s="236">
        <f>SUM($D40:L40)</f>
        <v>0</v>
      </c>
      <c r="AD40" s="236">
        <f>SUM($D40:M40)</f>
        <v>0</v>
      </c>
      <c r="AE40" s="236">
        <f>SUM($D40:N40)</f>
        <v>0</v>
      </c>
      <c r="AF40" s="236">
        <f>SUM($D40:O40)</f>
        <v>0</v>
      </c>
      <c r="AG40" s="218"/>
    </row>
    <row r="41" spans="1:33">
      <c r="A41" s="228">
        <v>4</v>
      </c>
      <c r="B41" s="225" t="s">
        <v>169</v>
      </c>
      <c r="C41" s="256">
        <f t="shared" si="3"/>
        <v>0</v>
      </c>
      <c r="D41" s="236">
        <f>SUMIFS('GTTK chung'!$P$4:$P$143,'GTTK chung'!$Q$4:$Q$143,2025,'GTTK chung'!$Q$4:$Q$143,D$37,'GTTK chung'!$E$4:$E$143,$B41,'GTTK chung'!$F$4:$F$143,"hdpe")</f>
        <v>0</v>
      </c>
      <c r="E41" s="236">
        <f>SUMIFS('GTTK chung'!$P$4:$P$143,'GTTK chung'!$Q$4:$Q$143,2025,'GTTK chung'!$Q$4:$Q$143,E$37,'GTTK chung'!$E$4:$E$143,$B41,'GTTK chung'!$F$4:$F$143,"hdpe")</f>
        <v>0</v>
      </c>
      <c r="F41" s="236">
        <f>SUMIFS('GTTK chung'!$P$4:$P$143,'GTTK chung'!$Q$4:$Q$143,2025,'GTTK chung'!$Q$4:$Q$143,F$37,'GTTK chung'!$E$4:$E$143,$B41,'GTTK chung'!$F$4:$F$143,"hdpe")</f>
        <v>0</v>
      </c>
      <c r="G41" s="236">
        <f>SUMIFS('GTTK chung'!$P$4:$P$143,'GTTK chung'!$Q$4:$Q$143,2025,'GTTK chung'!$Q$4:$Q$143,G$37,'GTTK chung'!$E$4:$E$143,$B41,'GTTK chung'!$F$4:$F$143,"hdpe")</f>
        <v>0</v>
      </c>
      <c r="H41" s="236">
        <f>SUMIFS('GTTK chung'!$P$4:$P$143,'GTTK chung'!$Q$4:$Q$143,2025,'GTTK chung'!$Q$4:$Q$143,H$37,'GTTK chung'!$E$4:$E$143,$B41,'GTTK chung'!$F$4:$F$143,"hdpe")</f>
        <v>0</v>
      </c>
      <c r="I41" s="236">
        <f>SUMIFS('GTTK chung'!$P$4:$P$143,'GTTK chung'!$Q$4:$Q$143,2025,'GTTK chung'!$Q$4:$Q$143,I$37,'GTTK chung'!$E$4:$E$143,$B41,'GTTK chung'!$F$4:$F$143,"hdpe")</f>
        <v>0</v>
      </c>
      <c r="J41" s="236">
        <f>SUMIFS('GTTK chung'!$P$4:$P$143,'GTTK chung'!$Q$4:$Q$143,2025,'GTTK chung'!$Q$4:$Q$143,J$37,'GTTK chung'!$E$4:$E$143,$B41,'GTTK chung'!$F$4:$F$143,"hdpe")</f>
        <v>0</v>
      </c>
      <c r="K41" s="236">
        <f>SUMIFS('GTTK chung'!$P$4:$P$143,'GTTK chung'!$Q$4:$Q$143,2025,'GTTK chung'!$Q$4:$Q$143,K$37,'GTTK chung'!$E$4:$E$143,$B41,'GTTK chung'!$F$4:$F$143,"hdpe")</f>
        <v>0</v>
      </c>
      <c r="L41" s="236">
        <f>SUMIFS('GTTK chung'!$P$4:$P$143,'GTTK chung'!$Q$4:$Q$143,2025,'GTTK chung'!$Q$4:$Q$143,L$37,'GTTK chung'!$E$4:$E$143,$B41,'GTTK chung'!$F$4:$F$143,"hdpe")</f>
        <v>0</v>
      </c>
      <c r="M41" s="236">
        <f>SUMIFS('GTTK chung'!$P$4:$P$143,'GTTK chung'!$Q$4:$Q$143,2025,'GTTK chung'!$Q$4:$Q$143,M$37,'GTTK chung'!$E$4:$E$143,$B41,'GTTK chung'!$F$4:$F$143,"hdpe")</f>
        <v>0</v>
      </c>
      <c r="N41" s="236">
        <f>SUMIFS('GTTK chung'!$P$4:$P$143,'GTTK chung'!$Q$4:$Q$143,2025,'GTTK chung'!$Q$4:$Q$143,N$37,'GTTK chung'!$E$4:$E$143,$B41,'GTTK chung'!$F$4:$F$143,"hdpe")</f>
        <v>0</v>
      </c>
      <c r="O41" s="236">
        <f>SUMIFS('GTTK chung'!$P$4:$P$143,'GTTK chung'!$Q$4:$Q$143,2025,'GTTK chung'!$Q$4:$Q$143,O$37,'GTTK chung'!$E$4:$E$143,$B41,'GTTK chung'!$F$4:$F$143,"hdpe")</f>
        <v>0</v>
      </c>
      <c r="R41" s="228">
        <v>4</v>
      </c>
      <c r="S41" s="225" t="s">
        <v>171</v>
      </c>
      <c r="T41" s="256"/>
      <c r="U41" s="236">
        <f>SUM($D41:D41)</f>
        <v>0</v>
      </c>
      <c r="V41" s="236">
        <f>SUM($D41:E41)</f>
        <v>0</v>
      </c>
      <c r="W41" s="236">
        <f>SUM($D41:F41)</f>
        <v>0</v>
      </c>
      <c r="X41" s="236">
        <f>SUM($D41:G41)</f>
        <v>0</v>
      </c>
      <c r="Y41" s="236">
        <f>SUM($D41:H41)</f>
        <v>0</v>
      </c>
      <c r="Z41" s="236">
        <f>SUM($D41:I41)</f>
        <v>0</v>
      </c>
      <c r="AA41" s="236">
        <f>SUM($D41:J41)</f>
        <v>0</v>
      </c>
      <c r="AB41" s="236">
        <f>SUM($D41:K41)</f>
        <v>0</v>
      </c>
      <c r="AC41" s="236">
        <f>SUM($D41:L41)</f>
        <v>0</v>
      </c>
      <c r="AD41" s="236">
        <f>SUM($D41:M41)</f>
        <v>0</v>
      </c>
      <c r="AE41" s="236">
        <f>SUM($D41:N41)</f>
        <v>0</v>
      </c>
      <c r="AF41" s="236">
        <f>SUM($D41:O41)</f>
        <v>0</v>
      </c>
      <c r="AG41" s="218"/>
    </row>
    <row r="42" spans="1:33">
      <c r="A42" s="228">
        <v>5</v>
      </c>
      <c r="B42" s="225" t="s">
        <v>171</v>
      </c>
      <c r="C42" s="256">
        <f t="shared" si="3"/>
        <v>0</v>
      </c>
      <c r="D42" s="236">
        <f>SUMIFS('GTTK chung'!$P$4:$P$143,'GTTK chung'!$Q$4:$Q$143,2025,'GTTK chung'!$Q$4:$Q$143,D$37,'GTTK chung'!$E$4:$E$143,$B42,'GTTK chung'!$F$4:$F$143,"hdpe")</f>
        <v>0</v>
      </c>
      <c r="E42" s="236">
        <f>SUMIFS('GTTK chung'!$P$4:$P$143,'GTTK chung'!$Q$4:$Q$143,2025,'GTTK chung'!$Q$4:$Q$143,E$37,'GTTK chung'!$E$4:$E$143,$B42,'GTTK chung'!$F$4:$F$143,"hdpe")</f>
        <v>0</v>
      </c>
      <c r="F42" s="236">
        <f>SUMIFS('GTTK chung'!$P$4:$P$143,'GTTK chung'!$Q$4:$Q$143,2025,'GTTK chung'!$Q$4:$Q$143,F$37,'GTTK chung'!$E$4:$E$143,$B42,'GTTK chung'!$F$4:$F$143,"hdpe")</f>
        <v>0</v>
      </c>
      <c r="G42" s="236">
        <f>SUMIFS('GTTK chung'!$P$4:$P$143,'GTTK chung'!$Q$4:$Q$143,2025,'GTTK chung'!$Q$4:$Q$143,G$37,'GTTK chung'!$E$4:$E$143,$B42,'GTTK chung'!$F$4:$F$143,"hdpe")</f>
        <v>0</v>
      </c>
      <c r="H42" s="236">
        <f>SUMIFS('GTTK chung'!$P$4:$P$143,'GTTK chung'!$Q$4:$Q$143,2025,'GTTK chung'!$Q$4:$Q$143,H$37,'GTTK chung'!$E$4:$E$143,$B42,'GTTK chung'!$F$4:$F$143,"hdpe")</f>
        <v>0</v>
      </c>
      <c r="I42" s="236">
        <f>SUMIFS('GTTK chung'!$P$4:$P$143,'GTTK chung'!$Q$4:$Q$143,2025,'GTTK chung'!$Q$4:$Q$143,I$37,'GTTK chung'!$E$4:$E$143,$B42,'GTTK chung'!$F$4:$F$143,"hdpe")</f>
        <v>0</v>
      </c>
      <c r="J42" s="236">
        <f>SUMIFS('GTTK chung'!$P$4:$P$143,'GTTK chung'!$Q$4:$Q$143,2025,'GTTK chung'!$Q$4:$Q$143,J$37,'GTTK chung'!$E$4:$E$143,$B42,'GTTK chung'!$F$4:$F$143,"hdpe")</f>
        <v>0</v>
      </c>
      <c r="K42" s="236">
        <f>SUMIFS('GTTK chung'!$P$4:$P$143,'GTTK chung'!$Q$4:$Q$143,2025,'GTTK chung'!$Q$4:$Q$143,K$37,'GTTK chung'!$E$4:$E$143,$B42,'GTTK chung'!$F$4:$F$143,"hdpe")</f>
        <v>0</v>
      </c>
      <c r="L42" s="236">
        <f>SUMIFS('GTTK chung'!$P$4:$P$143,'GTTK chung'!$Q$4:$Q$143,2025,'GTTK chung'!$Q$4:$Q$143,L$37,'GTTK chung'!$E$4:$E$143,$B42,'GTTK chung'!$F$4:$F$143,"hdpe")</f>
        <v>0</v>
      </c>
      <c r="M42" s="236">
        <f>SUMIFS('GTTK chung'!$P$4:$P$143,'GTTK chung'!$Q$4:$Q$143,2025,'GTTK chung'!$Q$4:$Q$143,M$37,'GTTK chung'!$E$4:$E$143,$B42,'GTTK chung'!$F$4:$F$143,"hdpe")</f>
        <v>0</v>
      </c>
      <c r="N42" s="236">
        <f>SUMIFS('GTTK chung'!$P$4:$P$143,'GTTK chung'!$Q$4:$Q$143,2025,'GTTK chung'!$Q$4:$Q$143,N$37,'GTTK chung'!$E$4:$E$143,$B42,'GTTK chung'!$F$4:$F$143,"hdpe")</f>
        <v>0</v>
      </c>
      <c r="O42" s="236">
        <f>SUMIFS('GTTK chung'!$P$4:$P$143,'GTTK chung'!$Q$4:$Q$143,2025,'GTTK chung'!$Q$4:$Q$143,O$37,'GTTK chung'!$E$4:$E$143,$B42,'GTTK chung'!$F$4:$F$143,"hdpe")</f>
        <v>0</v>
      </c>
      <c r="R42" s="228">
        <v>5</v>
      </c>
      <c r="S42" s="225" t="s">
        <v>175</v>
      </c>
      <c r="T42" s="256"/>
      <c r="U42" s="236">
        <f>SUM($D42:D42)</f>
        <v>0</v>
      </c>
      <c r="V42" s="236">
        <f>SUM($D42:E42)</f>
        <v>0</v>
      </c>
      <c r="W42" s="236">
        <f>SUM($D42:F42)</f>
        <v>0</v>
      </c>
      <c r="X42" s="236">
        <f>SUM($D42:G42)</f>
        <v>0</v>
      </c>
      <c r="Y42" s="236">
        <f>SUM($D42:H42)</f>
        <v>0</v>
      </c>
      <c r="Z42" s="236">
        <f>SUM($D42:I42)</f>
        <v>0</v>
      </c>
      <c r="AA42" s="236">
        <f>SUM($D42:J42)</f>
        <v>0</v>
      </c>
      <c r="AB42" s="236">
        <f>SUM($D42:K42)</f>
        <v>0</v>
      </c>
      <c r="AC42" s="236">
        <f>SUM($D42:L42)</f>
        <v>0</v>
      </c>
      <c r="AD42" s="236">
        <f>SUM($D42:M42)</f>
        <v>0</v>
      </c>
      <c r="AE42" s="236">
        <f>SUM($D42:N42)</f>
        <v>0</v>
      </c>
      <c r="AF42" s="236">
        <f>SUM($D42:O42)</f>
        <v>0</v>
      </c>
      <c r="AG42" s="218"/>
    </row>
    <row r="43" spans="1:33">
      <c r="A43" s="228">
        <v>6</v>
      </c>
      <c r="B43" s="225" t="s">
        <v>173</v>
      </c>
      <c r="C43" s="256">
        <f t="shared" si="3"/>
        <v>0</v>
      </c>
      <c r="D43" s="236">
        <f>SUMIFS('GTTK chung'!$P$4:$P$143,'GTTK chung'!$Q$4:$Q$143,2025,'GTTK chung'!$Q$4:$Q$143,D$37,'GTTK chung'!$E$4:$E$143,$B43,'GTTK chung'!$F$4:$F$143,"hdpe")</f>
        <v>0</v>
      </c>
      <c r="E43" s="236">
        <f>SUMIFS('GTTK chung'!$P$4:$P$143,'GTTK chung'!$Q$4:$Q$143,2025,'GTTK chung'!$Q$4:$Q$143,E$37,'GTTK chung'!$E$4:$E$143,$B43,'GTTK chung'!$F$4:$F$143,"hdpe")</f>
        <v>0</v>
      </c>
      <c r="F43" s="236">
        <f>SUMIFS('GTTK chung'!$P$4:$P$143,'GTTK chung'!$Q$4:$Q$143,2025,'GTTK chung'!$Q$4:$Q$143,F$37,'GTTK chung'!$E$4:$E$143,$B43,'GTTK chung'!$F$4:$F$143,"hdpe")</f>
        <v>0</v>
      </c>
      <c r="G43" s="236">
        <f>SUMIFS('GTTK chung'!$P$4:$P$143,'GTTK chung'!$Q$4:$Q$143,2025,'GTTK chung'!$Q$4:$Q$143,G$37,'GTTK chung'!$E$4:$E$143,$B43,'GTTK chung'!$F$4:$F$143,"hdpe")</f>
        <v>0</v>
      </c>
      <c r="H43" s="236">
        <f>SUMIFS('GTTK chung'!$P$4:$P$143,'GTTK chung'!$Q$4:$Q$143,2025,'GTTK chung'!$Q$4:$Q$143,H$37,'GTTK chung'!$E$4:$E$143,$B43,'GTTK chung'!$F$4:$F$143,"hdpe")</f>
        <v>0</v>
      </c>
      <c r="I43" s="236">
        <f>SUMIFS('GTTK chung'!$P$4:$P$143,'GTTK chung'!$Q$4:$Q$143,2025,'GTTK chung'!$Q$4:$Q$143,I$37,'GTTK chung'!$E$4:$E$143,$B43,'GTTK chung'!$F$4:$F$143,"hdpe")</f>
        <v>0</v>
      </c>
      <c r="J43" s="236">
        <f>SUMIFS('GTTK chung'!$P$4:$P$143,'GTTK chung'!$Q$4:$Q$143,2025,'GTTK chung'!$Q$4:$Q$143,J$37,'GTTK chung'!$E$4:$E$143,$B43,'GTTK chung'!$F$4:$F$143,"hdpe")</f>
        <v>0</v>
      </c>
      <c r="K43" s="236">
        <f>SUMIFS('GTTK chung'!$P$4:$P$143,'GTTK chung'!$Q$4:$Q$143,2025,'GTTK chung'!$Q$4:$Q$143,K$37,'GTTK chung'!$E$4:$E$143,$B43,'GTTK chung'!$F$4:$F$143,"hdpe")</f>
        <v>0</v>
      </c>
      <c r="L43" s="236">
        <f>SUMIFS('GTTK chung'!$P$4:$P$143,'GTTK chung'!$Q$4:$Q$143,2025,'GTTK chung'!$Q$4:$Q$143,L$37,'GTTK chung'!$E$4:$E$143,$B43,'GTTK chung'!$F$4:$F$143,"hdpe")</f>
        <v>0</v>
      </c>
      <c r="M43" s="236">
        <f>SUMIFS('GTTK chung'!$P$4:$P$143,'GTTK chung'!$Q$4:$Q$143,2025,'GTTK chung'!$Q$4:$Q$143,M$37,'GTTK chung'!$E$4:$E$143,$B43,'GTTK chung'!$F$4:$F$143,"hdpe")</f>
        <v>0</v>
      </c>
      <c r="N43" s="236">
        <f>SUMIFS('GTTK chung'!$P$4:$P$143,'GTTK chung'!$Q$4:$Q$143,2025,'GTTK chung'!$Q$4:$Q$143,N$37,'GTTK chung'!$E$4:$E$143,$B43,'GTTK chung'!$F$4:$F$143,"hdpe")</f>
        <v>0</v>
      </c>
      <c r="O43" s="236">
        <f>SUMIFS('GTTK chung'!$P$4:$P$143,'GTTK chung'!$Q$4:$Q$143,2025,'GTTK chung'!$Q$4:$Q$143,O$37,'GTTK chung'!$E$4:$E$143,$B43,'GTTK chung'!$F$4:$F$143,"hdpe")</f>
        <v>0</v>
      </c>
      <c r="R43" s="228">
        <v>6</v>
      </c>
      <c r="S43" s="225" t="s">
        <v>31</v>
      </c>
      <c r="T43" s="256"/>
      <c r="U43" s="236">
        <f>SUM($D43:D43)</f>
        <v>0</v>
      </c>
      <c r="V43" s="236">
        <f>SUM($D43:E43)</f>
        <v>0</v>
      </c>
      <c r="W43" s="236">
        <f>SUM($D43:F43)</f>
        <v>0</v>
      </c>
      <c r="X43" s="236">
        <f>SUM($D43:G43)</f>
        <v>0</v>
      </c>
      <c r="Y43" s="236">
        <f>SUM($D43:H43)</f>
        <v>0</v>
      </c>
      <c r="Z43" s="236">
        <f>SUM($D43:I43)</f>
        <v>0</v>
      </c>
      <c r="AA43" s="236">
        <f>SUM($D43:J43)</f>
        <v>0</v>
      </c>
      <c r="AB43" s="236">
        <f>SUM($D43:K43)</f>
        <v>0</v>
      </c>
      <c r="AC43" s="236">
        <f>SUM($D43:L43)</f>
        <v>0</v>
      </c>
      <c r="AD43" s="236">
        <f>SUM($D43:M43)</f>
        <v>0</v>
      </c>
      <c r="AE43" s="236">
        <f>SUM($D43:N43)</f>
        <v>0</v>
      </c>
      <c r="AF43" s="236">
        <f>SUM($D43:O43)</f>
        <v>0</v>
      </c>
      <c r="AG43" s="218"/>
    </row>
    <row r="44" spans="1:33">
      <c r="A44" s="228">
        <v>7</v>
      </c>
      <c r="B44" s="225" t="s">
        <v>361</v>
      </c>
      <c r="C44" s="256">
        <f t="shared" si="3"/>
        <v>0</v>
      </c>
      <c r="D44" s="236">
        <f>SUMIFS('GTTK chung'!$P$4:$P$143,'GTTK chung'!$Q$4:$Q$143,2025,'GTTK chung'!$Q$4:$Q$143,D$37,'GTTK chung'!$E$4:$E$143,$B44,'GTTK chung'!$F$4:$F$143,"hdpe")</f>
        <v>0</v>
      </c>
      <c r="E44" s="236">
        <f>SUMIFS('GTTK chung'!$P$4:$P$143,'GTTK chung'!$Q$4:$Q$143,2025,'GTTK chung'!$Q$4:$Q$143,E$37,'GTTK chung'!$E$4:$E$143,$B44,'GTTK chung'!$F$4:$F$143,"hdpe")</f>
        <v>0</v>
      </c>
      <c r="F44" s="236">
        <f>SUMIFS('GTTK chung'!$P$4:$P$143,'GTTK chung'!$Q$4:$Q$143,2025,'GTTK chung'!$Q$4:$Q$143,F$37,'GTTK chung'!$E$4:$E$143,$B44,'GTTK chung'!$F$4:$F$143,"hdpe")</f>
        <v>0</v>
      </c>
      <c r="G44" s="236">
        <f>SUMIFS('GTTK chung'!$P$4:$P$143,'GTTK chung'!$Q$4:$Q$143,2025,'GTTK chung'!$Q$4:$Q$143,G$37,'GTTK chung'!$E$4:$E$143,$B44,'GTTK chung'!$F$4:$F$143,"hdpe")</f>
        <v>0</v>
      </c>
      <c r="H44" s="236">
        <f>SUMIFS('GTTK chung'!$P$4:$P$143,'GTTK chung'!$Q$4:$Q$143,2025,'GTTK chung'!$Q$4:$Q$143,H$37,'GTTK chung'!$E$4:$E$143,$B44,'GTTK chung'!$F$4:$F$143,"hdpe")</f>
        <v>0</v>
      </c>
      <c r="I44" s="236">
        <f>SUMIFS('GTTK chung'!$P$4:$P$143,'GTTK chung'!$Q$4:$Q$143,2025,'GTTK chung'!$Q$4:$Q$143,I$37,'GTTK chung'!$E$4:$E$143,$B44,'GTTK chung'!$F$4:$F$143,"hdpe")</f>
        <v>0</v>
      </c>
      <c r="J44" s="236">
        <f>SUMIFS('GTTK chung'!$P$4:$P$143,'GTTK chung'!$Q$4:$Q$143,2025,'GTTK chung'!$Q$4:$Q$143,J$37,'GTTK chung'!$E$4:$E$143,$B44,'GTTK chung'!$F$4:$F$143,"hdpe")</f>
        <v>0</v>
      </c>
      <c r="K44" s="236">
        <f>SUMIFS('GTTK chung'!$P$4:$P$143,'GTTK chung'!$Q$4:$Q$143,2025,'GTTK chung'!$Q$4:$Q$143,K$37,'GTTK chung'!$E$4:$E$143,$B44,'GTTK chung'!$F$4:$F$143,"hdpe")</f>
        <v>0</v>
      </c>
      <c r="L44" s="236">
        <f>SUMIFS('GTTK chung'!$P$4:$P$143,'GTTK chung'!$Q$4:$Q$143,2025,'GTTK chung'!$Q$4:$Q$143,L$37,'GTTK chung'!$E$4:$E$143,$B44,'GTTK chung'!$F$4:$F$143,"hdpe")</f>
        <v>0</v>
      </c>
      <c r="M44" s="236">
        <f>SUMIFS('GTTK chung'!$P$4:$P$143,'GTTK chung'!$Q$4:$Q$143,2025,'GTTK chung'!$Q$4:$Q$143,M$37,'GTTK chung'!$E$4:$E$143,$B44,'GTTK chung'!$F$4:$F$143,"hdpe")</f>
        <v>0</v>
      </c>
      <c r="N44" s="236">
        <f>SUMIFS('GTTK chung'!$P$4:$P$143,'GTTK chung'!$Q$4:$Q$143,2025,'GTTK chung'!$Q$4:$Q$143,N$37,'GTTK chung'!$E$4:$E$143,$B44,'GTTK chung'!$F$4:$F$143,"hdpe")</f>
        <v>0</v>
      </c>
      <c r="O44" s="236">
        <f>SUMIFS('GTTK chung'!$P$4:$P$143,'GTTK chung'!$Q$4:$Q$143,2025,'GTTK chung'!$Q$4:$Q$143,O$37,'GTTK chung'!$E$4:$E$143,$B44,'GTTK chung'!$F$4:$F$143,"hdpe")</f>
        <v>0</v>
      </c>
      <c r="R44" s="228">
        <v>7</v>
      </c>
      <c r="S44" s="225" t="s">
        <v>167</v>
      </c>
      <c r="T44" s="256"/>
      <c r="U44" s="236">
        <f>SUM($D44:D44)</f>
        <v>0</v>
      </c>
      <c r="V44" s="236">
        <f>SUM($D44:E44)</f>
        <v>0</v>
      </c>
      <c r="W44" s="236">
        <f>SUM($D44:F44)</f>
        <v>0</v>
      </c>
      <c r="X44" s="236">
        <f>SUM($D44:G44)</f>
        <v>0</v>
      </c>
      <c r="Y44" s="236">
        <f>SUM($D44:H44)</f>
        <v>0</v>
      </c>
      <c r="Z44" s="236">
        <f>SUM($D44:I44)</f>
        <v>0</v>
      </c>
      <c r="AA44" s="236">
        <f>SUM($D44:J44)</f>
        <v>0</v>
      </c>
      <c r="AB44" s="236">
        <f>SUM($D44:K44)</f>
        <v>0</v>
      </c>
      <c r="AC44" s="236">
        <f>SUM($D44:L44)</f>
        <v>0</v>
      </c>
      <c r="AD44" s="236">
        <f>SUM($D44:M44)</f>
        <v>0</v>
      </c>
      <c r="AE44" s="236">
        <f>SUM($D44:N44)</f>
        <v>0</v>
      </c>
      <c r="AF44" s="236">
        <f>SUM($D44:O44)</f>
        <v>0</v>
      </c>
      <c r="AG44" s="218"/>
    </row>
    <row r="45" spans="1:33">
      <c r="A45" s="228">
        <v>8</v>
      </c>
      <c r="B45" s="225" t="s">
        <v>175</v>
      </c>
      <c r="C45" s="256">
        <f t="shared" si="3"/>
        <v>0</v>
      </c>
      <c r="D45" s="236">
        <f>SUMIFS('GTTK chung'!$P$4:$P$143,'GTTK chung'!$Q$4:$Q$143,2025,'GTTK chung'!$Q$4:$Q$143,D$37,'GTTK chung'!$E$4:$E$143,$B45,'GTTK chung'!$F$4:$F$143,"hdpe")</f>
        <v>0</v>
      </c>
      <c r="E45" s="236">
        <f>SUMIFS('GTTK chung'!$P$4:$P$143,'GTTK chung'!$Q$4:$Q$143,2025,'GTTK chung'!$Q$4:$Q$143,E$37,'GTTK chung'!$E$4:$E$143,$B45,'GTTK chung'!$F$4:$F$143,"hdpe")</f>
        <v>0</v>
      </c>
      <c r="F45" s="236">
        <f>SUMIFS('GTTK chung'!$P$4:$P$143,'GTTK chung'!$Q$4:$Q$143,2025,'GTTK chung'!$Q$4:$Q$143,F$37,'GTTK chung'!$E$4:$E$143,$B45,'GTTK chung'!$F$4:$F$143,"hdpe")</f>
        <v>0</v>
      </c>
      <c r="G45" s="236">
        <f>SUMIFS('GTTK chung'!$P$4:$P$143,'GTTK chung'!$Q$4:$Q$143,2025,'GTTK chung'!$Q$4:$Q$143,G$37,'GTTK chung'!$E$4:$E$143,$B45,'GTTK chung'!$F$4:$F$143,"hdpe")</f>
        <v>0</v>
      </c>
      <c r="H45" s="236">
        <f>SUMIFS('GTTK chung'!$P$4:$P$143,'GTTK chung'!$Q$4:$Q$143,2025,'GTTK chung'!$Q$4:$Q$143,H$37,'GTTK chung'!$E$4:$E$143,$B45,'GTTK chung'!$F$4:$F$143,"hdpe")</f>
        <v>0</v>
      </c>
      <c r="I45" s="236">
        <f>SUMIFS('GTTK chung'!$P$4:$P$143,'GTTK chung'!$Q$4:$Q$143,2025,'GTTK chung'!$Q$4:$Q$143,I$37,'GTTK chung'!$E$4:$E$143,$B45,'GTTK chung'!$F$4:$F$143,"hdpe")</f>
        <v>0</v>
      </c>
      <c r="J45" s="236">
        <f>SUMIFS('GTTK chung'!$P$4:$P$143,'GTTK chung'!$Q$4:$Q$143,2025,'GTTK chung'!$Q$4:$Q$143,J$37,'GTTK chung'!$E$4:$E$143,$B45,'GTTK chung'!$F$4:$F$143,"hdpe")</f>
        <v>0</v>
      </c>
      <c r="K45" s="236">
        <f>SUMIFS('GTTK chung'!$P$4:$P$143,'GTTK chung'!$Q$4:$Q$143,2025,'GTTK chung'!$Q$4:$Q$143,K$37,'GTTK chung'!$E$4:$E$143,$B45,'GTTK chung'!$F$4:$F$143,"hdpe")</f>
        <v>0</v>
      </c>
      <c r="L45" s="236">
        <f>SUMIFS('GTTK chung'!$P$4:$P$143,'GTTK chung'!$Q$4:$Q$143,2025,'GTTK chung'!$Q$4:$Q$143,L$37,'GTTK chung'!$E$4:$E$143,$B45,'GTTK chung'!$F$4:$F$143,"hdpe")</f>
        <v>0</v>
      </c>
      <c r="M45" s="236">
        <f>SUMIFS('GTTK chung'!$P$4:$P$143,'GTTK chung'!$Q$4:$Q$143,2025,'GTTK chung'!$Q$4:$Q$143,M$37,'GTTK chung'!$E$4:$E$143,$B45,'GTTK chung'!$F$4:$F$143,"hdpe")</f>
        <v>0</v>
      </c>
      <c r="N45" s="236">
        <f>SUMIFS('GTTK chung'!$P$4:$P$143,'GTTK chung'!$Q$4:$Q$143,2025,'GTTK chung'!$Q$4:$Q$143,N$37,'GTTK chung'!$E$4:$E$143,$B45,'GTTK chung'!$F$4:$F$143,"hdpe")</f>
        <v>0</v>
      </c>
      <c r="O45" s="236">
        <f>SUMIFS('GTTK chung'!$P$4:$P$143,'GTTK chung'!$Q$4:$Q$143,2025,'GTTK chung'!$Q$4:$Q$143,O$37,'GTTK chung'!$E$4:$E$143,$B45,'GTTK chung'!$F$4:$F$143,"hdpe")</f>
        <v>0</v>
      </c>
      <c r="R45" s="228">
        <v>8</v>
      </c>
      <c r="S45" s="225" t="s">
        <v>169</v>
      </c>
      <c r="T45" s="256"/>
      <c r="U45" s="236">
        <f>SUM($D45:D45)</f>
        <v>0</v>
      </c>
      <c r="V45" s="236">
        <f>SUM($D45:E45)</f>
        <v>0</v>
      </c>
      <c r="W45" s="236">
        <f>SUM($D45:F45)</f>
        <v>0</v>
      </c>
      <c r="X45" s="236">
        <f>SUM($D45:G45)</f>
        <v>0</v>
      </c>
      <c r="Y45" s="236">
        <f>SUM($D45:H45)</f>
        <v>0</v>
      </c>
      <c r="Z45" s="236">
        <f>SUM($D45:I45)</f>
        <v>0</v>
      </c>
      <c r="AA45" s="236">
        <f>SUM($D45:J45)</f>
        <v>0</v>
      </c>
      <c r="AB45" s="236">
        <f>SUM($D45:K45)</f>
        <v>0</v>
      </c>
      <c r="AC45" s="236">
        <f>SUM($D45:L45)</f>
        <v>0</v>
      </c>
      <c r="AD45" s="236">
        <f>SUM($D45:M45)</f>
        <v>0</v>
      </c>
      <c r="AE45" s="236">
        <f>SUM($D45:N45)</f>
        <v>0</v>
      </c>
      <c r="AF45" s="236">
        <f>SUM($D45:O45)</f>
        <v>0</v>
      </c>
      <c r="AG45" s="218"/>
    </row>
    <row r="46" spans="1:33">
      <c r="A46" s="252"/>
      <c r="B46" s="253" t="s">
        <v>376</v>
      </c>
      <c r="C46" s="254">
        <f>SUM(C38:C45)</f>
        <v>0</v>
      </c>
      <c r="D46" s="254">
        <f t="shared" ref="D46:O46" si="4">SUM(D38:D45)</f>
        <v>0</v>
      </c>
      <c r="E46" s="254">
        <f t="shared" si="4"/>
        <v>0</v>
      </c>
      <c r="F46" s="254">
        <f t="shared" si="4"/>
        <v>0</v>
      </c>
      <c r="G46" s="254">
        <f t="shared" si="4"/>
        <v>0</v>
      </c>
      <c r="H46" s="254">
        <f t="shared" si="4"/>
        <v>0</v>
      </c>
      <c r="I46" s="254">
        <f t="shared" si="4"/>
        <v>0</v>
      </c>
      <c r="J46" s="254">
        <f t="shared" si="4"/>
        <v>0</v>
      </c>
      <c r="K46" s="254">
        <f t="shared" si="4"/>
        <v>0</v>
      </c>
      <c r="L46" s="254">
        <f t="shared" si="4"/>
        <v>0</v>
      </c>
      <c r="M46" s="254">
        <f t="shared" si="4"/>
        <v>0</v>
      </c>
      <c r="N46" s="254">
        <f t="shared" si="4"/>
        <v>0</v>
      </c>
      <c r="O46" s="254">
        <f t="shared" si="4"/>
        <v>0</v>
      </c>
      <c r="R46" s="252"/>
      <c r="S46" s="253" t="s">
        <v>376</v>
      </c>
      <c r="T46" s="254"/>
      <c r="U46" s="254">
        <f t="shared" ref="U46:AF46" si="5">SUM(U38:U45)</f>
        <v>0</v>
      </c>
      <c r="V46" s="254">
        <f t="shared" si="5"/>
        <v>0</v>
      </c>
      <c r="W46" s="254">
        <f t="shared" si="5"/>
        <v>0</v>
      </c>
      <c r="X46" s="254">
        <f t="shared" si="5"/>
        <v>0</v>
      </c>
      <c r="Y46" s="254">
        <f t="shared" si="5"/>
        <v>0</v>
      </c>
      <c r="Z46" s="254">
        <f t="shared" si="5"/>
        <v>0</v>
      </c>
      <c r="AA46" s="254">
        <f t="shared" si="5"/>
        <v>0</v>
      </c>
      <c r="AB46" s="254">
        <f t="shared" si="5"/>
        <v>0</v>
      </c>
      <c r="AC46" s="254">
        <f t="shared" si="5"/>
        <v>0</v>
      </c>
      <c r="AD46" s="254">
        <f t="shared" si="5"/>
        <v>0</v>
      </c>
      <c r="AE46" s="254">
        <f t="shared" si="5"/>
        <v>0</v>
      </c>
      <c r="AF46" s="254">
        <f t="shared" si="5"/>
        <v>0</v>
      </c>
    </row>
    <row r="66" spans="1:33" ht="16.5">
      <c r="B66" s="199" t="s">
        <v>119</v>
      </c>
    </row>
    <row r="67" spans="1:33">
      <c r="B67" s="233" t="s">
        <v>374</v>
      </c>
      <c r="S67" s="232"/>
    </row>
    <row r="68" spans="1:33">
      <c r="A68" s="237" t="s">
        <v>0</v>
      </c>
      <c r="B68" s="238" t="s">
        <v>375</v>
      </c>
      <c r="C68" s="239"/>
      <c r="D68" s="239"/>
      <c r="E68" s="239"/>
      <c r="F68" s="239"/>
      <c r="G68" s="239"/>
      <c r="H68" s="239"/>
      <c r="I68" s="239"/>
      <c r="J68" s="239"/>
      <c r="K68" s="239"/>
      <c r="L68" s="239"/>
      <c r="M68" s="239"/>
      <c r="N68" s="239"/>
      <c r="O68" s="240"/>
      <c r="R68" s="237" t="s">
        <v>0</v>
      </c>
      <c r="S68" s="238" t="s">
        <v>375</v>
      </c>
      <c r="T68" s="239"/>
      <c r="U68" s="239"/>
      <c r="V68" s="239"/>
      <c r="W68" s="239"/>
      <c r="X68" s="239"/>
      <c r="Y68" s="239"/>
      <c r="Z68" s="239"/>
      <c r="AA68" s="239"/>
      <c r="AB68" s="239"/>
      <c r="AC68" s="239"/>
      <c r="AD68" s="239"/>
      <c r="AE68" s="239"/>
      <c r="AF68" s="240"/>
    </row>
    <row r="69" spans="1:33">
      <c r="A69" s="226">
        <v>1</v>
      </c>
      <c r="B69" s="224" t="s">
        <v>164</v>
      </c>
      <c r="C69" s="255"/>
      <c r="D69" s="235"/>
      <c r="E69" s="235"/>
      <c r="F69" s="235"/>
      <c r="G69" s="235"/>
      <c r="H69" s="235"/>
      <c r="I69" s="235"/>
      <c r="J69" s="235"/>
      <c r="K69" s="235"/>
      <c r="L69" s="235"/>
      <c r="M69" s="235"/>
      <c r="N69" s="235"/>
      <c r="O69" s="235"/>
      <c r="R69" s="226">
        <v>1</v>
      </c>
      <c r="S69" s="224" t="s">
        <v>164</v>
      </c>
      <c r="T69" s="255"/>
      <c r="U69" s="235"/>
      <c r="V69" s="235"/>
      <c r="W69" s="235"/>
      <c r="X69" s="235"/>
      <c r="Y69" s="235"/>
      <c r="Z69" s="235"/>
      <c r="AA69" s="235"/>
      <c r="AB69" s="235"/>
      <c r="AC69" s="235"/>
      <c r="AD69" s="235"/>
      <c r="AE69" s="235"/>
      <c r="AF69" s="235"/>
      <c r="AG69" s="258"/>
    </row>
    <row r="70" spans="1:33">
      <c r="A70" s="228">
        <v>2</v>
      </c>
      <c r="B70" s="225" t="s">
        <v>31</v>
      </c>
      <c r="C70" s="256"/>
      <c r="D70" s="236"/>
      <c r="E70" s="236"/>
      <c r="F70" s="236"/>
      <c r="G70" s="236"/>
      <c r="H70" s="236"/>
      <c r="I70" s="236"/>
      <c r="J70" s="236"/>
      <c r="K70" s="236"/>
      <c r="L70" s="236"/>
      <c r="M70" s="236"/>
      <c r="N70" s="236"/>
      <c r="O70" s="236"/>
      <c r="R70" s="228">
        <v>2</v>
      </c>
      <c r="S70" s="225" t="s">
        <v>173</v>
      </c>
      <c r="T70" s="256"/>
      <c r="U70" s="236"/>
      <c r="V70" s="236"/>
      <c r="W70" s="236"/>
      <c r="X70" s="236"/>
      <c r="Y70" s="236"/>
      <c r="Z70" s="236"/>
      <c r="AA70" s="236"/>
      <c r="AB70" s="236"/>
      <c r="AC70" s="236"/>
      <c r="AD70" s="236"/>
      <c r="AE70" s="236"/>
      <c r="AF70" s="236"/>
      <c r="AG70" s="218"/>
    </row>
    <row r="71" spans="1:33">
      <c r="A71" s="228">
        <v>3</v>
      </c>
      <c r="B71" s="225" t="s">
        <v>167</v>
      </c>
      <c r="C71" s="256"/>
      <c r="D71" s="236"/>
      <c r="E71" s="236"/>
      <c r="F71" s="236"/>
      <c r="G71" s="236"/>
      <c r="H71" s="236"/>
      <c r="I71" s="236"/>
      <c r="J71" s="236"/>
      <c r="K71" s="236"/>
      <c r="L71" s="236"/>
      <c r="M71" s="236"/>
      <c r="N71" s="236"/>
      <c r="O71" s="236"/>
      <c r="R71" s="228">
        <v>3</v>
      </c>
      <c r="S71" s="225" t="s">
        <v>361</v>
      </c>
      <c r="T71" s="256"/>
      <c r="U71" s="236"/>
      <c r="V71" s="236"/>
      <c r="W71" s="236"/>
      <c r="X71" s="236"/>
      <c r="Y71" s="236"/>
      <c r="Z71" s="236"/>
      <c r="AA71" s="236"/>
      <c r="AB71" s="236"/>
      <c r="AC71" s="236"/>
      <c r="AD71" s="236"/>
      <c r="AE71" s="236"/>
      <c r="AF71" s="236"/>
      <c r="AG71" s="218"/>
    </row>
    <row r="72" spans="1:33">
      <c r="A72" s="228">
        <v>4</v>
      </c>
      <c r="B72" s="225" t="s">
        <v>169</v>
      </c>
      <c r="C72" s="256"/>
      <c r="D72" s="236"/>
      <c r="E72" s="236"/>
      <c r="F72" s="236"/>
      <c r="G72" s="236"/>
      <c r="H72" s="236"/>
      <c r="I72" s="236"/>
      <c r="J72" s="236"/>
      <c r="K72" s="236"/>
      <c r="L72" s="236"/>
      <c r="M72" s="236"/>
      <c r="N72" s="236"/>
      <c r="O72" s="236"/>
      <c r="R72" s="228">
        <v>4</v>
      </c>
      <c r="S72" s="225" t="s">
        <v>171</v>
      </c>
      <c r="T72" s="256"/>
      <c r="U72" s="236"/>
      <c r="V72" s="236"/>
      <c r="W72" s="236"/>
      <c r="X72" s="236"/>
      <c r="Y72" s="236"/>
      <c r="Z72" s="236"/>
      <c r="AA72" s="236"/>
      <c r="AB72" s="236"/>
      <c r="AC72" s="236"/>
      <c r="AD72" s="236"/>
      <c r="AE72" s="236"/>
      <c r="AF72" s="236"/>
      <c r="AG72" s="218"/>
    </row>
    <row r="73" spans="1:33">
      <c r="A73" s="228">
        <v>5</v>
      </c>
      <c r="B73" s="225" t="s">
        <v>171</v>
      </c>
      <c r="C73" s="256"/>
      <c r="D73" s="236"/>
      <c r="E73" s="236"/>
      <c r="F73" s="236"/>
      <c r="G73" s="236"/>
      <c r="H73" s="236"/>
      <c r="I73" s="236"/>
      <c r="J73" s="236"/>
      <c r="K73" s="236"/>
      <c r="L73" s="236"/>
      <c r="M73" s="236"/>
      <c r="N73" s="236"/>
      <c r="O73" s="236"/>
      <c r="R73" s="228">
        <v>5</v>
      </c>
      <c r="S73" s="225" t="s">
        <v>175</v>
      </c>
      <c r="T73" s="256"/>
      <c r="U73" s="236"/>
      <c r="V73" s="236"/>
      <c r="W73" s="236"/>
      <c r="X73" s="236"/>
      <c r="Y73" s="236"/>
      <c r="Z73" s="236"/>
      <c r="AA73" s="236"/>
      <c r="AB73" s="236"/>
      <c r="AC73" s="236"/>
      <c r="AD73" s="236"/>
      <c r="AE73" s="236"/>
      <c r="AF73" s="236"/>
      <c r="AG73" s="218"/>
    </row>
    <row r="74" spans="1:33">
      <c r="A74" s="228">
        <v>6</v>
      </c>
      <c r="B74" s="225" t="s">
        <v>173</v>
      </c>
      <c r="C74" s="256"/>
      <c r="D74" s="236"/>
      <c r="E74" s="236"/>
      <c r="F74" s="236"/>
      <c r="G74" s="236"/>
      <c r="H74" s="236"/>
      <c r="I74" s="236"/>
      <c r="J74" s="236"/>
      <c r="K74" s="236"/>
      <c r="L74" s="236"/>
      <c r="M74" s="236"/>
      <c r="N74" s="236"/>
      <c r="O74" s="236"/>
      <c r="R74" s="228">
        <v>6</v>
      </c>
      <c r="S74" s="225" t="s">
        <v>31</v>
      </c>
      <c r="T74" s="256"/>
      <c r="U74" s="236"/>
      <c r="V74" s="236"/>
      <c r="W74" s="236"/>
      <c r="X74" s="236"/>
      <c r="Y74" s="236"/>
      <c r="Z74" s="236"/>
      <c r="AA74" s="236"/>
      <c r="AB74" s="236"/>
      <c r="AC74" s="236"/>
      <c r="AD74" s="236"/>
      <c r="AE74" s="236"/>
      <c r="AF74" s="236"/>
      <c r="AG74" s="218"/>
    </row>
    <row r="75" spans="1:33">
      <c r="A75" s="228">
        <v>7</v>
      </c>
      <c r="B75" s="225" t="s">
        <v>361</v>
      </c>
      <c r="C75" s="256"/>
      <c r="D75" s="236"/>
      <c r="E75" s="236"/>
      <c r="F75" s="236"/>
      <c r="G75" s="236"/>
      <c r="H75" s="236"/>
      <c r="I75" s="236"/>
      <c r="J75" s="236"/>
      <c r="K75" s="236"/>
      <c r="L75" s="236"/>
      <c r="M75" s="236"/>
      <c r="N75" s="236"/>
      <c r="O75" s="236"/>
      <c r="R75" s="228">
        <v>7</v>
      </c>
      <c r="S75" s="225" t="s">
        <v>167</v>
      </c>
      <c r="T75" s="256"/>
      <c r="U75" s="236"/>
      <c r="V75" s="236"/>
      <c r="W75" s="236"/>
      <c r="X75" s="236"/>
      <c r="Y75" s="236"/>
      <c r="Z75" s="236"/>
      <c r="AA75" s="236"/>
      <c r="AB75" s="236"/>
      <c r="AC75" s="236"/>
      <c r="AD75" s="236"/>
      <c r="AE75" s="236"/>
      <c r="AF75" s="236"/>
      <c r="AG75" s="218"/>
    </row>
    <row r="76" spans="1:33">
      <c r="A76" s="228">
        <v>8</v>
      </c>
      <c r="B76" s="225" t="s">
        <v>175</v>
      </c>
      <c r="C76" s="256"/>
      <c r="D76" s="236"/>
      <c r="E76" s="236"/>
      <c r="F76" s="236"/>
      <c r="G76" s="236"/>
      <c r="H76" s="236"/>
      <c r="I76" s="236"/>
      <c r="J76" s="236"/>
      <c r="K76" s="236"/>
      <c r="L76" s="236"/>
      <c r="M76" s="236"/>
      <c r="N76" s="236"/>
      <c r="O76" s="236"/>
      <c r="R76" s="228">
        <v>8</v>
      </c>
      <c r="S76" s="225" t="s">
        <v>169</v>
      </c>
      <c r="T76" s="256"/>
      <c r="U76" s="236"/>
      <c r="V76" s="236"/>
      <c r="W76" s="236"/>
      <c r="X76" s="236"/>
      <c r="Y76" s="236"/>
      <c r="Z76" s="236"/>
      <c r="AA76" s="236"/>
      <c r="AB76" s="236"/>
      <c r="AC76" s="236"/>
      <c r="AD76" s="236"/>
      <c r="AE76" s="236"/>
      <c r="AF76" s="236"/>
      <c r="AG76" s="218"/>
    </row>
    <row r="77" spans="1:33">
      <c r="A77" s="252"/>
      <c r="B77" s="253" t="s">
        <v>376</v>
      </c>
      <c r="C77" s="254"/>
      <c r="D77" s="254"/>
      <c r="E77" s="254"/>
      <c r="F77" s="254"/>
      <c r="G77" s="254"/>
      <c r="H77" s="254"/>
      <c r="I77" s="254"/>
      <c r="J77" s="254"/>
      <c r="K77" s="254"/>
      <c r="L77" s="254"/>
      <c r="M77" s="254"/>
      <c r="N77" s="254"/>
      <c r="O77" s="254"/>
      <c r="R77" s="252"/>
      <c r="S77" s="253" t="s">
        <v>376</v>
      </c>
      <c r="T77" s="254"/>
      <c r="U77" s="254"/>
      <c r="V77" s="254"/>
      <c r="W77" s="254"/>
      <c r="X77" s="254"/>
      <c r="Y77" s="254"/>
      <c r="Z77" s="254"/>
      <c r="AA77" s="254"/>
      <c r="AB77" s="254"/>
      <c r="AC77" s="254"/>
      <c r="AD77" s="254"/>
      <c r="AE77" s="254"/>
      <c r="AF77" s="254"/>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1B05-60C2-419B-8B81-7FBB4E39B074}">
  <sheetPr codeName="Sheet21"/>
  <dimension ref="A3:C27"/>
  <sheetViews>
    <sheetView showGridLines="0" topLeftCell="A7" zoomScaleNormal="100" workbookViewId="0">
      <selection activeCell="AQ3" sqref="AQ3"/>
    </sheetView>
  </sheetViews>
  <sheetFormatPr defaultColWidth="8.54296875" defaultRowHeight="14.5"/>
  <cols>
    <col min="1" max="1" width="8.54296875" style="34"/>
    <col min="2" max="2" width="58" style="34" customWidth="1"/>
    <col min="3" max="3" width="29.453125" style="34" customWidth="1"/>
    <col min="4" max="16384" width="8.54296875" style="34"/>
  </cols>
  <sheetData>
    <row r="3" spans="1:3" ht="29">
      <c r="A3" s="349" t="s">
        <v>0</v>
      </c>
      <c r="B3" s="349" t="s">
        <v>356</v>
      </c>
      <c r="C3" s="350" t="s">
        <v>399</v>
      </c>
    </row>
    <row r="4" spans="1:3" ht="20.9" customHeight="1">
      <c r="A4" s="270">
        <v>1</v>
      </c>
      <c r="B4" s="272" t="s">
        <v>401</v>
      </c>
      <c r="C4" s="270">
        <v>-20</v>
      </c>
    </row>
    <row r="5" spans="1:3" ht="20.9" customHeight="1">
      <c r="A5" s="270">
        <v>2</v>
      </c>
      <c r="B5" s="272" t="s">
        <v>404</v>
      </c>
      <c r="C5" s="270">
        <v>-10.1</v>
      </c>
    </row>
    <row r="6" spans="1:3" ht="29">
      <c r="A6" s="270">
        <v>3</v>
      </c>
      <c r="B6" s="272" t="s">
        <v>405</v>
      </c>
      <c r="C6" s="270">
        <v>-1.8</v>
      </c>
    </row>
    <row r="7" spans="1:3" ht="20.9" customHeight="1">
      <c r="A7" s="270">
        <v>4</v>
      </c>
      <c r="B7" s="272" t="s">
        <v>406</v>
      </c>
      <c r="C7" s="270">
        <v>-2.4</v>
      </c>
    </row>
    <row r="8" spans="1:3" ht="20.9" customHeight="1">
      <c r="A8" s="270">
        <v>5</v>
      </c>
      <c r="B8" s="272" t="s">
        <v>407</v>
      </c>
      <c r="C8" s="270">
        <v>-2.4</v>
      </c>
    </row>
    <row r="9" spans="1:3" ht="20.9" customHeight="1">
      <c r="A9" s="270">
        <v>6</v>
      </c>
      <c r="B9" s="272" t="s">
        <v>408</v>
      </c>
      <c r="C9" s="270">
        <v>-28.9</v>
      </c>
    </row>
    <row r="10" spans="1:3" ht="20.9" customHeight="1">
      <c r="A10" s="270">
        <v>7</v>
      </c>
      <c r="B10" s="272" t="s">
        <v>409</v>
      </c>
      <c r="C10" s="270">
        <v>-0.3</v>
      </c>
    </row>
    <row r="11" spans="1:3" ht="20.9" customHeight="1">
      <c r="A11" s="270">
        <v>8</v>
      </c>
      <c r="B11" s="272" t="s">
        <v>410</v>
      </c>
      <c r="C11" s="270">
        <v>-6.2</v>
      </c>
    </row>
    <row r="12" spans="1:3" ht="20.9" customHeight="1">
      <c r="A12" s="270">
        <v>9</v>
      </c>
      <c r="B12" s="272" t="s">
        <v>411</v>
      </c>
      <c r="C12" s="270">
        <v>-4.5</v>
      </c>
    </row>
    <row r="13" spans="1:3" ht="20.9" customHeight="1">
      <c r="A13" s="270">
        <v>10</v>
      </c>
      <c r="B13" s="272" t="s">
        <v>412</v>
      </c>
      <c r="C13" s="270">
        <v>-0.1</v>
      </c>
    </row>
    <row r="14" spans="1:3" ht="20.9" customHeight="1" thickBot="1">
      <c r="A14" s="271">
        <v>11</v>
      </c>
      <c r="B14" s="273" t="s">
        <v>413</v>
      </c>
      <c r="C14" s="271">
        <v>-0.6</v>
      </c>
    </row>
    <row r="15" spans="1:3" ht="15" thickBot="1">
      <c r="A15" s="351" t="s">
        <v>376</v>
      </c>
      <c r="B15" s="351"/>
      <c r="C15" s="352">
        <f>SUM(C4:C14)</f>
        <v>-77.299999999999983</v>
      </c>
    </row>
    <row r="22" spans="1:3" ht="29">
      <c r="A22" s="274" t="s">
        <v>0</v>
      </c>
      <c r="B22" s="274" t="s">
        <v>356</v>
      </c>
      <c r="C22" s="275" t="s">
        <v>399</v>
      </c>
    </row>
    <row r="23" spans="1:3">
      <c r="A23" s="270">
        <v>1</v>
      </c>
      <c r="B23" s="272" t="s">
        <v>28</v>
      </c>
      <c r="C23" s="270">
        <v>-7.5</v>
      </c>
    </row>
    <row r="24" spans="1:3">
      <c r="A24" s="270">
        <v>2</v>
      </c>
      <c r="B24" s="272" t="s">
        <v>26</v>
      </c>
      <c r="C24" s="270">
        <v>-37.799999999999997</v>
      </c>
    </row>
    <row r="25" spans="1:3">
      <c r="A25" s="270">
        <v>3</v>
      </c>
      <c r="B25" s="272" t="s">
        <v>414</v>
      </c>
      <c r="C25" s="270">
        <v>-2.6</v>
      </c>
    </row>
    <row r="26" spans="1:3" ht="29.5" thickBot="1">
      <c r="A26" s="270">
        <v>4</v>
      </c>
      <c r="B26" s="272" t="s">
        <v>415</v>
      </c>
      <c r="C26" s="270">
        <v>-15</v>
      </c>
    </row>
    <row r="27" spans="1:3" ht="15" thickBot="1">
      <c r="A27" s="276" t="s">
        <v>376</v>
      </c>
      <c r="B27" s="276"/>
      <c r="C27" s="277">
        <f>SUM(C23:C26)</f>
        <v>-62.9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F894-9FD0-409F-95E0-16B35294B363}">
  <sheetPr codeName="Sheet22"/>
  <dimension ref="B3:C6"/>
  <sheetViews>
    <sheetView workbookViewId="0">
      <selection activeCell="C6" sqref="C6"/>
    </sheetView>
  </sheetViews>
  <sheetFormatPr defaultRowHeight="14.5"/>
  <cols>
    <col min="2" max="2" width="16.08984375" customWidth="1"/>
    <col min="3" max="3" width="12" customWidth="1"/>
  </cols>
  <sheetData>
    <row r="3" spans="2:3">
      <c r="B3" s="143">
        <v>1180837890</v>
      </c>
    </row>
    <row r="4" spans="2:3">
      <c r="B4" s="143">
        <v>400248054</v>
      </c>
    </row>
    <row r="5" spans="2:3">
      <c r="B5" s="144">
        <f>SUM(B3:B4)</f>
        <v>1581085944</v>
      </c>
    </row>
    <row r="6" spans="2:3">
      <c r="B6" s="143">
        <v>1826889258</v>
      </c>
      <c r="C6" s="144">
        <f>B6-B5</f>
        <v>245803314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BDE8-9864-45FF-B079-1F700EA0D07C}">
  <sheetPr codeName="Sheet23"/>
  <dimension ref="A1:E17"/>
  <sheetViews>
    <sheetView showGridLines="0" zoomScale="85" zoomScaleNormal="85" workbookViewId="0">
      <selection activeCell="D3" sqref="D3"/>
    </sheetView>
  </sheetViews>
  <sheetFormatPr defaultRowHeight="14.5"/>
  <cols>
    <col min="1" max="1" width="6" customWidth="1"/>
    <col min="2" max="2" width="34.90625" customWidth="1"/>
    <col min="3" max="3" width="36.08984375" customWidth="1"/>
    <col min="4" max="4" width="14" customWidth="1"/>
    <col min="5" max="5" width="91.453125" customWidth="1"/>
  </cols>
  <sheetData>
    <row r="1" spans="1:5" ht="35.15" customHeight="1">
      <c r="A1" s="1319" t="s">
        <v>0</v>
      </c>
      <c r="B1" s="1319" t="s">
        <v>466</v>
      </c>
      <c r="C1" s="1319" t="s">
        <v>375</v>
      </c>
      <c r="D1" s="1319" t="s">
        <v>467</v>
      </c>
      <c r="E1" s="1319" t="s">
        <v>468</v>
      </c>
    </row>
    <row r="2" spans="1:5" s="380" customFormat="1" ht="21" customHeight="1">
      <c r="A2" s="1320" t="s">
        <v>355</v>
      </c>
      <c r="B2" s="1343" t="s">
        <v>751</v>
      </c>
      <c r="C2" s="1344"/>
      <c r="D2" s="1345">
        <v>2.6022850325761606</v>
      </c>
      <c r="E2" s="1346"/>
    </row>
    <row r="3" spans="1:5" s="380" customFormat="1" ht="58">
      <c r="A3" s="1321" t="s">
        <v>469</v>
      </c>
      <c r="B3" s="1322" t="s">
        <v>923</v>
      </c>
      <c r="C3" s="1322" t="s">
        <v>361</v>
      </c>
      <c r="D3" s="1323">
        <v>1.2748346037207803</v>
      </c>
      <c r="E3" s="1324" t="s">
        <v>936</v>
      </c>
    </row>
    <row r="4" spans="1:5" s="380" customFormat="1" ht="23.4" customHeight="1">
      <c r="A4" s="1325" t="s">
        <v>470</v>
      </c>
      <c r="B4" s="1326" t="s">
        <v>453</v>
      </c>
      <c r="C4" s="1326" t="s">
        <v>164</v>
      </c>
      <c r="D4" s="1327">
        <v>0.76501022235516725</v>
      </c>
      <c r="E4" s="1328" t="s">
        <v>931</v>
      </c>
    </row>
    <row r="5" spans="1:5" s="380" customFormat="1" ht="29">
      <c r="A5" s="1325" t="s">
        <v>471</v>
      </c>
      <c r="B5" s="1326" t="s">
        <v>441</v>
      </c>
      <c r="C5" s="1326" t="s">
        <v>164</v>
      </c>
      <c r="D5" s="1327">
        <v>0.24555717821722478</v>
      </c>
      <c r="E5" s="1329" t="s">
        <v>915</v>
      </c>
    </row>
    <row r="6" spans="1:5" s="380" customFormat="1" ht="17">
      <c r="A6" s="1325" t="s">
        <v>472</v>
      </c>
      <c r="B6" s="1326" t="s">
        <v>428</v>
      </c>
      <c r="C6" s="1326" t="s">
        <v>169</v>
      </c>
      <c r="D6" s="1327">
        <v>0.19409969694239404</v>
      </c>
      <c r="E6" s="1329" t="s">
        <v>890</v>
      </c>
    </row>
    <row r="7" spans="1:5" s="380" customFormat="1" ht="23.4" customHeight="1">
      <c r="A7" s="1325" t="s">
        <v>473</v>
      </c>
      <c r="B7" s="1326" t="s">
        <v>443</v>
      </c>
      <c r="C7" s="1326" t="s">
        <v>164</v>
      </c>
      <c r="D7" s="1327">
        <v>9.5273739569340196E-2</v>
      </c>
      <c r="E7" s="1329" t="s">
        <v>891</v>
      </c>
    </row>
    <row r="8" spans="1:5" s="380" customFormat="1" ht="23.4" customHeight="1">
      <c r="A8" s="1325" t="s">
        <v>910</v>
      </c>
      <c r="B8" s="1330" t="s">
        <v>429</v>
      </c>
      <c r="C8" s="1330" t="s">
        <v>175</v>
      </c>
      <c r="D8" s="1331">
        <v>2.7509591771254144E-2</v>
      </c>
      <c r="E8" s="1329" t="s">
        <v>939</v>
      </c>
    </row>
    <row r="9" spans="1:5" s="380" customFormat="1" ht="17">
      <c r="A9" s="1332" t="s">
        <v>372</v>
      </c>
      <c r="B9" s="1347" t="s">
        <v>474</v>
      </c>
      <c r="C9" s="1348"/>
      <c r="D9" s="1349">
        <v>-0.89445213130604384</v>
      </c>
      <c r="E9" s="1350"/>
    </row>
    <row r="10" spans="1:5" s="380" customFormat="1" ht="17">
      <c r="A10" s="1321" t="s">
        <v>475</v>
      </c>
      <c r="B10" s="1322" t="s">
        <v>444</v>
      </c>
      <c r="C10" s="1322" t="s">
        <v>164</v>
      </c>
      <c r="D10" s="1323">
        <v>-0.39767685647464979</v>
      </c>
      <c r="E10" s="1329" t="s">
        <v>937</v>
      </c>
    </row>
    <row r="11" spans="1:5" s="380" customFormat="1" ht="23.4" customHeight="1">
      <c r="A11" s="1333" t="s">
        <v>476</v>
      </c>
      <c r="B11" s="1330" t="s">
        <v>447</v>
      </c>
      <c r="C11" s="1330" t="s">
        <v>164</v>
      </c>
      <c r="D11" s="1334">
        <v>-0.33210532283043348</v>
      </c>
      <c r="E11" s="1329" t="s">
        <v>889</v>
      </c>
    </row>
    <row r="12" spans="1:5" s="380" customFormat="1" ht="23.4" customHeight="1">
      <c r="A12" s="1333" t="s">
        <v>477</v>
      </c>
      <c r="B12" s="1330" t="s">
        <v>442</v>
      </c>
      <c r="C12" s="1330" t="s">
        <v>164</v>
      </c>
      <c r="D12" s="1334">
        <v>-6.1883440045662097E-2</v>
      </c>
      <c r="E12" s="1329" t="s">
        <v>938</v>
      </c>
    </row>
    <row r="13" spans="1:5" s="380" customFormat="1" ht="23.15" customHeight="1">
      <c r="A13" s="1333" t="s">
        <v>479</v>
      </c>
      <c r="B13" s="1330" t="s">
        <v>432</v>
      </c>
      <c r="C13" s="1330" t="s">
        <v>175</v>
      </c>
      <c r="D13" s="1334">
        <v>-5.2285704708737689E-2</v>
      </c>
      <c r="E13" s="1329" t="s">
        <v>916</v>
      </c>
    </row>
    <row r="14" spans="1:5" s="380" customFormat="1" ht="23.4" customHeight="1">
      <c r="A14" s="1333" t="s">
        <v>485</v>
      </c>
      <c r="B14" s="1330" t="s">
        <v>430</v>
      </c>
      <c r="C14" s="1330" t="s">
        <v>478</v>
      </c>
      <c r="D14" s="1334">
        <v>-1.88692373565571E-2</v>
      </c>
      <c r="E14" s="1329" t="s">
        <v>888</v>
      </c>
    </row>
    <row r="15" spans="1:5" s="380" customFormat="1" ht="23.4" customHeight="1">
      <c r="A15" s="1335" t="s">
        <v>780</v>
      </c>
      <c r="B15" s="1336" t="s">
        <v>446</v>
      </c>
      <c r="C15" s="1336" t="s">
        <v>164</v>
      </c>
      <c r="D15" s="1337">
        <v>-1.7888064284450098E-2</v>
      </c>
      <c r="E15" s="1329" t="s">
        <v>867</v>
      </c>
    </row>
    <row r="16" spans="1:5" s="380" customFormat="1" ht="23.4" customHeight="1">
      <c r="A16" s="1335" t="s">
        <v>781</v>
      </c>
      <c r="B16" s="1336" t="s">
        <v>445</v>
      </c>
      <c r="C16" s="1336" t="s">
        <v>164</v>
      </c>
      <c r="D16" s="1337">
        <v>-1.3743505605553498E-2</v>
      </c>
      <c r="E16" s="1329"/>
    </row>
    <row r="17" spans="1:5" ht="22.5" customHeight="1">
      <c r="A17" s="1338"/>
      <c r="B17" s="1339" t="s">
        <v>480</v>
      </c>
      <c r="C17" s="1340"/>
      <c r="D17" s="1341">
        <v>1.7078329012701168</v>
      </c>
      <c r="E17" s="1342"/>
    </row>
  </sheetData>
  <conditionalFormatting sqref="D2:D17">
    <cfRule type="cellIs" dxfId="7" priority="1"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A63D3-094A-459C-8D1C-934B2338FFE5}">
  <sheetPr codeName="Sheet24">
    <tabColor rgb="FFFF33CC"/>
  </sheetPr>
  <dimension ref="A4:T68"/>
  <sheetViews>
    <sheetView showGridLines="0" topLeftCell="A22" zoomScale="70" zoomScaleNormal="70" workbookViewId="0">
      <selection activeCell="D47" sqref="D47"/>
    </sheetView>
  </sheetViews>
  <sheetFormatPr defaultRowHeight="14.5"/>
  <cols>
    <col min="1" max="1" width="4.90625" customWidth="1"/>
    <col min="2" max="2" width="26.08984375" customWidth="1"/>
    <col min="3" max="3" width="27.90625" customWidth="1"/>
    <col min="4" max="4" width="16.453125" customWidth="1"/>
    <col min="5" max="5" width="97" customWidth="1"/>
    <col min="6" max="7" width="17.08984375" customWidth="1"/>
    <col min="8" max="8" width="10.54296875" customWidth="1"/>
    <col min="15" max="16" width="10.08984375" customWidth="1"/>
    <col min="17" max="17" width="9.54296875" customWidth="1"/>
    <col min="18" max="19" width="10.54296875" customWidth="1"/>
  </cols>
  <sheetData>
    <row r="4" spans="14:20">
      <c r="N4" s="293"/>
      <c r="O4" s="293"/>
      <c r="P4" s="293"/>
    </row>
    <row r="8" spans="14:20">
      <c r="S8" s="143"/>
      <c r="T8" s="290"/>
    </row>
    <row r="20" spans="4:20">
      <c r="R20" s="143"/>
      <c r="S20" s="143"/>
      <c r="T20" s="144"/>
    </row>
    <row r="30" spans="4:20">
      <c r="D30" s="143"/>
      <c r="E30" s="143"/>
      <c r="F30" s="144"/>
      <c r="G30" s="311"/>
    </row>
    <row r="31" spans="4:20">
      <c r="D31" s="143"/>
      <c r="E31" s="143"/>
      <c r="F31" s="144"/>
      <c r="G31" s="311"/>
    </row>
    <row r="32" spans="4:20">
      <c r="D32" s="143"/>
      <c r="E32" s="143"/>
      <c r="F32" s="144"/>
      <c r="G32" s="311"/>
    </row>
    <row r="33" spans="1:19">
      <c r="D33" s="143"/>
      <c r="E33" s="143"/>
      <c r="F33" s="144"/>
      <c r="G33" s="311"/>
    </row>
    <row r="34" spans="1:19">
      <c r="D34" s="143"/>
      <c r="E34" s="143"/>
      <c r="F34" s="144"/>
      <c r="G34" s="311"/>
    </row>
    <row r="35" spans="1:19">
      <c r="D35" s="143"/>
      <c r="E35" s="143"/>
      <c r="F35" s="144"/>
      <c r="G35" s="311"/>
    </row>
    <row r="36" spans="1:19">
      <c r="D36" s="143"/>
      <c r="E36" s="143"/>
      <c r="F36" s="144"/>
      <c r="G36" s="311"/>
    </row>
    <row r="37" spans="1:19">
      <c r="D37" s="143"/>
      <c r="E37" s="143"/>
      <c r="F37" s="144"/>
      <c r="G37" s="311"/>
    </row>
    <row r="38" spans="1:19">
      <c r="D38" s="143"/>
      <c r="E38" s="143"/>
      <c r="F38" s="144"/>
      <c r="G38" s="311"/>
    </row>
    <row r="39" spans="1:19">
      <c r="D39" s="143"/>
      <c r="E39" s="143"/>
      <c r="F39" s="144"/>
      <c r="G39" s="311"/>
    </row>
    <row r="40" spans="1:19">
      <c r="D40" s="143"/>
      <c r="E40" s="143"/>
      <c r="F40" s="144"/>
      <c r="G40" s="311"/>
    </row>
    <row r="41" spans="1:19">
      <c r="D41" s="143"/>
      <c r="E41" s="143"/>
      <c r="F41" s="144"/>
      <c r="G41" s="311"/>
    </row>
    <row r="42" spans="1:19">
      <c r="D42" s="143"/>
      <c r="E42" s="143"/>
      <c r="F42" s="144"/>
      <c r="G42" s="311"/>
    </row>
    <row r="43" spans="1:19" s="1233" customFormat="1" ht="32">
      <c r="A43" s="1234" t="s">
        <v>0</v>
      </c>
      <c r="B43" s="1234" t="s">
        <v>466</v>
      </c>
      <c r="C43" s="1234" t="s">
        <v>375</v>
      </c>
      <c r="D43" s="1234" t="s">
        <v>887</v>
      </c>
      <c r="E43" s="1234" t="s">
        <v>468</v>
      </c>
    </row>
    <row r="44" spans="1:19" s="373" customFormat="1" ht="17">
      <c r="A44" s="1222" t="s">
        <v>355</v>
      </c>
      <c r="B44" s="1097" t="s">
        <v>547</v>
      </c>
      <c r="C44" s="1098"/>
      <c r="D44" s="1235">
        <f>SUM(D45:D52)</f>
        <v>4.3786915448361361</v>
      </c>
      <c r="E44" s="1083"/>
      <c r="H44"/>
      <c r="I44"/>
      <c r="J44"/>
      <c r="K44"/>
      <c r="L44"/>
      <c r="M44"/>
      <c r="N44"/>
      <c r="O44"/>
      <c r="P44"/>
      <c r="Q44"/>
      <c r="R44"/>
      <c r="S44"/>
    </row>
    <row r="45" spans="1:19">
      <c r="A45" s="992" t="s">
        <v>469</v>
      </c>
      <c r="B45" s="375" t="s">
        <v>453</v>
      </c>
      <c r="C45" s="375" t="s">
        <v>164</v>
      </c>
      <c r="D45" s="1236">
        <f>SUMIFS('Data-Vẽ-Tháng'!$E$49:$E$63,'Data-Vẽ-Tháng'!$A$49:$A$63,'Trình Bày-Tháng-DIỄM'!$B45)</f>
        <v>1.3674095924336658</v>
      </c>
      <c r="E45" s="1311" t="s">
        <v>1244</v>
      </c>
      <c r="G45" t="s">
        <v>1229</v>
      </c>
    </row>
    <row r="46" spans="1:19">
      <c r="A46" s="1164" t="s">
        <v>470</v>
      </c>
      <c r="B46" s="384" t="s">
        <v>441</v>
      </c>
      <c r="C46" s="384" t="s">
        <v>164</v>
      </c>
      <c r="D46" s="1237">
        <f>SUMIFS('Data-Vẽ-Tháng'!$E$49:$E$63,'Data-Vẽ-Tháng'!$A$49:$A$63,'Trình Bày-Tháng-DIỄM'!$B46)</f>
        <v>0.97884161832302441</v>
      </c>
      <c r="E46" s="1277" t="s">
        <v>1057</v>
      </c>
      <c r="F46" s="1512"/>
      <c r="G46" s="1532" t="s">
        <v>1057</v>
      </c>
      <c r="H46" s="143"/>
      <c r="I46" s="144"/>
    </row>
    <row r="47" spans="1:19" ht="58">
      <c r="A47" s="1164" t="s">
        <v>471</v>
      </c>
      <c r="B47" s="384" t="s">
        <v>923</v>
      </c>
      <c r="C47" s="384" t="s">
        <v>361</v>
      </c>
      <c r="D47" s="1237">
        <f>SUMIFS('Data-Vẽ-Tháng'!$E$49:$E$63,'Data-Vẽ-Tháng'!$A$49:$A$63,'Trình Bày-Tháng-DIỄM'!$B47)</f>
        <v>0.93866541974066209</v>
      </c>
      <c r="E47" s="1081" t="s">
        <v>1245</v>
      </c>
      <c r="G47" t="s">
        <v>1230</v>
      </c>
    </row>
    <row r="48" spans="1:19" ht="130.5">
      <c r="A48" s="1164" t="s">
        <v>472</v>
      </c>
      <c r="B48" s="384" t="s">
        <v>428</v>
      </c>
      <c r="C48" s="384" t="s">
        <v>169</v>
      </c>
      <c r="D48" s="1237">
        <f>SUMIFS('Data-Vẽ-Tháng'!$E$49:$E$63,'Data-Vẽ-Tháng'!$A$49:$A$63,'Trình Bày-Tháng-DIỄM'!$B48)</f>
        <v>0.46866956575567764</v>
      </c>
      <c r="E48" s="1081" t="s">
        <v>1248</v>
      </c>
      <c r="G48" t="s">
        <v>1241</v>
      </c>
    </row>
    <row r="49" spans="1:19" ht="58">
      <c r="A49" s="992" t="s">
        <v>473</v>
      </c>
      <c r="B49" s="384" t="s">
        <v>429</v>
      </c>
      <c r="C49" s="384" t="s">
        <v>175</v>
      </c>
      <c r="D49" s="1237">
        <f>SUMIFS('Data-Vẽ-Tháng'!$E$49:$E$63,'Data-Vẽ-Tháng'!$A$49:$A$63,'Trình Bày-Tháng-DIỄM'!$B49)</f>
        <v>0.39389468980542519</v>
      </c>
      <c r="E49" s="1081" t="s">
        <v>1249</v>
      </c>
      <c r="G49" s="1111" t="s">
        <v>1233</v>
      </c>
    </row>
    <row r="50" spans="1:19" ht="43.5">
      <c r="A50" s="1164" t="s">
        <v>910</v>
      </c>
      <c r="B50" s="384" t="s">
        <v>430</v>
      </c>
      <c r="C50" s="384" t="s">
        <v>478</v>
      </c>
      <c r="D50" s="1237">
        <f>SUMIFS('Data-Vẽ-Tháng'!$E$49:$E$63,'Data-Vẽ-Tháng'!$A$49:$A$63,'Trình Bày-Tháng-DIỄM'!$B50)</f>
        <v>0.17646972623181439</v>
      </c>
      <c r="E50" s="1081" t="s">
        <v>1250</v>
      </c>
      <c r="G50" t="s">
        <v>1236</v>
      </c>
    </row>
    <row r="51" spans="1:19" ht="43.5">
      <c r="A51" s="1164" t="s">
        <v>1242</v>
      </c>
      <c r="B51" s="384" t="s">
        <v>432</v>
      </c>
      <c r="C51" s="384" t="s">
        <v>175</v>
      </c>
      <c r="D51" s="1237">
        <f>SUMIFS('Data-Vẽ-Tháng'!$E$49:$E$63,'Data-Vẽ-Tháng'!$A$49:$A$63,'Trình Bày-Tháng-DIỄM'!$B51)</f>
        <v>2.959581138295516E-2</v>
      </c>
      <c r="E51" s="1081" t="s">
        <v>1251</v>
      </c>
      <c r="G51" t="s">
        <v>1234</v>
      </c>
    </row>
    <row r="52" spans="1:19" ht="29">
      <c r="A52" s="1164" t="s">
        <v>1243</v>
      </c>
      <c r="B52" s="384" t="s">
        <v>446</v>
      </c>
      <c r="C52" s="384" t="s">
        <v>164</v>
      </c>
      <c r="D52" s="1237">
        <f>SUMIFS('Data-Vẽ-Tháng'!$E$49:$E$63,'Data-Vẽ-Tháng'!$A$49:$A$63,'Trình Bày-Tháng-DIỄM'!$B52)</f>
        <v>2.514512116291192E-2</v>
      </c>
      <c r="E52" s="1081" t="s">
        <v>1256</v>
      </c>
      <c r="G52" t="s">
        <v>1071</v>
      </c>
    </row>
    <row r="53" spans="1:19" ht="17">
      <c r="A53" s="1223" t="s">
        <v>372</v>
      </c>
      <c r="B53" s="397" t="s">
        <v>474</v>
      </c>
      <c r="C53" s="398"/>
      <c r="D53" s="1238">
        <f>SUM(D54:D58)</f>
        <v>-2.2523503078769016</v>
      </c>
      <c r="E53" s="1085"/>
    </row>
    <row r="54" spans="1:19">
      <c r="A54" s="992" t="s">
        <v>475</v>
      </c>
      <c r="B54" s="375" t="s">
        <v>443</v>
      </c>
      <c r="C54" s="375" t="s">
        <v>164</v>
      </c>
      <c r="D54" s="1236">
        <f>SUMIFS('Data-Vẽ-Tháng'!$E$49:$E$63,'Data-Vẽ-Tháng'!$A$49:$A$63,'Trình Bày-Tháng-DIỄM'!$B54)</f>
        <v>-0.97284341055534973</v>
      </c>
      <c r="E54" s="1081" t="s">
        <v>1058</v>
      </c>
      <c r="G54" t="s">
        <v>1058</v>
      </c>
    </row>
    <row r="55" spans="1:19">
      <c r="A55" s="993" t="s">
        <v>476</v>
      </c>
      <c r="B55" s="378" t="s">
        <v>447</v>
      </c>
      <c r="C55" s="378" t="s">
        <v>164</v>
      </c>
      <c r="D55" s="1239">
        <f>SUMIFS('Data-Vẽ-Tháng'!$E$49:$E$63,'Data-Vẽ-Tháng'!$A$49:$A$63,'Trình Bày-Tháng-DIỄM'!$B55)</f>
        <v>-0.59724937155504998</v>
      </c>
      <c r="E55" s="1081" t="s">
        <v>1056</v>
      </c>
      <c r="G55" t="s">
        <v>1056</v>
      </c>
    </row>
    <row r="56" spans="1:19">
      <c r="A56" s="993" t="s">
        <v>477</v>
      </c>
      <c r="B56" s="378" t="s">
        <v>442</v>
      </c>
      <c r="C56" s="378" t="s">
        <v>164</v>
      </c>
      <c r="D56" s="1239">
        <f>SUMIFS('Data-Vẽ-Tháng'!$E$49:$E$63,'Data-Vẽ-Tháng'!$A$49:$A$63,'Trình Bày-Tháng-DIỄM'!$B56)</f>
        <v>-0.33219303759484115</v>
      </c>
      <c r="E56" s="1081" t="s">
        <v>1253</v>
      </c>
      <c r="G56" t="s">
        <v>1235</v>
      </c>
    </row>
    <row r="57" spans="1:19" s="373" customFormat="1" ht="17">
      <c r="A57" s="993" t="s">
        <v>479</v>
      </c>
      <c r="B57" s="378" t="s">
        <v>444</v>
      </c>
      <c r="C57" s="378" t="s">
        <v>164</v>
      </c>
      <c r="D57" s="1239">
        <f>SUMIFS('Data-Vẽ-Tháng'!$E$49:$E$63,'Data-Vẽ-Tháng'!$A$49:$A$63,'Trình Bày-Tháng-DIỄM'!$B57)</f>
        <v>-0.30080279318859121</v>
      </c>
      <c r="E57" s="1081" t="s">
        <v>1070</v>
      </c>
      <c r="G57" s="380" t="s">
        <v>1070</v>
      </c>
      <c r="H57"/>
      <c r="I57"/>
      <c r="J57"/>
      <c r="K57"/>
      <c r="L57"/>
      <c r="M57"/>
      <c r="N57"/>
      <c r="O57"/>
      <c r="P57"/>
      <c r="Q57"/>
      <c r="R57"/>
      <c r="S57"/>
    </row>
    <row r="58" spans="1:19" s="373" customFormat="1" ht="17">
      <c r="A58" s="993" t="s">
        <v>485</v>
      </c>
      <c r="B58" s="378" t="s">
        <v>445</v>
      </c>
      <c r="C58" s="378" t="s">
        <v>164</v>
      </c>
      <c r="D58" s="1239">
        <f>SUMIFS('Data-Vẽ-Tháng'!$E$49:$E$63,'Data-Vẽ-Tháng'!$A$49:$A$63,'Trình Bày-Tháng-DIỄM'!$B58)</f>
        <v>-4.9261694983069204E-2</v>
      </c>
      <c r="E58" s="1081" t="s">
        <v>1059</v>
      </c>
      <c r="G58" s="380" t="s">
        <v>1059</v>
      </c>
      <c r="H58"/>
      <c r="I58"/>
      <c r="J58"/>
      <c r="K58"/>
      <c r="L58"/>
      <c r="M58"/>
      <c r="N58"/>
      <c r="O58"/>
      <c r="P58"/>
      <c r="Q58"/>
      <c r="R58"/>
      <c r="S58"/>
    </row>
    <row r="59" spans="1:19" s="380" customFormat="1" ht="18.5">
      <c r="A59" s="385"/>
      <c r="B59" s="386" t="s">
        <v>480</v>
      </c>
      <c r="C59" s="387"/>
      <c r="D59" s="1240">
        <f>D44+D53</f>
        <v>2.1263412369592345</v>
      </c>
      <c r="E59" s="389"/>
      <c r="H59"/>
      <c r="I59"/>
      <c r="J59"/>
      <c r="K59"/>
      <c r="L59"/>
      <c r="M59"/>
      <c r="N59"/>
      <c r="O59"/>
      <c r="P59"/>
      <c r="Q59"/>
      <c r="R59"/>
      <c r="S59"/>
    </row>
    <row r="60" spans="1:19" s="147" customFormat="1">
      <c r="B60" s="147" t="s">
        <v>340</v>
      </c>
      <c r="D60" s="297">
        <f>D59-'Data-Vẽ-Tháng'!G25</f>
        <v>0</v>
      </c>
      <c r="H60"/>
      <c r="I60"/>
      <c r="J60"/>
      <c r="K60"/>
      <c r="L60"/>
      <c r="M60"/>
      <c r="N60"/>
      <c r="O60"/>
      <c r="P60"/>
      <c r="Q60"/>
      <c r="R60"/>
      <c r="S60"/>
    </row>
    <row r="64" spans="1:19">
      <c r="C64" s="143"/>
      <c r="D64" s="143"/>
      <c r="E64" s="144"/>
      <c r="G64" s="143"/>
      <c r="H64" s="143"/>
      <c r="I64" s="144"/>
    </row>
    <row r="65" spans="3:9">
      <c r="C65" s="143"/>
      <c r="D65" s="143"/>
      <c r="E65" s="144"/>
      <c r="F65" s="311"/>
      <c r="G65" s="143"/>
      <c r="H65" s="143"/>
      <c r="I65" s="144"/>
    </row>
    <row r="66" spans="3:9">
      <c r="C66" s="143"/>
      <c r="D66" s="143"/>
      <c r="E66" s="144"/>
      <c r="F66" s="311"/>
    </row>
    <row r="67" spans="3:9">
      <c r="C67" s="143"/>
      <c r="D67" s="143"/>
      <c r="E67" s="144"/>
      <c r="F67" s="311"/>
    </row>
    <row r="68" spans="3:9">
      <c r="C68" s="143"/>
      <c r="D68" s="143"/>
      <c r="E68" s="144"/>
      <c r="F68" s="311"/>
    </row>
  </sheetData>
  <phoneticPr fontId="14" type="noConversion"/>
  <conditionalFormatting sqref="D44:D59">
    <cfRule type="cellIs" dxfId="6" priority="1" operator="lessThan">
      <formula>0</formula>
    </cfRule>
  </conditionalFormatting>
  <pageMargins left="0.7" right="0.7" top="0.75" bottom="0.75" header="0.3" footer="0.3"/>
  <pageSetup orientation="portrait" horizontalDpi="200" verticalDpi="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87C9F-B97A-472D-A68D-BD58EF2ABD7F}">
  <sheetPr codeName="Sheet25"/>
  <dimension ref="A1:T89"/>
  <sheetViews>
    <sheetView showGridLines="0" tabSelected="1" topLeftCell="B1" zoomScale="130" zoomScaleNormal="130" workbookViewId="0">
      <pane ySplit="2" topLeftCell="A57" activePane="bottomLeft" state="frozen"/>
      <selection activeCell="J29" sqref="J29"/>
      <selection pane="bottomLeft" activeCell="H66" sqref="H66"/>
    </sheetView>
  </sheetViews>
  <sheetFormatPr defaultRowHeight="14.5"/>
  <cols>
    <col min="1" max="1" width="8.90625" style="278" customWidth="1"/>
    <col min="2" max="2" width="25.90625" style="278" customWidth="1"/>
    <col min="3" max="3" width="25.08984375" customWidth="1"/>
    <col min="4" max="4" width="16" customWidth="1"/>
    <col min="5" max="5" width="10.90625" customWidth="1"/>
    <col min="6" max="6" width="15.54296875" customWidth="1"/>
    <col min="7" max="7" width="8.90625" customWidth="1"/>
    <col min="8" max="8" width="22" customWidth="1"/>
    <col min="9" max="9" width="21.54296875" customWidth="1"/>
    <col min="10" max="10" width="20.08984375" customWidth="1"/>
    <col min="11" max="11" width="17" customWidth="1"/>
    <col min="12" max="13" width="19.08984375" customWidth="1"/>
    <col min="17" max="17" width="9.453125" customWidth="1"/>
    <col min="18" max="18" width="9.54296875" customWidth="1"/>
    <col min="19" max="19" width="9.453125" customWidth="1"/>
    <col min="20" max="20" width="9.54296875" customWidth="1"/>
  </cols>
  <sheetData>
    <row r="1" spans="1:20">
      <c r="C1" s="279" t="s">
        <v>366</v>
      </c>
      <c r="D1" s="279"/>
      <c r="E1" s="280">
        <v>5</v>
      </c>
      <c r="G1" s="290"/>
      <c r="I1" s="290"/>
      <c r="J1" s="290"/>
    </row>
    <row r="2" spans="1:20">
      <c r="A2" s="281" t="s">
        <v>0</v>
      </c>
      <c r="B2" s="281" t="s">
        <v>417</v>
      </c>
      <c r="C2" s="282"/>
      <c r="D2" s="282"/>
      <c r="E2" s="283" t="str">
        <f>"TT"&amp;TEXT(E1,"00")&amp;".26"</f>
        <v>TT05.26</v>
      </c>
      <c r="F2" s="283" t="str">
        <f>"KH"&amp;TEXT(E1,"00")&amp;".26"</f>
        <v>KH05.26</v>
      </c>
      <c r="G2" s="284" t="s">
        <v>418</v>
      </c>
      <c r="H2" s="285" t="s">
        <v>419</v>
      </c>
      <c r="I2" s="285" t="s">
        <v>420</v>
      </c>
      <c r="J2" s="285" t="s">
        <v>749</v>
      </c>
      <c r="K2" s="285" t="s">
        <v>421</v>
      </c>
      <c r="L2" s="285" t="s">
        <v>422</v>
      </c>
      <c r="M2" s="285" t="s">
        <v>423</v>
      </c>
      <c r="O2" s="286" t="s">
        <v>424</v>
      </c>
    </row>
    <row r="3" spans="1:20" s="279" customFormat="1">
      <c r="A3" s="1053"/>
      <c r="B3" s="1053"/>
      <c r="C3" s="1054" t="s">
        <v>425</v>
      </c>
      <c r="D3" s="1054" t="s">
        <v>426</v>
      </c>
      <c r="E3" s="1055">
        <f>SUM(E4:E14)</f>
        <v>22.1318724822078</v>
      </c>
      <c r="F3" s="1055">
        <f t="shared" ref="F3:I3" si="0">SUM(F4:F14)</f>
        <v>20.124577269291272</v>
      </c>
      <c r="G3" s="1055">
        <f t="shared" si="0"/>
        <v>2.0072952129165347</v>
      </c>
      <c r="H3" s="1056">
        <f t="shared" si="0"/>
        <v>1.864218373963108</v>
      </c>
      <c r="I3" s="1078">
        <f t="shared" si="0"/>
        <v>-0.92555295422244588</v>
      </c>
      <c r="J3" s="1078">
        <f>SUM(J4:J14)</f>
        <v>0</v>
      </c>
      <c r="K3" s="1056">
        <f>SUM(K4:K14)</f>
        <v>1.0686297931758726</v>
      </c>
      <c r="L3" s="1054"/>
      <c r="M3" s="1054"/>
      <c r="O3" s="288">
        <f t="shared" ref="O3:O14" si="1">G3/F3</f>
        <v>9.9743472176159934E-2</v>
      </c>
    </row>
    <row r="4" spans="1:20">
      <c r="A4" s="1042">
        <v>1</v>
      </c>
      <c r="B4" s="1043" t="s">
        <v>923</v>
      </c>
      <c r="C4" s="1044" t="s">
        <v>923</v>
      </c>
      <c r="D4" s="1044" t="s">
        <v>426</v>
      </c>
      <c r="E4" s="1525">
        <f>INDEX('18 KMP- Tháng (Tâm)'!$BF$40:$BQ$64,MATCH($C4,'18 KMP- Tháng (Tâm)'!$D$40:$D$59,0),MATCH($E$1,'18 KMP- Tháng (Tâm)'!$BF$7:$BQ$7,0))</f>
        <v>18.757434115061756</v>
      </c>
      <c r="F4" s="1525">
        <f>INDEX('18 KMP- Tháng (Tâm)'!$AS$40:$BD$59,MATCH($C4,'18 KMP- Tháng (Tâm)'!$D$40:$D$59,0),MATCH($E$1,'18 KMP- Tháng (Tâm)'!$AS$7:$BD$7,0))</f>
        <v>17.818768695321094</v>
      </c>
      <c r="G4" s="1046">
        <f>E4-F4</f>
        <v>0.93866541974066209</v>
      </c>
      <c r="H4" s="1047">
        <f>'Tác động-GM'!K10</f>
        <v>1.864218373963108</v>
      </c>
      <c r="I4" s="1047">
        <f>G4-H4</f>
        <v>-0.92555295422244588</v>
      </c>
      <c r="J4" s="1094"/>
      <c r="K4" s="1044"/>
      <c r="L4" s="1044"/>
      <c r="M4" s="1044"/>
      <c r="O4" s="289">
        <f t="shared" si="1"/>
        <v>5.2678467058565034E-2</v>
      </c>
      <c r="Q4" s="143">
        <f>G37*F4</f>
        <v>-9841.6266882623604</v>
      </c>
      <c r="R4" s="143">
        <f>G4*E37</f>
        <v>3372.3263575247211</v>
      </c>
      <c r="S4" s="143">
        <f>H4*$E$37</f>
        <v>6697.5437962065262</v>
      </c>
      <c r="T4" s="143">
        <f>I4*$E$37</f>
        <v>-3325.2174386818051</v>
      </c>
    </row>
    <row r="5" spans="1:20">
      <c r="A5" s="1042">
        <v>2</v>
      </c>
      <c r="B5" s="1043" t="s">
        <v>428</v>
      </c>
      <c r="C5" s="1044" t="s">
        <v>428</v>
      </c>
      <c r="D5" s="1044" t="s">
        <v>426</v>
      </c>
      <c r="E5" s="1045">
        <f>INDEX('18 KMP- Tháng (Tâm)'!$BF$40:$BQ$64,MATCH($C5,'18 KMP- Tháng (Tâm)'!$D$40:$D$59,0),MATCH($E$1,'18 KMP- Tháng (Tâm)'!$BF$7:$BQ$7,0))</f>
        <v>1.6388900857353923</v>
      </c>
      <c r="F5" s="1045">
        <f>INDEX('18 KMP- Tháng (Tâm)'!$AS$40:$BD$59,MATCH($C5,'18 KMP- Tháng (Tâm)'!$D$40:$D$59,0),MATCH($E$1,'18 KMP- Tháng (Tâm)'!$AS$7:$BD$7,0))</f>
        <v>1.1702205199797147</v>
      </c>
      <c r="G5" s="1046">
        <f t="shared" ref="G5:G14" si="2">E5-F5</f>
        <v>0.46866956575567764</v>
      </c>
      <c r="H5" s="1044"/>
      <c r="I5" s="1044"/>
      <c r="J5" s="1044"/>
      <c r="K5" s="1048">
        <f t="shared" ref="K5:K14" si="3">G5</f>
        <v>0.46866956575567764</v>
      </c>
      <c r="L5" s="1044"/>
      <c r="M5" s="1044"/>
      <c r="O5" s="289">
        <f t="shared" si="1"/>
        <v>0.40049679334267857</v>
      </c>
    </row>
    <row r="6" spans="1:20">
      <c r="A6" s="1042">
        <v>3</v>
      </c>
      <c r="B6" s="1043" t="s">
        <v>429</v>
      </c>
      <c r="C6" s="1044" t="s">
        <v>429</v>
      </c>
      <c r="D6" s="1044" t="s">
        <v>426</v>
      </c>
      <c r="E6" s="1045">
        <f>INDEX('18 KMP- Tháng (Tâm)'!$BF$40:$BQ$64,MATCH($C6,'18 KMP- Tháng (Tâm)'!$D$40:$D$59,0),MATCH($E$1,'18 KMP- Tháng (Tâm)'!$BF$7:$BQ$7,0))</f>
        <v>0.55539730868331616</v>
      </c>
      <c r="F6" s="1050">
        <f>INDEX('18 KMP- Tháng (Tâm)'!$AS$40:$BD$59,MATCH($C6,'18 KMP- Tháng (Tâm)'!$D$40:$D$59,0),MATCH($E$1,'18 KMP- Tháng (Tâm)'!$AS$7:$BD$7,0))</f>
        <v>0.16150261887789097</v>
      </c>
      <c r="G6" s="1049">
        <f t="shared" si="2"/>
        <v>0.39389468980542519</v>
      </c>
      <c r="H6" s="1044"/>
      <c r="I6" s="1044"/>
      <c r="J6" s="1044"/>
      <c r="K6" s="1048">
        <f t="shared" si="3"/>
        <v>0.39389468980542519</v>
      </c>
      <c r="L6" s="1044"/>
      <c r="M6" s="1044"/>
      <c r="O6" s="289">
        <f t="shared" si="1"/>
        <v>2.4389368577561048</v>
      </c>
    </row>
    <row r="7" spans="1:20">
      <c r="A7" s="1042">
        <v>4</v>
      </c>
      <c r="B7" s="1043" t="s">
        <v>430</v>
      </c>
      <c r="C7" s="1044" t="s">
        <v>431</v>
      </c>
      <c r="D7" s="1044" t="s">
        <v>426</v>
      </c>
      <c r="E7" s="1045">
        <f>INDEX('18 KMP- Tháng (Tâm)'!$BF$40:$BQ$64,MATCH($C7,'18 KMP- Tháng (Tâm)'!$D$40:$D$59,0),MATCH($E$1,'18 KMP- Tháng (Tâm)'!$BF$7:$BQ$7,0))</f>
        <v>0.50520515119345388</v>
      </c>
      <c r="F7" s="1050">
        <f>INDEX('18 KMP- Tháng (Tâm)'!$AS$40:$BD$59,MATCH($C7,'18 KMP- Tháng (Tâm)'!$D$40:$D$59,0),MATCH($E$1,'18 KMP- Tháng (Tâm)'!$AS$7:$BD$7,0))</f>
        <v>0.32224191510539973</v>
      </c>
      <c r="G7" s="1049">
        <f t="shared" si="2"/>
        <v>0.18296323608805415</v>
      </c>
      <c r="H7" s="1044"/>
      <c r="I7" s="1044"/>
      <c r="J7" s="1044"/>
      <c r="K7" s="1048">
        <f t="shared" si="3"/>
        <v>0.18296323608805415</v>
      </c>
      <c r="L7" s="1044"/>
      <c r="M7" s="1044"/>
      <c r="O7" s="289">
        <f t="shared" si="1"/>
        <v>0.56778223909267067</v>
      </c>
    </row>
    <row r="8" spans="1:20">
      <c r="A8" s="1042">
        <v>5</v>
      </c>
      <c r="B8" s="1043" t="s">
        <v>432</v>
      </c>
      <c r="C8" s="1044" t="s">
        <v>433</v>
      </c>
      <c r="D8" s="1044" t="s">
        <v>426</v>
      </c>
      <c r="E8" s="1045">
        <f>INDEX('18 KMP- Tháng (Tâm)'!$BF$40:$BQ$64,MATCH($C8,'18 KMP- Tháng (Tâm)'!$D$40:$D$59,0),MATCH($E$1,'18 KMP- Tháng (Tâm)'!$BF$7:$BQ$7,0))</f>
        <v>0.19067251624274012</v>
      </c>
      <c r="F8" s="1050">
        <f>INDEX('18 KMP- Tháng (Tâm)'!$AS$40:$BD$59,MATCH($C8,'18 KMP- Tháng (Tâm)'!$D$40:$D$59,0),MATCH($E$1,'18 KMP- Tháng (Tâm)'!$AS$7:$BD$7,0))</f>
        <v>0.21531319931446263</v>
      </c>
      <c r="G8" s="1049">
        <f t="shared" si="2"/>
        <v>-2.4640683071722513E-2</v>
      </c>
      <c r="H8" s="1044"/>
      <c r="I8" s="1044"/>
      <c r="J8" s="1044"/>
      <c r="K8" s="1048">
        <f t="shared" si="3"/>
        <v>-2.4640683071722513E-2</v>
      </c>
      <c r="L8" s="1044"/>
      <c r="M8" s="1044"/>
      <c r="O8" s="289">
        <f t="shared" si="1"/>
        <v>-0.11444111717338359</v>
      </c>
    </row>
    <row r="9" spans="1:20">
      <c r="A9" s="1042">
        <v>6</v>
      </c>
      <c r="B9" s="1043" t="s">
        <v>432</v>
      </c>
      <c r="C9" s="1044" t="s">
        <v>434</v>
      </c>
      <c r="D9" s="1044" t="s">
        <v>426</v>
      </c>
      <c r="E9" s="1045">
        <f>INDEX('18 KMP- Tháng (Tâm)'!$BF$40:$BQ$64,MATCH($C9,'18 KMP- Tháng (Tâm)'!$D$40:$D$59,0),MATCH($E$1,'18 KMP- Tháng (Tâm)'!$BF$7:$BQ$7,0))</f>
        <v>0.21860373559363172</v>
      </c>
      <c r="F9" s="1050">
        <f>INDEX('18 KMP- Tháng (Tâm)'!$AS$40:$BD$59,MATCH($C9,'18 KMP- Tháng (Tâm)'!$D$40:$D$59,0),MATCH($E$1,'18 KMP- Tháng (Tâm)'!$AS$7:$BD$7,0))</f>
        <v>0.17175222641212443</v>
      </c>
      <c r="G9" s="1049">
        <f t="shared" si="2"/>
        <v>4.6851509181507295E-2</v>
      </c>
      <c r="H9" s="1044"/>
      <c r="I9" s="1044"/>
      <c r="J9" s="1044"/>
      <c r="K9" s="1048">
        <f t="shared" si="3"/>
        <v>4.6851509181507295E-2</v>
      </c>
      <c r="L9" s="1044"/>
      <c r="M9" s="1044"/>
      <c r="O9" s="289">
        <f t="shared" si="1"/>
        <v>0.27278545472293175</v>
      </c>
    </row>
    <row r="10" spans="1:20">
      <c r="A10" s="1042">
        <v>7</v>
      </c>
      <c r="B10" s="1043" t="s">
        <v>432</v>
      </c>
      <c r="C10" s="1044" t="s">
        <v>435</v>
      </c>
      <c r="D10" s="1044" t="s">
        <v>426</v>
      </c>
      <c r="E10" s="1045">
        <f>INDEX('18 KMP- Tháng (Tâm)'!$BF$40:$BQ$64,MATCH($C10,'18 KMP- Tháng (Tâm)'!$D$40:$D$59,0),MATCH($E$1,'18 KMP- Tháng (Tâm)'!$BF$7:$BQ$7,0))</f>
        <v>9.9345284664771341E-2</v>
      </c>
      <c r="F10" s="1050">
        <f>INDEX('18 KMP- Tháng (Tâm)'!$AS$40:$BD$59,MATCH($C10,'18 KMP- Tháng (Tâm)'!$D$40:$D$59,0),MATCH($E$1,'18 KMP- Tháng (Tâm)'!$AS$7:$BD$7,0))</f>
        <v>5.595174909529553E-2</v>
      </c>
      <c r="G10" s="1049">
        <f t="shared" si="2"/>
        <v>4.3393535569475811E-2</v>
      </c>
      <c r="H10" s="1044"/>
      <c r="I10" s="1044"/>
      <c r="J10" s="1044"/>
      <c r="K10" s="1048">
        <f t="shared" si="3"/>
        <v>4.3393535569475811E-2</v>
      </c>
      <c r="L10" s="1044"/>
      <c r="M10" s="1044"/>
      <c r="O10" s="289">
        <f t="shared" si="1"/>
        <v>0.77555279810054012</v>
      </c>
    </row>
    <row r="11" spans="1:20">
      <c r="A11" s="1042">
        <v>8</v>
      </c>
      <c r="B11" s="1043" t="s">
        <v>430</v>
      </c>
      <c r="C11" s="1044" t="s">
        <v>436</v>
      </c>
      <c r="D11" s="1044" t="s">
        <v>426</v>
      </c>
      <c r="E11" s="1045">
        <f>INDEX('18 KMP- Tháng (Tâm)'!$BF$40:$BQ$64,MATCH($C11,'18 KMP- Tháng (Tâm)'!$D$40:$D$59,0),MATCH($E$1,'18 KMP- Tháng (Tâm)'!$BF$7:$BQ$7,0))</f>
        <v>0.10735032685887591</v>
      </c>
      <c r="F11" s="1050">
        <f>INDEX('18 KMP- Tháng (Tâm)'!$AS$40:$BD$59,MATCH($C11,'18 KMP- Tháng (Tâm)'!$D$40:$D$59,0),MATCH($E$1,'18 KMP- Tháng (Tâm)'!$AS$7:$BD$7,0))</f>
        <v>0.11384383671511566</v>
      </c>
      <c r="G11" s="1049">
        <f t="shared" si="2"/>
        <v>-6.4935098562397542E-3</v>
      </c>
      <c r="H11" s="1044"/>
      <c r="I11" s="1044"/>
      <c r="J11" s="1044"/>
      <c r="K11" s="1048">
        <f t="shared" si="3"/>
        <v>-6.4935098562397542E-3</v>
      </c>
      <c r="L11" s="1044"/>
      <c r="M11" s="1044"/>
      <c r="O11" s="289">
        <f t="shared" si="1"/>
        <v>-5.7038747494861756E-2</v>
      </c>
    </row>
    <row r="12" spans="1:20">
      <c r="A12" s="1042">
        <v>9</v>
      </c>
      <c r="B12" s="1043" t="s">
        <v>432</v>
      </c>
      <c r="C12" s="1044" t="s">
        <v>437</v>
      </c>
      <c r="D12" s="1044" t="s">
        <v>426</v>
      </c>
      <c r="E12" s="1045">
        <f>INDEX('18 KMP- Tháng (Tâm)'!$BF$40:$BQ$64,MATCH($C12,'18 KMP- Tháng (Tâm)'!$D$40:$D$59,0),MATCH($E$1,'18 KMP- Tháng (Tâm)'!$BF$7:$BQ$7,0))</f>
        <v>2.3418515192828088E-2</v>
      </c>
      <c r="F12" s="1050">
        <f>INDEX('18 KMP- Tháng (Tâm)'!$AS$40:$BD$59,MATCH($C12,'18 KMP- Tháng (Tâm)'!$D$40:$D$59,0),MATCH($E$1,'18 KMP- Tháng (Tâm)'!$AS$7:$BD$7,0))</f>
        <v>2.9519560691596305E-2</v>
      </c>
      <c r="G12" s="1049">
        <f t="shared" si="2"/>
        <v>-6.1010454987682171E-3</v>
      </c>
      <c r="H12" s="1044"/>
      <c r="I12" s="1044"/>
      <c r="J12" s="1044"/>
      <c r="K12" s="1048">
        <f t="shared" si="3"/>
        <v>-6.1010454987682171E-3</v>
      </c>
      <c r="L12" s="1044"/>
      <c r="M12" s="1044"/>
      <c r="O12" s="289">
        <f t="shared" si="1"/>
        <v>-0.20667805874580905</v>
      </c>
    </row>
    <row r="13" spans="1:20">
      <c r="A13" s="1042">
        <v>10</v>
      </c>
      <c r="B13" s="1043" t="s">
        <v>432</v>
      </c>
      <c r="C13" s="1044" t="s">
        <v>438</v>
      </c>
      <c r="D13" s="1044" t="s">
        <v>426</v>
      </c>
      <c r="E13" s="1045">
        <f>INDEX('18 KMP- Tháng (Tâm)'!$BF$40:$BQ$64,MATCH($C13,'18 KMP- Tháng (Tâm)'!$D$40:$D$59,0),MATCH($E$1,'18 KMP- Tháng (Tâm)'!$BF$7:$BQ$7,0))</f>
        <v>3.4816440753732171E-2</v>
      </c>
      <c r="F13" s="1050">
        <f>INDEX('18 KMP- Tháng (Tâm)'!$AS$40:$BD$59,MATCH($C13,'18 KMP- Tháng (Tâm)'!$D$40:$D$59,0),MATCH($E$1,'18 KMP- Tháng (Tâm)'!$AS$7:$BD$7,0))</f>
        <v>5.3434828906441509E-2</v>
      </c>
      <c r="G13" s="1049">
        <f t="shared" si="2"/>
        <v>-1.8618388152709338E-2</v>
      </c>
      <c r="H13" s="1044"/>
      <c r="I13" s="1044"/>
      <c r="J13" s="1044"/>
      <c r="K13" s="1048">
        <f t="shared" si="3"/>
        <v>-1.8618388152709338E-2</v>
      </c>
      <c r="L13" s="1044"/>
      <c r="M13" s="1044"/>
      <c r="O13" s="289">
        <f t="shared" si="1"/>
        <v>-0.34843169770989785</v>
      </c>
    </row>
    <row r="14" spans="1:20">
      <c r="A14" s="1042">
        <v>11</v>
      </c>
      <c r="B14" s="1043" t="s">
        <v>432</v>
      </c>
      <c r="C14" s="1044" t="s">
        <v>439</v>
      </c>
      <c r="D14" s="1044" t="s">
        <v>426</v>
      </c>
      <c r="E14" s="1045">
        <f>INDEX('18 KMP- Tháng (Tâm)'!$BF$40:$BQ$64,MATCH($C14,'18 KMP- Tháng (Tâm)'!$D$40:$D$59,0),MATCH($E$1,'18 KMP- Tháng (Tâm)'!$BF$7:$BQ$7,0))</f>
        <v>7.3900222730539466E-4</v>
      </c>
      <c r="F14" s="1050">
        <f>INDEX('18 KMP- Tháng (Tâm)'!$AS$40:$BD$59,MATCH($C14,'18 KMP- Tháng (Tâm)'!$D$40:$D$59,0),MATCH($E$1,'18 KMP- Tháng (Tâm)'!$AS$7:$BD$7,0))</f>
        <v>1.2028118872133269E-2</v>
      </c>
      <c r="G14" s="1049">
        <f t="shared" si="2"/>
        <v>-1.1289116644827875E-2</v>
      </c>
      <c r="H14" s="1044"/>
      <c r="I14" s="1044"/>
      <c r="J14" s="1044"/>
      <c r="K14" s="1048">
        <f t="shared" si="3"/>
        <v>-1.1289116644827875E-2</v>
      </c>
      <c r="L14" s="1044"/>
      <c r="M14" s="1044"/>
      <c r="O14" s="289">
        <f t="shared" si="1"/>
        <v>-0.93856044863195409</v>
      </c>
    </row>
    <row r="15" spans="1:20" s="279" customFormat="1">
      <c r="A15" s="1038"/>
      <c r="B15" s="1038"/>
      <c r="C15" s="1039"/>
      <c r="D15" s="1039"/>
      <c r="E15" s="1051"/>
      <c r="F15" s="1051"/>
      <c r="G15" s="1040"/>
      <c r="H15" s="1041"/>
      <c r="I15" s="1039"/>
      <c r="J15" s="1039"/>
      <c r="K15" s="1039"/>
      <c r="L15" s="1039"/>
      <c r="M15" s="1039"/>
      <c r="O15" s="292"/>
    </row>
    <row r="16" spans="1:20" s="279" customFormat="1">
      <c r="A16" s="1038"/>
      <c r="B16" s="1038"/>
      <c r="C16" s="1039" t="s">
        <v>440</v>
      </c>
      <c r="D16" s="1039" t="s">
        <v>426</v>
      </c>
      <c r="E16" s="1051">
        <f>SUM(E17:E23)</f>
        <v>9.0136825004272563</v>
      </c>
      <c r="F16" s="1051">
        <f>SUM(F17:F23)</f>
        <v>8.8946364763845569</v>
      </c>
      <c r="G16" s="1040">
        <f>SUM(G17:G23)</f>
        <v>0.11904602404270093</v>
      </c>
      <c r="H16" s="1051"/>
      <c r="I16" s="1039"/>
      <c r="J16" s="1039"/>
      <c r="K16" s="1039"/>
      <c r="L16" s="1079">
        <f>SUM(L17:L23)</f>
        <v>1.3674095924336658</v>
      </c>
      <c r="M16" s="1040">
        <f>SUM(M17:M23)</f>
        <v>-1.2483635683909649</v>
      </c>
      <c r="O16" s="288">
        <f t="shared" ref="O16:O23" si="4">G16/F16</f>
        <v>1.3384023547085996E-2</v>
      </c>
    </row>
    <row r="17" spans="1:15">
      <c r="A17" s="1042">
        <v>1</v>
      </c>
      <c r="B17" s="1043" t="s">
        <v>441</v>
      </c>
      <c r="C17" s="1044" t="s">
        <v>441</v>
      </c>
      <c r="D17" s="1044" t="s">
        <v>426</v>
      </c>
      <c r="E17" s="1052">
        <f>E29/E$37</f>
        <v>2.5988013030376749</v>
      </c>
      <c r="F17" s="1052">
        <f>F29/F$37</f>
        <v>1.4041013268998794</v>
      </c>
      <c r="G17" s="1049">
        <f t="shared" ref="G17:G23" si="5">E17-F17</f>
        <v>1.1946999761377954</v>
      </c>
      <c r="H17" s="1052"/>
      <c r="I17" s="1044"/>
      <c r="J17" s="1044"/>
      <c r="K17" s="1044"/>
      <c r="L17" s="1049">
        <f t="shared" ref="L17:L23" si="6">F29/$E$37-F29/$F$37</f>
        <v>0.21585835781477125</v>
      </c>
      <c r="M17" s="1049">
        <f t="shared" ref="M17:M23" si="7">G29/E$37</f>
        <v>0.97884161832302441</v>
      </c>
      <c r="O17" s="289">
        <f t="shared" si="4"/>
        <v>0.85086450190569796</v>
      </c>
    </row>
    <row r="18" spans="1:15">
      <c r="A18" s="1042">
        <v>2</v>
      </c>
      <c r="B18" s="1043" t="s">
        <v>442</v>
      </c>
      <c r="C18" s="1044" t="s">
        <v>442</v>
      </c>
      <c r="D18" s="1044" t="s">
        <v>426</v>
      </c>
      <c r="E18" s="1052">
        <f t="shared" ref="E18:F23" si="8">E30/E$37</f>
        <v>4.0775622476467444</v>
      </c>
      <c r="F18" s="1052">
        <f t="shared" si="8"/>
        <v>3.8221588510717273</v>
      </c>
      <c r="G18" s="1049">
        <f t="shared" si="5"/>
        <v>0.25540339657501709</v>
      </c>
      <c r="H18" s="1052"/>
      <c r="I18" s="1044"/>
      <c r="J18" s="1044"/>
      <c r="K18" s="1044"/>
      <c r="L18" s="1049">
        <f t="shared" si="6"/>
        <v>0.58759643416985829</v>
      </c>
      <c r="M18" s="1049">
        <f t="shared" si="7"/>
        <v>-0.33219303759484115</v>
      </c>
      <c r="O18" s="289">
        <f t="shared" si="4"/>
        <v>6.6821763962898184E-2</v>
      </c>
    </row>
    <row r="19" spans="1:15">
      <c r="A19" s="1042">
        <v>3</v>
      </c>
      <c r="B19" s="1043" t="s">
        <v>443</v>
      </c>
      <c r="C19" s="1044" t="s">
        <v>443</v>
      </c>
      <c r="D19" s="1044" t="s">
        <v>426</v>
      </c>
      <c r="E19" s="1052">
        <f t="shared" si="8"/>
        <v>0.64881265778602182</v>
      </c>
      <c r="F19" s="1052">
        <f t="shared" si="8"/>
        <v>1.4055716687384354</v>
      </c>
      <c r="G19" s="1049">
        <f t="shared" si="5"/>
        <v>-0.7567590109524136</v>
      </c>
      <c r="H19" s="1052"/>
      <c r="I19" s="1044"/>
      <c r="J19" s="1044"/>
      <c r="K19" s="1044"/>
      <c r="L19" s="1049">
        <f t="shared" si="6"/>
        <v>0.21608439960293602</v>
      </c>
      <c r="M19" s="1049">
        <f t="shared" si="7"/>
        <v>-0.97284341055534973</v>
      </c>
      <c r="O19" s="289">
        <f t="shared" si="4"/>
        <v>-0.53839944826978425</v>
      </c>
    </row>
    <row r="20" spans="1:15">
      <c r="A20" s="1042">
        <v>4</v>
      </c>
      <c r="B20" s="1043" t="s">
        <v>444</v>
      </c>
      <c r="C20" s="1044" t="s">
        <v>444</v>
      </c>
      <c r="D20" s="1044" t="s">
        <v>426</v>
      </c>
      <c r="E20" s="1052">
        <f t="shared" si="8"/>
        <v>0.9339719257089828</v>
      </c>
      <c r="F20" s="1052">
        <f t="shared" si="8"/>
        <v>1.0702419557631782</v>
      </c>
      <c r="G20" s="1049">
        <f t="shared" si="5"/>
        <v>-0.13627003005419536</v>
      </c>
      <c r="H20" s="1052"/>
      <c r="I20" s="1044"/>
      <c r="J20" s="1044"/>
      <c r="K20" s="1044"/>
      <c r="L20" s="1049">
        <f t="shared" si="6"/>
        <v>0.1645327631343958</v>
      </c>
      <c r="M20" s="1049">
        <f t="shared" si="7"/>
        <v>-0.30080279318859121</v>
      </c>
      <c r="O20" s="289">
        <f t="shared" si="4"/>
        <v>-0.12732637635853347</v>
      </c>
    </row>
    <row r="21" spans="1:15">
      <c r="A21" s="1042">
        <v>5</v>
      </c>
      <c r="B21" s="1043" t="s">
        <v>445</v>
      </c>
      <c r="C21" s="1044" t="s">
        <v>445</v>
      </c>
      <c r="D21" s="1044" t="s">
        <v>426</v>
      </c>
      <c r="E21" s="1052">
        <f>E33/E$37</f>
        <v>0.16986217399703063</v>
      </c>
      <c r="F21" s="1052">
        <f t="shared" si="8"/>
        <v>0.18992578524853149</v>
      </c>
      <c r="G21" s="1049">
        <f t="shared" si="5"/>
        <v>-2.0063611251500857E-2</v>
      </c>
      <c r="H21" s="1052"/>
      <c r="I21" s="1044"/>
      <c r="J21" s="1044"/>
      <c r="K21" s="1044"/>
      <c r="L21" s="1049">
        <f t="shared" si="6"/>
        <v>2.9198083731568347E-2</v>
      </c>
      <c r="M21" s="1049">
        <f t="shared" si="7"/>
        <v>-4.9261694983069204E-2</v>
      </c>
      <c r="O21" s="289">
        <f t="shared" si="4"/>
        <v>-0.10563921705126128</v>
      </c>
    </row>
    <row r="22" spans="1:15">
      <c r="A22" s="1042">
        <v>6</v>
      </c>
      <c r="B22" s="1043" t="s">
        <v>446</v>
      </c>
      <c r="C22" s="1044" t="s">
        <v>446</v>
      </c>
      <c r="D22" s="1044" t="s">
        <v>426</v>
      </c>
      <c r="E22" s="1052">
        <f t="shared" si="8"/>
        <v>0.35118734972925519</v>
      </c>
      <c r="F22" s="1052">
        <f t="shared" si="8"/>
        <v>0.28259735725215612</v>
      </c>
      <c r="G22" s="1049">
        <f t="shared" si="5"/>
        <v>6.8589992477099071E-2</v>
      </c>
      <c r="H22" s="1052"/>
      <c r="I22" s="1044"/>
      <c r="J22" s="1044"/>
      <c r="K22" s="1044"/>
      <c r="L22" s="1049">
        <f t="shared" si="6"/>
        <v>4.3444871314187117E-2</v>
      </c>
      <c r="M22" s="1049">
        <f t="shared" si="7"/>
        <v>2.514512116291192E-2</v>
      </c>
      <c r="O22" s="289">
        <f t="shared" si="4"/>
        <v>0.24271278806014296</v>
      </c>
    </row>
    <row r="23" spans="1:15">
      <c r="A23" s="1042">
        <v>7</v>
      </c>
      <c r="B23" s="1043" t="s">
        <v>447</v>
      </c>
      <c r="C23" s="1044" t="s">
        <v>447</v>
      </c>
      <c r="D23" s="1044" t="s">
        <v>426</v>
      </c>
      <c r="E23" s="1052">
        <f t="shared" si="8"/>
        <v>0.23348484252154797</v>
      </c>
      <c r="F23" s="1052">
        <f t="shared" si="8"/>
        <v>0.72003953141064891</v>
      </c>
      <c r="G23" s="1049">
        <f t="shared" si="5"/>
        <v>-0.48655468888910092</v>
      </c>
      <c r="H23" s="1052"/>
      <c r="I23" s="1044"/>
      <c r="J23" s="1044"/>
      <c r="K23" s="1044"/>
      <c r="L23" s="1049">
        <f t="shared" si="6"/>
        <v>0.11069468266594895</v>
      </c>
      <c r="M23" s="1049">
        <f t="shared" si="7"/>
        <v>-0.59724937155504998</v>
      </c>
      <c r="O23" s="289">
        <f t="shared" si="4"/>
        <v>-0.67573330027572021</v>
      </c>
    </row>
    <row r="24" spans="1:15" ht="15" thickBot="1">
      <c r="A24" s="1057"/>
      <c r="B24" s="1057"/>
      <c r="C24" s="1058"/>
      <c r="D24" s="1058"/>
      <c r="E24" s="1058"/>
      <c r="F24" s="1058"/>
      <c r="G24" s="1058"/>
      <c r="H24" s="1058"/>
      <c r="I24" s="1058"/>
      <c r="J24" s="1058"/>
      <c r="K24" s="1058"/>
      <c r="L24" s="1058"/>
      <c r="M24" s="1058"/>
      <c r="O24" s="294"/>
    </row>
    <row r="25" spans="1:15" ht="15" thickBot="1">
      <c r="C25" s="146" t="s">
        <v>338</v>
      </c>
      <c r="D25" s="146" t="s">
        <v>426</v>
      </c>
      <c r="E25" s="295">
        <f>E3+E16</f>
        <v>31.145554982635055</v>
      </c>
      <c r="F25" s="295">
        <f>F3+F16</f>
        <v>29.019213745675827</v>
      </c>
      <c r="G25" s="295">
        <f>G3+G16</f>
        <v>2.1263412369592354</v>
      </c>
      <c r="H25" s="295"/>
      <c r="I25" s="295"/>
      <c r="J25" s="295"/>
      <c r="K25" s="295"/>
      <c r="L25" s="295"/>
      <c r="M25" s="295"/>
      <c r="O25" s="288">
        <f>G25/F25</f>
        <v>7.3273564735229363E-2</v>
      </c>
    </row>
    <row r="26" spans="1:15" s="147" customFormat="1">
      <c r="A26" s="296"/>
      <c r="B26" s="296"/>
      <c r="C26" s="147" t="s">
        <v>340</v>
      </c>
      <c r="E26" s="297" cm="1">
        <f t="array" ref="E26">E25-SUMPRODUCT('18 KMP- Tháng (Tâm)'!$BF$60:$BQ$60*('18 KMP- Tháng (Tâm)'!$BF$7:$BQ$7=$E$1))</f>
        <v>0</v>
      </c>
      <c r="F26" s="297" cm="1">
        <f t="array" ref="F26">F25-SUMPRODUCT('18 KMP- Tháng (Tâm)'!$AS$60:$BD$60*('18 KMP- Tháng (Tâm)'!$AS$7:$BD$7=$E$1))</f>
        <v>0</v>
      </c>
    </row>
    <row r="28" spans="1:15">
      <c r="C28" s="279" t="s">
        <v>440</v>
      </c>
      <c r="D28" s="279" t="s">
        <v>448</v>
      </c>
      <c r="E28" s="145">
        <f>SUM(E29:E35)</f>
        <v>32383.294872999999</v>
      </c>
      <c r="F28" s="145">
        <f>SUM(F29:F35)</f>
        <v>36868.268194613986</v>
      </c>
      <c r="G28" s="298">
        <f>E28-F28</f>
        <v>-4484.9733216139866</v>
      </c>
    </row>
    <row r="29" spans="1:15">
      <c r="C29" t="s">
        <v>441</v>
      </c>
      <c r="D29" t="s">
        <v>449</v>
      </c>
      <c r="E29" s="299">
        <f>INDEX('18 KMP- Tháng (Tâm)'!$BF$10:$BQ$28,MATCH($C29,'18 KMP- Tháng (Tâm)'!$D$10:$D$28,0),MATCH($E$1,'18 KMP- Tháng (Tâm)'!$BF$7:$BQ$7,0))</f>
        <v>9336.666663</v>
      </c>
      <c r="F29" s="299">
        <f>INDEX('18 KMP- Tháng (Tâm)'!$AS$10:$BD$28,MATCH($C29,'18 KMP- Tháng (Tâm)'!$D$10:$D$28,0),MATCH($E$1,'18 KMP- Tháng (Tâm)'!$AS$7:$BD$7,0))</f>
        <v>5820</v>
      </c>
      <c r="G29" s="144">
        <f t="shared" ref="G29:G35" si="9">E29-F29</f>
        <v>3516.666663</v>
      </c>
      <c r="O29" s="311">
        <f>IFERROR(G29/F29,0)</f>
        <v>0.60423825824742272</v>
      </c>
    </row>
    <row r="30" spans="1:15">
      <c r="C30" t="s">
        <v>442</v>
      </c>
      <c r="D30" t="s">
        <v>449</v>
      </c>
      <c r="E30" s="143">
        <f>INDEX('18 KMP- Tháng (Tâm)'!$BF$10:$BQ$28,MATCH($C30,'18 KMP- Tháng (Tâm)'!$D$10:$D$28,0),MATCH($E$1,'18 KMP- Tháng (Tâm)'!$BF$7:$BQ$7,0))</f>
        <v>14649.384491000001</v>
      </c>
      <c r="F30" s="143">
        <f>INDEX('18 KMP- Tháng (Tâm)'!$AS$10:$BD$28,MATCH($C30,'18 KMP- Tháng (Tâm)'!$D$10:$D$28,0),MATCH($E$1,'18 KMP- Tháng (Tâm)'!$AS$7:$BD$7,0))</f>
        <v>15842.84843769231</v>
      </c>
      <c r="G30" s="144">
        <f t="shared" si="9"/>
        <v>-1193.463946692309</v>
      </c>
      <c r="O30" s="311">
        <f t="shared" ref="O30:O35" si="10">IFERROR(G30/F30,0)</f>
        <v>-7.5331399614534889E-2</v>
      </c>
    </row>
    <row r="31" spans="1:15">
      <c r="C31" t="s">
        <v>443</v>
      </c>
      <c r="D31" t="s">
        <v>449</v>
      </c>
      <c r="E31" s="143">
        <f>INDEX('18 KMP- Tháng (Tâm)'!$BF$10:$BQ$28,MATCH($C31,'18 KMP- Tháng (Tâm)'!$D$10:$D$28,0),MATCH($E$1,'18 KMP- Tháng (Tâm)'!$BF$7:$BQ$7,0))</f>
        <v>2330.9775570000002</v>
      </c>
      <c r="F31" s="143">
        <f>INDEX('18 KMP- Tháng (Tâm)'!$AS$10:$BD$28,MATCH($C31,'18 KMP- Tháng (Tâm)'!$D$10:$D$28,0),MATCH($E$1,'18 KMP- Tháng (Tâm)'!$AS$7:$BD$7,0))</f>
        <v>5826.0945669208149</v>
      </c>
      <c r="G31" s="144">
        <f t="shared" si="9"/>
        <v>-3495.1170099208148</v>
      </c>
      <c r="O31" s="311">
        <f t="shared" si="10"/>
        <v>-0.59990735985736676</v>
      </c>
    </row>
    <row r="32" spans="1:15">
      <c r="C32" t="s">
        <v>444</v>
      </c>
      <c r="D32" t="s">
        <v>449</v>
      </c>
      <c r="E32" s="143">
        <f>INDEX('18 KMP- Tháng (Tâm)'!$BF$10:$BQ$28,MATCH($C32,'18 KMP- Tháng (Tâm)'!$D$10:$D$28,0),MATCH($E$1,'18 KMP- Tháng (Tâm)'!$BF$7:$BQ$7,0))</f>
        <v>3355.4641259999994</v>
      </c>
      <c r="F32" s="143">
        <f>INDEX('18 KMP- Tháng (Tâm)'!$AS$10:$BD$28,MATCH($C32,'18 KMP- Tháng (Tâm)'!$D$10:$D$28,0),MATCH($E$1,'18 KMP- Tháng (Tâm)'!$AS$7:$BD$7,0))</f>
        <v>4436.1529066383737</v>
      </c>
      <c r="G32" s="144">
        <f t="shared" si="9"/>
        <v>-1080.6887806383743</v>
      </c>
      <c r="O32" s="311">
        <f t="shared" si="10"/>
        <v>-0.24360945246526641</v>
      </c>
    </row>
    <row r="33" spans="1:15">
      <c r="C33" t="s">
        <v>445</v>
      </c>
      <c r="D33" t="s">
        <v>449</v>
      </c>
      <c r="E33" s="143">
        <f>INDEX('18 KMP- Tháng (Tâm)'!$BF$10:$BQ$28,MATCH($C33,'18 KMP- Tháng (Tâm)'!$D$10:$D$28,0),MATCH($E$1,'18 KMP- Tháng (Tâm)'!$BF$7:$BQ$7,0))</f>
        <v>610.26077499999997</v>
      </c>
      <c r="F33" s="143">
        <f>INDEX('18 KMP- Tháng (Tâm)'!$AS$10:$BD$28,MATCH($C33,'18 KMP- Tháng (Tâm)'!$D$10:$D$28,0),MATCH($E$1,'18 KMP- Tháng (Tâm)'!$AS$7:$BD$7,0))</f>
        <v>787.24237985516299</v>
      </c>
      <c r="G33" s="144">
        <f t="shared" si="9"/>
        <v>-176.98160485516303</v>
      </c>
      <c r="O33" s="311">
        <f t="shared" si="10"/>
        <v>-0.22481209013128095</v>
      </c>
    </row>
    <row r="34" spans="1:15">
      <c r="C34" t="s">
        <v>446</v>
      </c>
      <c r="D34" t="s">
        <v>449</v>
      </c>
      <c r="E34" s="143">
        <f>INDEX('18 KMP- Tháng (Tâm)'!$BF$10:$BQ$28,MATCH($C34,'18 KMP- Tháng (Tâm)'!$D$10:$D$28,0),MATCH($E$1,'18 KMP- Tháng (Tâm)'!$BF$7:$BQ$7,0))</f>
        <v>1261.7044699999999</v>
      </c>
      <c r="F34" s="143">
        <f>INDEX('18 KMP- Tháng (Tâm)'!$AS$10:$BD$28,MATCH($C34,'18 KMP- Tháng (Tâm)'!$D$10:$D$28,0),MATCH($E$1,'18 KMP- Tháng (Tâm)'!$AS$7:$BD$7,0))</f>
        <v>1171.3660458101872</v>
      </c>
      <c r="G34" s="144">
        <f t="shared" si="9"/>
        <v>90.338424189812713</v>
      </c>
      <c r="O34" s="311">
        <f t="shared" si="10"/>
        <v>7.7122283433893823E-2</v>
      </c>
    </row>
    <row r="35" spans="1:15">
      <c r="C35" t="s">
        <v>447</v>
      </c>
      <c r="D35" t="s">
        <v>449</v>
      </c>
      <c r="E35" s="143">
        <f>INDEX('18 KMP- Tháng (Tâm)'!$BF$10:$BQ$28,MATCH($C35,'18 KMP- Tháng (Tâm)'!$D$10:$D$28,0),MATCH($E$1,'18 KMP- Tháng (Tâm)'!$BF$7:$BQ$7,0))</f>
        <v>838.83679099999995</v>
      </c>
      <c r="F35" s="143">
        <f>INDEX('18 KMP- Tháng (Tâm)'!$AS$10:$BD$28,MATCH($C35,'18 KMP- Tháng (Tâm)'!$D$10:$D$28,0),MATCH($E$1,'18 KMP- Tháng (Tâm)'!$AS$7:$BD$7,0))</f>
        <v>2984.5638576971396</v>
      </c>
      <c r="G35" s="144">
        <f t="shared" si="9"/>
        <v>-2145.7270666971399</v>
      </c>
      <c r="O35" s="311">
        <f t="shared" si="10"/>
        <v>-0.7189415837638542</v>
      </c>
    </row>
    <row r="36" spans="1:15">
      <c r="E36" s="143"/>
      <c r="F36" s="143"/>
      <c r="G36" s="144"/>
    </row>
    <row r="37" spans="1:15" s="279" customFormat="1">
      <c r="A37" s="287"/>
      <c r="B37" s="287"/>
      <c r="C37" s="279" t="s">
        <v>450</v>
      </c>
      <c r="D37" s="279" t="s">
        <v>451</v>
      </c>
      <c r="E37" s="145" cm="1">
        <f t="array" ref="E37">INDEX('18 KMP- Tháng (Tâm)'!$BF$31:$BQ$31,,MATCH($E$1,'18 KMP- Tháng (Tâm)'!$BF$7:$BQ$7,0))</f>
        <v>3592.6819999999998</v>
      </c>
      <c r="F37" s="145" cm="1">
        <f t="array" ref="F37">INDEX('18 KMP- Tháng (Tâm)'!$AS$31:$BD$31,,MATCH($E$1,'18 KMP- Tháng (Tâm)'!$AS$7:$BD$7,0))</f>
        <v>4145</v>
      </c>
      <c r="G37" s="145">
        <f t="shared" ref="G37" si="11">E37-F37</f>
        <v>-552.31800000000021</v>
      </c>
      <c r="H37" s="575">
        <f>G37/F37</f>
        <v>-0.13324921592279859</v>
      </c>
      <c r="I37" s="575">
        <f>H37+1</f>
        <v>0.86675078407720141</v>
      </c>
    </row>
    <row r="38" spans="1:15">
      <c r="E38" s="291">
        <f>$F$28/E37</f>
        <v>10.262046068818222</v>
      </c>
      <c r="F38" s="291">
        <f>$F$28/F37</f>
        <v>8.8946364763845569</v>
      </c>
    </row>
    <row r="39" spans="1:15">
      <c r="E39" s="143"/>
      <c r="F39" s="143"/>
    </row>
    <row r="41" spans="1:15">
      <c r="C41" s="292" t="s">
        <v>452</v>
      </c>
      <c r="D41" s="294"/>
    </row>
    <row r="42" spans="1:15">
      <c r="C42" s="294" t="s">
        <v>425</v>
      </c>
      <c r="D42" s="300">
        <f>E3-F3</f>
        <v>2.007295212916528</v>
      </c>
      <c r="E42" s="279"/>
      <c r="F42" s="279"/>
    </row>
    <row r="43" spans="1:15">
      <c r="C43" s="294" t="s">
        <v>453</v>
      </c>
      <c r="D43" s="301">
        <f>F28/E37-F28/F37</f>
        <v>1.3674095924336651</v>
      </c>
      <c r="E43" s="291">
        <f>SUM(D43:D44)</f>
        <v>0.1190460240427007</v>
      </c>
      <c r="F43" s="143"/>
    </row>
    <row r="44" spans="1:15" ht="15" thickBot="1">
      <c r="C44" s="294" t="s">
        <v>440</v>
      </c>
      <c r="D44" s="302">
        <f>G28/E37</f>
        <v>-1.2483635683909644</v>
      </c>
      <c r="E44" s="143"/>
      <c r="F44" s="143"/>
    </row>
    <row r="45" spans="1:15" ht="15" thickBot="1">
      <c r="C45" s="303" t="s">
        <v>454</v>
      </c>
      <c r="D45" s="304">
        <f>SUM(D42:D44)</f>
        <v>2.1263412369592287</v>
      </c>
      <c r="E45" s="143"/>
      <c r="F45" s="143"/>
    </row>
    <row r="46" spans="1:15">
      <c r="C46" s="147" t="s">
        <v>340</v>
      </c>
      <c r="D46" s="297">
        <f>D45-G25</f>
        <v>-6.6613381477509392E-15</v>
      </c>
      <c r="E46" s="143"/>
      <c r="F46" s="143"/>
    </row>
    <row r="47" spans="1:15">
      <c r="E47" s="143"/>
      <c r="F47" s="143"/>
    </row>
    <row r="48" spans="1:15">
      <c r="B48" s="305" t="str">
        <f>"KH "&amp;TEXT($E$1,"00")&amp;"/26"</f>
        <v>KH 05/26</v>
      </c>
      <c r="C48" s="292" t="s">
        <v>455</v>
      </c>
      <c r="D48" s="292"/>
      <c r="E48" s="306">
        <f>F25</f>
        <v>29.019213745675827</v>
      </c>
      <c r="F48" s="1357">
        <f>E48*10^6</f>
        <v>29019213.745675828</v>
      </c>
      <c r="G48" s="143">
        <f>F48/26500</f>
        <v>1095.0646696481444</v>
      </c>
    </row>
    <row r="49" spans="1:7">
      <c r="A49" s="278" t="s">
        <v>923</v>
      </c>
      <c r="B49" s="307" t="s">
        <v>425</v>
      </c>
      <c r="C49" s="294" t="s">
        <v>923</v>
      </c>
      <c r="D49" s="294" t="s">
        <v>456</v>
      </c>
      <c r="E49" s="308">
        <f>H4</f>
        <v>1.864218373963108</v>
      </c>
      <c r="F49" s="1357">
        <f t="shared" ref="F49:F63" si="12">E49*10^6</f>
        <v>1864218.3739631081</v>
      </c>
      <c r="G49" s="143">
        <f t="shared" ref="G49:G63" si="13">F49/26500</f>
        <v>70.347863168419167</v>
      </c>
    </row>
    <row r="50" spans="1:7">
      <c r="A50" s="278" t="s">
        <v>923</v>
      </c>
      <c r="B50" s="307"/>
      <c r="C50" s="294"/>
      <c r="D50" s="294" t="s">
        <v>416</v>
      </c>
      <c r="E50" s="308">
        <f>I4</f>
        <v>-0.92555295422244588</v>
      </c>
      <c r="F50" s="1357">
        <f t="shared" si="12"/>
        <v>-925552.95422244584</v>
      </c>
      <c r="G50" s="143">
        <f t="shared" si="13"/>
        <v>-34.926526574431918</v>
      </c>
    </row>
    <row r="51" spans="1:7">
      <c r="A51" s="278" t="s">
        <v>923</v>
      </c>
      <c r="B51" s="307"/>
      <c r="C51" s="294"/>
      <c r="D51" s="294" t="s">
        <v>750</v>
      </c>
      <c r="E51" s="308">
        <f>J4</f>
        <v>0</v>
      </c>
      <c r="F51" s="1357">
        <f t="shared" si="12"/>
        <v>0</v>
      </c>
      <c r="G51" s="143">
        <f t="shared" si="13"/>
        <v>0</v>
      </c>
    </row>
    <row r="52" spans="1:7">
      <c r="A52" s="278" t="s">
        <v>428</v>
      </c>
      <c r="B52" s="307"/>
      <c r="C52" s="294" t="s">
        <v>428</v>
      </c>
      <c r="D52" s="294"/>
      <c r="E52" s="308">
        <f>SUMIFS($G$4:$G$24,$B$4:$B$24,$C52)</f>
        <v>0.46866956575567764</v>
      </c>
      <c r="F52" s="1358">
        <f t="shared" si="12"/>
        <v>468669.56575567764</v>
      </c>
      <c r="G52" s="143">
        <f t="shared" si="13"/>
        <v>17.685643990780289</v>
      </c>
    </row>
    <row r="53" spans="1:7">
      <c r="A53" s="278" t="s">
        <v>429</v>
      </c>
      <c r="B53" s="307"/>
      <c r="C53" s="294" t="s">
        <v>429</v>
      </c>
      <c r="D53" s="294"/>
      <c r="E53" s="308">
        <f>SUMIFS($G$4:$G$24,$B$4:$B$24,$C53)</f>
        <v>0.39389468980542519</v>
      </c>
      <c r="F53" s="1358">
        <f t="shared" si="12"/>
        <v>393894.68980542518</v>
      </c>
      <c r="G53" s="143">
        <f t="shared" si="13"/>
        <v>14.86395055869529</v>
      </c>
    </row>
    <row r="54" spans="1:7">
      <c r="A54" s="278" t="s">
        <v>430</v>
      </c>
      <c r="B54" s="307"/>
      <c r="C54" s="294" t="s">
        <v>430</v>
      </c>
      <c r="D54" s="294"/>
      <c r="E54" s="308">
        <f>SUMIFS($G$4:$G$24,$B$4:$B$24,$C54)</f>
        <v>0.17646972623181439</v>
      </c>
      <c r="F54" s="1358">
        <f t="shared" si="12"/>
        <v>176469.72623181439</v>
      </c>
      <c r="G54" s="143">
        <f t="shared" si="13"/>
        <v>6.6592349521439393</v>
      </c>
    </row>
    <row r="55" spans="1:7">
      <c r="A55" s="278" t="s">
        <v>432</v>
      </c>
      <c r="B55" s="307"/>
      <c r="C55" s="294" t="s">
        <v>432</v>
      </c>
      <c r="D55" s="294"/>
      <c r="E55" s="308">
        <f>SUMIFS($G$4:$G$24,$B$4:$B$24,$C55)</f>
        <v>2.959581138295516E-2</v>
      </c>
      <c r="F55" s="1358">
        <f t="shared" si="12"/>
        <v>29595.811382955158</v>
      </c>
      <c r="G55" s="143">
        <f t="shared" si="13"/>
        <v>1.1168230710549116</v>
      </c>
    </row>
    <row r="56" spans="1:7">
      <c r="A56" s="278" t="s">
        <v>453</v>
      </c>
      <c r="B56" s="307" t="s">
        <v>453</v>
      </c>
      <c r="C56" s="294" t="s">
        <v>455</v>
      </c>
      <c r="D56" s="294"/>
      <c r="E56" s="300">
        <f>L16</f>
        <v>1.3674095924336658</v>
      </c>
      <c r="F56" s="1357">
        <f t="shared" si="12"/>
        <v>1367409.5924336659</v>
      </c>
      <c r="G56" s="143">
        <f t="shared" si="13"/>
        <v>51.600361978628904</v>
      </c>
    </row>
    <row r="57" spans="1:7">
      <c r="A57" s="278" t="s">
        <v>441</v>
      </c>
      <c r="B57" s="307" t="s">
        <v>440</v>
      </c>
      <c r="C57" s="294" t="s">
        <v>441</v>
      </c>
      <c r="D57" s="294"/>
      <c r="E57" s="308">
        <f t="shared" ref="E57:E63" si="14">SUMIFS($M$4:$M$24,$B$4:$B$24,$C57)</f>
        <v>0.97884161832302441</v>
      </c>
      <c r="F57" s="1357">
        <f t="shared" si="12"/>
        <v>978841.61832302436</v>
      </c>
      <c r="G57" s="143">
        <f t="shared" si="13"/>
        <v>36.937419559359412</v>
      </c>
    </row>
    <row r="58" spans="1:7">
      <c r="A58" s="278" t="s">
        <v>442</v>
      </c>
      <c r="B58" s="309"/>
      <c r="C58" s="294" t="s">
        <v>442</v>
      </c>
      <c r="D58" s="294"/>
      <c r="E58" s="308">
        <f t="shared" si="14"/>
        <v>-0.33219303759484115</v>
      </c>
      <c r="F58" s="1357">
        <f t="shared" si="12"/>
        <v>-332193.03759484115</v>
      </c>
      <c r="G58" s="143">
        <f t="shared" si="13"/>
        <v>-12.535586324333629</v>
      </c>
    </row>
    <row r="59" spans="1:7">
      <c r="A59" s="278" t="s">
        <v>443</v>
      </c>
      <c r="B59" s="309"/>
      <c r="C59" s="294" t="s">
        <v>443</v>
      </c>
      <c r="D59" s="294"/>
      <c r="E59" s="308">
        <f t="shared" si="14"/>
        <v>-0.97284341055534973</v>
      </c>
      <c r="F59" s="1357">
        <f t="shared" si="12"/>
        <v>-972843.41055534978</v>
      </c>
      <c r="G59" s="143">
        <f t="shared" si="13"/>
        <v>-36.711072096428296</v>
      </c>
    </row>
    <row r="60" spans="1:7">
      <c r="A60" s="278" t="s">
        <v>444</v>
      </c>
      <c r="B60" s="309"/>
      <c r="C60" s="294" t="s">
        <v>444</v>
      </c>
      <c r="D60" s="294"/>
      <c r="E60" s="1356">
        <f t="shared" si="14"/>
        <v>-0.30080279318859121</v>
      </c>
      <c r="F60" s="1357">
        <f t="shared" si="12"/>
        <v>-300802.7931885912</v>
      </c>
      <c r="G60" s="143">
        <f t="shared" si="13"/>
        <v>-11.35104879956948</v>
      </c>
    </row>
    <row r="61" spans="1:7">
      <c r="A61" s="278" t="s">
        <v>445</v>
      </c>
      <c r="B61" s="309"/>
      <c r="C61" s="294" t="s">
        <v>445</v>
      </c>
      <c r="D61" s="294"/>
      <c r="E61" s="308">
        <f t="shared" si="14"/>
        <v>-4.9261694983069204E-2</v>
      </c>
      <c r="F61" s="1357">
        <f t="shared" si="12"/>
        <v>-49261.694983069203</v>
      </c>
      <c r="G61" s="143">
        <f t="shared" si="13"/>
        <v>-1.8589318861535549</v>
      </c>
    </row>
    <row r="62" spans="1:7">
      <c r="A62" s="278" t="s">
        <v>446</v>
      </c>
      <c r="B62" s="309"/>
      <c r="C62" s="294" t="s">
        <v>446</v>
      </c>
      <c r="D62" s="294"/>
      <c r="E62" s="308">
        <f t="shared" si="14"/>
        <v>2.514512116291192E-2</v>
      </c>
      <c r="F62" s="1357">
        <f t="shared" si="12"/>
        <v>25145.121162911921</v>
      </c>
      <c r="G62" s="143">
        <f t="shared" si="13"/>
        <v>0.94887249671365737</v>
      </c>
    </row>
    <row r="63" spans="1:7">
      <c r="A63" s="278" t="s">
        <v>447</v>
      </c>
      <c r="B63" s="309"/>
      <c r="C63" s="294" t="s">
        <v>447</v>
      </c>
      <c r="D63" s="294"/>
      <c r="E63" s="308">
        <f t="shared" si="14"/>
        <v>-0.59724937155504998</v>
      </c>
      <c r="F63">
        <f t="shared" si="12"/>
        <v>-597249.37155505002</v>
      </c>
      <c r="G63" s="143">
        <f t="shared" si="13"/>
        <v>-22.53771213415283</v>
      </c>
    </row>
    <row r="64" spans="1:7">
      <c r="B64" s="292" t="str">
        <f>"TT "&amp;TEXT($E$1,"00")&amp;"/26"</f>
        <v>TT 05/26</v>
      </c>
      <c r="C64" s="292"/>
      <c r="D64" s="292"/>
      <c r="E64" s="306">
        <f>SUM(E48:E63)</f>
        <v>31.145554982635058</v>
      </c>
      <c r="F64" s="1357">
        <f>E64*10^6</f>
        <v>31145554.982635058</v>
      </c>
      <c r="G64" s="143">
        <f>F64/26500</f>
        <v>1175.3039616088702</v>
      </c>
    </row>
    <row r="65" spans="2:10" ht="15" thickBot="1">
      <c r="G65" s="144">
        <f>SUM(G49:G63)</f>
        <v>80.239291960725865</v>
      </c>
      <c r="H65" s="144">
        <f>G48+G65-G64</f>
        <v>0</v>
      </c>
    </row>
    <row r="66" spans="2:10">
      <c r="B66" s="354" t="s">
        <v>457</v>
      </c>
      <c r="C66" s="355"/>
      <c r="D66" s="355"/>
      <c r="E66" s="355"/>
      <c r="F66" s="355"/>
      <c r="G66" s="355"/>
      <c r="H66" s="355"/>
      <c r="I66" s="355"/>
      <c r="J66" s="356"/>
    </row>
    <row r="67" spans="2:10" ht="43.5">
      <c r="B67" s="357"/>
      <c r="C67" s="358"/>
      <c r="D67" s="358"/>
      <c r="E67" s="359" t="s">
        <v>458</v>
      </c>
      <c r="F67" s="359" t="s">
        <v>459</v>
      </c>
      <c r="G67" s="360" t="s">
        <v>460</v>
      </c>
      <c r="H67" s="360" t="s">
        <v>461</v>
      </c>
      <c r="I67" s="359" t="s">
        <v>462</v>
      </c>
      <c r="J67" s="361"/>
    </row>
    <row r="68" spans="2:10">
      <c r="B68" s="362" t="str">
        <f>"KH "&amp;TEXT($E$1,"00")&amp;"/26"</f>
        <v>KH 05/26</v>
      </c>
      <c r="C68" s="358"/>
      <c r="D68" s="358"/>
      <c r="E68" s="363">
        <f>E48</f>
        <v>29.019213745675827</v>
      </c>
      <c r="F68" s="358"/>
      <c r="G68" s="358"/>
      <c r="H68" s="358"/>
      <c r="I68" s="358"/>
      <c r="J68" s="361"/>
    </row>
    <row r="69" spans="2:10">
      <c r="B69" s="362" t="s">
        <v>425</v>
      </c>
      <c r="C69" s="358" t="s">
        <v>923</v>
      </c>
      <c r="D69" s="358" t="s">
        <v>456</v>
      </c>
      <c r="E69" s="358"/>
      <c r="F69" s="363">
        <f>E68-H69</f>
        <v>29.019213745675827</v>
      </c>
      <c r="G69" s="364">
        <f>IF(J69&gt;0,J69,0)</f>
        <v>1.864218373963108</v>
      </c>
      <c r="H69" s="365">
        <f>IF(J69&lt;0,-J69,0)</f>
        <v>0</v>
      </c>
      <c r="I69" s="358"/>
      <c r="J69" s="366">
        <f t="shared" ref="J69:J84" si="15">E49</f>
        <v>1.864218373963108</v>
      </c>
    </row>
    <row r="70" spans="2:10">
      <c r="B70" s="362"/>
      <c r="C70" s="358"/>
      <c r="D70" s="358" t="s">
        <v>416</v>
      </c>
      <c r="E70" s="358"/>
      <c r="F70" s="363">
        <f t="shared" ref="F70:F83" si="16">F69+G69-H70</f>
        <v>29.95787916541649</v>
      </c>
      <c r="G70" s="364">
        <f>IF(J70&gt;0,J70,0)</f>
        <v>0</v>
      </c>
      <c r="H70" s="365">
        <f t="shared" ref="H70:H83" si="17">IF(J70&lt;0,-J70,0)</f>
        <v>0.92555295422244588</v>
      </c>
      <c r="I70" s="358"/>
      <c r="J70" s="366">
        <f t="shared" si="15"/>
        <v>-0.92555295422244588</v>
      </c>
    </row>
    <row r="71" spans="2:10">
      <c r="B71" s="362"/>
      <c r="C71" s="358"/>
      <c r="D71" s="358" t="s">
        <v>750</v>
      </c>
      <c r="E71" s="358"/>
      <c r="F71" s="363">
        <f t="shared" si="16"/>
        <v>29.95787916541649</v>
      </c>
      <c r="G71" s="364">
        <f>IF(J71&gt;0,J71,0)</f>
        <v>0</v>
      </c>
      <c r="H71" s="365">
        <f>IF(J71&lt;0,-J71,0)</f>
        <v>0</v>
      </c>
      <c r="I71" s="358"/>
      <c r="J71" s="366">
        <f t="shared" si="15"/>
        <v>0</v>
      </c>
    </row>
    <row r="72" spans="2:10">
      <c r="B72" s="362"/>
      <c r="C72" s="358" t="s">
        <v>428</v>
      </c>
      <c r="D72" s="358"/>
      <c r="E72" s="358"/>
      <c r="F72" s="363">
        <f t="shared" si="16"/>
        <v>29.95787916541649</v>
      </c>
      <c r="G72" s="364">
        <f t="shared" ref="G72:G83" si="18">IF(J72&gt;0,J72,0)</f>
        <v>0.46866956575567764</v>
      </c>
      <c r="H72" s="365">
        <f t="shared" si="17"/>
        <v>0</v>
      </c>
      <c r="I72" s="358"/>
      <c r="J72" s="366">
        <f t="shared" si="15"/>
        <v>0.46866956575567764</v>
      </c>
    </row>
    <row r="73" spans="2:10">
      <c r="B73" s="362"/>
      <c r="C73" s="358" t="s">
        <v>429</v>
      </c>
      <c r="D73" s="358"/>
      <c r="E73" s="358"/>
      <c r="F73" s="363">
        <f t="shared" si="16"/>
        <v>30.426548731172169</v>
      </c>
      <c r="G73" s="364">
        <f t="shared" si="18"/>
        <v>0.39389468980542519</v>
      </c>
      <c r="H73" s="365">
        <f t="shared" si="17"/>
        <v>0</v>
      </c>
      <c r="I73" s="358"/>
      <c r="J73" s="366">
        <f t="shared" si="15"/>
        <v>0.39389468980542519</v>
      </c>
    </row>
    <row r="74" spans="2:10">
      <c r="B74" s="362"/>
      <c r="C74" s="358" t="s">
        <v>430</v>
      </c>
      <c r="D74" s="358"/>
      <c r="E74" s="358"/>
      <c r="F74" s="363">
        <f t="shared" si="16"/>
        <v>30.820443420977593</v>
      </c>
      <c r="G74" s="364">
        <f t="shared" si="18"/>
        <v>0.17646972623181439</v>
      </c>
      <c r="H74" s="365">
        <f t="shared" si="17"/>
        <v>0</v>
      </c>
      <c r="I74" s="358"/>
      <c r="J74" s="366">
        <f t="shared" si="15"/>
        <v>0.17646972623181439</v>
      </c>
    </row>
    <row r="75" spans="2:10">
      <c r="B75" s="362"/>
      <c r="C75" s="358" t="s">
        <v>432</v>
      </c>
      <c r="D75" s="358"/>
      <c r="E75" s="358"/>
      <c r="F75" s="363">
        <f t="shared" si="16"/>
        <v>30.996913147209408</v>
      </c>
      <c r="G75" s="364">
        <f t="shared" si="18"/>
        <v>2.959581138295516E-2</v>
      </c>
      <c r="H75" s="365">
        <f t="shared" si="17"/>
        <v>0</v>
      </c>
      <c r="I75" s="358"/>
      <c r="J75" s="366">
        <f t="shared" si="15"/>
        <v>2.959581138295516E-2</v>
      </c>
    </row>
    <row r="76" spans="2:10" ht="29">
      <c r="B76" s="367" t="s">
        <v>463</v>
      </c>
      <c r="C76" s="358" t="s">
        <v>455</v>
      </c>
      <c r="D76" s="358"/>
      <c r="E76" s="358"/>
      <c r="F76" s="363">
        <f t="shared" si="16"/>
        <v>31.026508958592363</v>
      </c>
      <c r="G76" s="364">
        <f t="shared" si="18"/>
        <v>1.3674095924336658</v>
      </c>
      <c r="H76" s="365">
        <f t="shared" si="17"/>
        <v>0</v>
      </c>
      <c r="I76" s="358"/>
      <c r="J76" s="366">
        <f t="shared" si="15"/>
        <v>1.3674095924336658</v>
      </c>
    </row>
    <row r="77" spans="2:10">
      <c r="B77" s="362" t="s">
        <v>440</v>
      </c>
      <c r="C77" s="358" t="s">
        <v>441</v>
      </c>
      <c r="D77" s="358"/>
      <c r="E77" s="358"/>
      <c r="F77" s="363">
        <f t="shared" si="16"/>
        <v>32.393918551026026</v>
      </c>
      <c r="G77" s="364">
        <f t="shared" si="18"/>
        <v>0.97884161832302441</v>
      </c>
      <c r="H77" s="365">
        <f t="shared" si="17"/>
        <v>0</v>
      </c>
      <c r="I77" s="358"/>
      <c r="J77" s="366">
        <f t="shared" si="15"/>
        <v>0.97884161832302441</v>
      </c>
    </row>
    <row r="78" spans="2:10">
      <c r="B78" s="362"/>
      <c r="C78" s="358" t="s">
        <v>442</v>
      </c>
      <c r="D78" s="358"/>
      <c r="E78" s="358"/>
      <c r="F78" s="363">
        <f t="shared" si="16"/>
        <v>33.040567131754209</v>
      </c>
      <c r="G78" s="364">
        <f t="shared" si="18"/>
        <v>0</v>
      </c>
      <c r="H78" s="365">
        <f t="shared" si="17"/>
        <v>0.33219303759484115</v>
      </c>
      <c r="I78" s="358"/>
      <c r="J78" s="366">
        <f t="shared" si="15"/>
        <v>-0.33219303759484115</v>
      </c>
    </row>
    <row r="79" spans="2:10" ht="14.25" customHeight="1">
      <c r="B79" s="362"/>
      <c r="C79" s="358" t="s">
        <v>443</v>
      </c>
      <c r="D79" s="358"/>
      <c r="E79" s="358"/>
      <c r="F79" s="363">
        <f t="shared" si="16"/>
        <v>32.06772372119886</v>
      </c>
      <c r="G79" s="364">
        <f t="shared" si="18"/>
        <v>0</v>
      </c>
      <c r="H79" s="365">
        <f t="shared" si="17"/>
        <v>0.97284341055534973</v>
      </c>
      <c r="I79" s="358"/>
      <c r="J79" s="366">
        <f t="shared" si="15"/>
        <v>-0.97284341055534973</v>
      </c>
    </row>
    <row r="80" spans="2:10">
      <c r="B80" s="362"/>
      <c r="C80" s="358" t="s">
        <v>444</v>
      </c>
      <c r="D80" s="358"/>
      <c r="E80" s="358"/>
      <c r="F80" s="363">
        <f t="shared" si="16"/>
        <v>31.766920928010268</v>
      </c>
      <c r="G80" s="364">
        <f t="shared" si="18"/>
        <v>0</v>
      </c>
      <c r="H80" s="365">
        <f t="shared" si="17"/>
        <v>0.30080279318859121</v>
      </c>
      <c r="I80" s="358"/>
      <c r="J80" s="366">
        <f t="shared" si="15"/>
        <v>-0.30080279318859121</v>
      </c>
    </row>
    <row r="81" spans="2:10">
      <c r="B81" s="362"/>
      <c r="C81" s="358" t="s">
        <v>445</v>
      </c>
      <c r="D81" s="358"/>
      <c r="E81" s="358"/>
      <c r="F81" s="363">
        <f t="shared" si="16"/>
        <v>31.717659233027199</v>
      </c>
      <c r="G81" s="364">
        <f t="shared" si="18"/>
        <v>0</v>
      </c>
      <c r="H81" s="365">
        <f t="shared" si="17"/>
        <v>4.9261694983069204E-2</v>
      </c>
      <c r="I81" s="358"/>
      <c r="J81" s="366">
        <f t="shared" si="15"/>
        <v>-4.9261694983069204E-2</v>
      </c>
    </row>
    <row r="82" spans="2:10">
      <c r="B82" s="362"/>
      <c r="C82" s="358" t="s">
        <v>446</v>
      </c>
      <c r="D82" s="358"/>
      <c r="E82" s="358"/>
      <c r="F82" s="363">
        <f t="shared" si="16"/>
        <v>31.717659233027199</v>
      </c>
      <c r="G82" s="364">
        <f t="shared" si="18"/>
        <v>2.514512116291192E-2</v>
      </c>
      <c r="H82" s="365">
        <f t="shared" si="17"/>
        <v>0</v>
      </c>
      <c r="I82" s="358"/>
      <c r="J82" s="366">
        <f t="shared" si="15"/>
        <v>2.514512116291192E-2</v>
      </c>
    </row>
    <row r="83" spans="2:10">
      <c r="B83" s="362"/>
      <c r="C83" s="358" t="s">
        <v>447</v>
      </c>
      <c r="D83" s="358"/>
      <c r="E83" s="358"/>
      <c r="F83" s="363">
        <f t="shared" si="16"/>
        <v>31.145554982635058</v>
      </c>
      <c r="G83" s="364">
        <f t="shared" si="18"/>
        <v>0</v>
      </c>
      <c r="H83" s="365">
        <f t="shared" si="17"/>
        <v>0.59724937155504998</v>
      </c>
      <c r="I83" s="358"/>
      <c r="J83" s="366">
        <f t="shared" si="15"/>
        <v>-0.59724937155504998</v>
      </c>
    </row>
    <row r="84" spans="2:10" ht="15" thickBot="1">
      <c r="B84" s="368" t="str">
        <f>"TT "&amp;TEXT($E$1,"00")&amp;"/26"</f>
        <v>TT 05/26</v>
      </c>
      <c r="C84" s="369"/>
      <c r="D84" s="369"/>
      <c r="E84" s="369"/>
      <c r="F84" s="369"/>
      <c r="G84" s="369"/>
      <c r="H84" s="369"/>
      <c r="I84" s="370">
        <f>F83+G83</f>
        <v>31.145554982635058</v>
      </c>
      <c r="J84" s="371">
        <f t="shared" si="15"/>
        <v>31.145554982635058</v>
      </c>
    </row>
    <row r="85" spans="2:10">
      <c r="I85" s="290">
        <f>I84-E64</f>
        <v>0</v>
      </c>
    </row>
    <row r="88" spans="2:10">
      <c r="B88" s="310" t="s">
        <v>464</v>
      </c>
    </row>
    <row r="89" spans="2:10">
      <c r="B89" t="str">
        <f>"CÁC NHÂN TỐ TÁC ĐỘNG ẢNH HƯỞNG ĐẾN CHI PHÍ / TẤN"&amp;"
"&amp;"THÁNG "&amp;TEXT($E$1,"00")&amp;"/2026 sv KẾ HOẠCH"</f>
        <v>CÁC NHÂN TỐ TÁC ĐỘNG ẢNH HƯỞNG ĐẾN CHI PHÍ / TẤN
THÁNG 05/2026 sv KẾ HOẠCH</v>
      </c>
    </row>
  </sheetData>
  <autoFilter ref="A2:T14" xr:uid="{DE687C9F-B97A-472D-A68D-BD58EF2ABD7F}"/>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B57A-8BDB-40D2-84ED-66649580130F}">
  <sheetPr codeName="Sheet26">
    <tabColor theme="6"/>
  </sheetPr>
  <dimension ref="A3:Q60"/>
  <sheetViews>
    <sheetView showGridLines="0" zoomScale="70" zoomScaleNormal="70" workbookViewId="0">
      <selection activeCell="B49" sqref="B49"/>
    </sheetView>
  </sheetViews>
  <sheetFormatPr defaultRowHeight="14.5"/>
  <cols>
    <col min="1" max="1" width="4.90625" customWidth="1"/>
    <col min="2" max="2" width="36.54296875" customWidth="1"/>
    <col min="3" max="3" width="33.453125" customWidth="1"/>
    <col min="4" max="4" width="18.453125" customWidth="1"/>
    <col min="5" max="5" width="94.54296875" customWidth="1"/>
    <col min="6" max="7" width="17.08984375" customWidth="1"/>
    <col min="8" max="8" width="10.08984375" customWidth="1"/>
    <col min="9" max="10" width="9.453125" customWidth="1"/>
    <col min="14" max="16" width="10.08984375" customWidth="1"/>
  </cols>
  <sheetData>
    <row r="3" spans="14:17">
      <c r="N3" s="143"/>
      <c r="O3" s="143"/>
      <c r="P3" s="144"/>
      <c r="Q3" s="311"/>
    </row>
    <row r="4" spans="14:17">
      <c r="N4" s="291"/>
      <c r="O4" s="291"/>
      <c r="P4" s="290"/>
      <c r="Q4" s="311"/>
    </row>
    <row r="5" spans="14:17">
      <c r="N5" s="291"/>
      <c r="O5" s="291"/>
      <c r="P5" s="290"/>
      <c r="Q5" s="311"/>
    </row>
    <row r="6" spans="14:17">
      <c r="N6" s="143"/>
      <c r="O6" s="143"/>
      <c r="P6" s="290"/>
      <c r="Q6" s="311"/>
    </row>
    <row r="27" spans="4:10">
      <c r="D27" s="143"/>
      <c r="E27" s="143"/>
      <c r="F27" s="144"/>
      <c r="G27" s="143"/>
      <c r="H27" s="143"/>
      <c r="I27" s="144"/>
      <c r="J27" s="393"/>
    </row>
    <row r="28" spans="4:10">
      <c r="D28" s="143"/>
      <c r="E28" s="143"/>
      <c r="F28" s="144"/>
      <c r="G28" s="143"/>
      <c r="H28" s="143"/>
      <c r="I28" s="144"/>
      <c r="J28" s="393"/>
    </row>
    <row r="29" spans="4:10">
      <c r="D29" s="143"/>
      <c r="E29" s="143"/>
      <c r="F29" s="144"/>
      <c r="G29" s="143"/>
      <c r="H29" s="143"/>
      <c r="I29" s="144"/>
      <c r="J29" s="393"/>
    </row>
    <row r="30" spans="4:10">
      <c r="D30" s="143"/>
      <c r="E30" s="143"/>
      <c r="F30" s="144"/>
      <c r="G30" s="143"/>
      <c r="H30" s="143"/>
      <c r="I30" s="144"/>
      <c r="J30" s="393"/>
    </row>
    <row r="31" spans="4:10">
      <c r="D31" s="143"/>
      <c r="E31" s="143"/>
      <c r="F31" s="144"/>
      <c r="G31" s="143"/>
      <c r="H31" s="143"/>
      <c r="I31" s="144"/>
      <c r="J31" s="393"/>
    </row>
    <row r="32" spans="4:10">
      <c r="D32" s="143"/>
      <c r="E32" s="143"/>
      <c r="F32" s="144"/>
      <c r="G32" s="143"/>
      <c r="H32" s="143"/>
      <c r="I32" s="144"/>
      <c r="J32" s="393"/>
    </row>
    <row r="33" spans="1:10">
      <c r="D33" s="143"/>
      <c r="E33" s="143"/>
      <c r="F33" s="144"/>
      <c r="G33" s="143"/>
      <c r="H33" s="143"/>
      <c r="I33" s="144"/>
      <c r="J33" s="393"/>
    </row>
    <row r="34" spans="1:10">
      <c r="D34" s="143"/>
      <c r="E34" s="143"/>
      <c r="F34" s="144"/>
      <c r="G34" s="143"/>
      <c r="H34" s="143"/>
      <c r="I34" s="144"/>
      <c r="J34" s="393"/>
    </row>
    <row r="35" spans="1:10">
      <c r="D35" s="143"/>
      <c r="E35" s="143"/>
      <c r="F35" s="144"/>
      <c r="G35" s="143"/>
      <c r="H35" s="143"/>
      <c r="I35" s="144"/>
      <c r="J35" s="393"/>
    </row>
    <row r="36" spans="1:10">
      <c r="D36" s="143"/>
      <c r="E36" s="143"/>
      <c r="F36" s="144"/>
      <c r="G36" s="143"/>
      <c r="H36" s="143"/>
      <c r="I36" s="144"/>
      <c r="J36" s="393"/>
    </row>
    <row r="37" spans="1:10">
      <c r="D37" s="143"/>
      <c r="E37" s="143"/>
      <c r="F37" s="144"/>
      <c r="G37" s="143"/>
      <c r="H37" s="143"/>
      <c r="I37" s="144"/>
      <c r="J37" s="393"/>
    </row>
    <row r="38" spans="1:10">
      <c r="D38" s="143"/>
      <c r="E38" s="143"/>
      <c r="F38" s="144"/>
      <c r="G38" s="143"/>
      <c r="H38" s="143"/>
      <c r="I38" s="144"/>
      <c r="J38" s="393"/>
    </row>
    <row r="39" spans="1:10">
      <c r="D39" s="143"/>
      <c r="E39" s="143"/>
      <c r="F39" s="144"/>
      <c r="G39" s="143"/>
      <c r="H39" s="143"/>
      <c r="I39" s="144"/>
      <c r="J39" s="393"/>
    </row>
    <row r="40" spans="1:10">
      <c r="D40" s="143"/>
      <c r="E40" s="143"/>
      <c r="F40" s="144"/>
      <c r="G40" s="143"/>
      <c r="H40" s="143"/>
      <c r="I40" s="144"/>
      <c r="J40" s="393"/>
    </row>
    <row r="43" spans="1:10" ht="18.5">
      <c r="A43" s="394" t="s">
        <v>465</v>
      </c>
      <c r="B43" s="395" t="s">
        <v>466</v>
      </c>
      <c r="C43" s="395" t="s">
        <v>375</v>
      </c>
      <c r="D43" s="395" t="s">
        <v>467</v>
      </c>
      <c r="E43" s="372" t="s">
        <v>468</v>
      </c>
    </row>
    <row r="44" spans="1:10" s="279" customFormat="1" ht="17">
      <c r="A44" s="396" t="s">
        <v>355</v>
      </c>
      <c r="B44" s="397" t="s">
        <v>548</v>
      </c>
      <c r="C44" s="398"/>
      <c r="D44" s="399" t="e">
        <f>SUM(D45:D48)</f>
        <v>#REF!</v>
      </c>
      <c r="E44" s="1083"/>
    </row>
    <row r="45" spans="1:10">
      <c r="A45" s="374" t="s">
        <v>469</v>
      </c>
      <c r="B45" s="375" t="s">
        <v>453</v>
      </c>
      <c r="C45" s="375" t="s">
        <v>164</v>
      </c>
      <c r="D45" s="376" t="e">
        <f>SUMIFS('Data-Vẽ-LK'!$E$49:$E$63,'Data-Vẽ-LK'!$A$49:$A$63,'Trình Bày-LK'!B45)</f>
        <v>#REF!</v>
      </c>
      <c r="E45" s="1224"/>
    </row>
    <row r="46" spans="1:10">
      <c r="A46" s="377" t="s">
        <v>470</v>
      </c>
      <c r="B46" s="378" t="s">
        <v>443</v>
      </c>
      <c r="C46" s="378" t="s">
        <v>164</v>
      </c>
      <c r="D46" s="379" t="e">
        <f>SUMIFS('Data-Vẽ-LK'!$E$49:$E$63,'Data-Vẽ-LK'!$A$49:$A$63,'Trình Bày-LK'!B46)</f>
        <v>#REF!</v>
      </c>
      <c r="E46" s="1100"/>
    </row>
    <row r="47" spans="1:10">
      <c r="A47" s="377" t="s">
        <v>471</v>
      </c>
      <c r="B47" s="378" t="s">
        <v>441</v>
      </c>
      <c r="C47" s="378" t="s">
        <v>164</v>
      </c>
      <c r="D47" s="379" t="e">
        <f>SUMIFS('Data-Vẽ-LK'!$E$49:$E$63,'Data-Vẽ-LK'!$A$49:$A$63,'Trình Bày-LK'!B47)</f>
        <v>#REF!</v>
      </c>
      <c r="E47" s="400"/>
    </row>
    <row r="48" spans="1:10">
      <c r="A48" s="377" t="s">
        <v>472</v>
      </c>
      <c r="B48" s="378" t="s">
        <v>428</v>
      </c>
      <c r="C48" s="378" t="s">
        <v>169</v>
      </c>
      <c r="D48" s="379" t="e">
        <f>SUMIFS('Data-Vẽ-LK'!$E$49:$E$63,'Data-Vẽ-LK'!$A$49:$A$63,'Trình Bày-LK'!B48)</f>
        <v>#REF!</v>
      </c>
      <c r="E48" s="400"/>
    </row>
    <row r="49" spans="1:5" s="279" customFormat="1" ht="17">
      <c r="A49" s="396" t="s">
        <v>372</v>
      </c>
      <c r="B49" s="397" t="s">
        <v>549</v>
      </c>
      <c r="C49" s="398"/>
      <c r="D49" s="399" t="e">
        <f>SUM(D50:D58)</f>
        <v>#REF!</v>
      </c>
      <c r="E49" s="1085"/>
    </row>
    <row r="50" spans="1:5" s="279" customFormat="1">
      <c r="A50" s="374" t="s">
        <v>475</v>
      </c>
      <c r="B50" s="375" t="s">
        <v>442</v>
      </c>
      <c r="C50" s="375" t="s">
        <v>164</v>
      </c>
      <c r="D50" s="376" t="e">
        <f>SUMIFS('Data-Vẽ-LK'!$E$49:$E$63,'Data-Vẽ-LK'!$A$49:$A$63,'Trình Bày-LK'!B50)</f>
        <v>#REF!</v>
      </c>
      <c r="E50" s="1081"/>
    </row>
    <row r="51" spans="1:5">
      <c r="A51" s="377" t="s">
        <v>476</v>
      </c>
      <c r="B51" s="378" t="s">
        <v>444</v>
      </c>
      <c r="C51" s="378" t="s">
        <v>164</v>
      </c>
      <c r="D51" s="379" t="e">
        <f>SUMIFS('Data-Vẽ-LK'!$E$49:$E$63,'Data-Vẽ-LK'!$A$49:$A$63,'Trình Bày-LK'!B51)</f>
        <v>#REF!</v>
      </c>
      <c r="E51" s="1081"/>
    </row>
    <row r="52" spans="1:5" s="1082" customFormat="1">
      <c r="A52" s="377" t="s">
        <v>477</v>
      </c>
      <c r="B52" s="378" t="s">
        <v>430</v>
      </c>
      <c r="C52" s="400" t="s">
        <v>478</v>
      </c>
      <c r="D52" s="379" t="e">
        <f>SUMIFS('Data-Vẽ-LK'!$E$49:$E$63,'Data-Vẽ-LK'!$A$49:$A$63,'Trình Bày-LK'!B52)</f>
        <v>#REF!</v>
      </c>
      <c r="E52" s="1081"/>
    </row>
    <row r="53" spans="1:5">
      <c r="A53" s="377" t="s">
        <v>479</v>
      </c>
      <c r="B53" s="378" t="s">
        <v>447</v>
      </c>
      <c r="C53" s="378" t="s">
        <v>164</v>
      </c>
      <c r="D53" s="379" t="e">
        <f>SUMIFS('Data-Vẽ-LK'!$E$49:$E$63,'Data-Vẽ-LK'!$A$49:$A$63,'Trình Bày-LK'!B53)</f>
        <v>#REF!</v>
      </c>
      <c r="E53" s="400"/>
    </row>
    <row r="54" spans="1:5">
      <c r="A54" s="578" t="s">
        <v>485</v>
      </c>
      <c r="B54" s="579" t="s">
        <v>446</v>
      </c>
      <c r="C54" s="579" t="s">
        <v>164</v>
      </c>
      <c r="D54" s="580" t="e">
        <f>SUMIFS('Data-Vẽ-LK'!$E$49:$E$63,'Data-Vẽ-LK'!$A$49:$A$63,'Trình Bày-LK'!B54)</f>
        <v>#REF!</v>
      </c>
      <c r="E54" s="400"/>
    </row>
    <row r="55" spans="1:5">
      <c r="A55" s="578" t="s">
        <v>780</v>
      </c>
      <c r="B55" s="579" t="s">
        <v>432</v>
      </c>
      <c r="C55" s="579" t="s">
        <v>175</v>
      </c>
      <c r="D55" s="580" t="e">
        <f>SUMIFS('Data-Vẽ-LK'!$E$49:$E$63,'Data-Vẽ-LK'!$A$49:$A$63,'Trình Bày-LK'!B55)</f>
        <v>#REF!</v>
      </c>
      <c r="E55" s="400"/>
    </row>
    <row r="56" spans="1:5">
      <c r="A56" s="578" t="s">
        <v>781</v>
      </c>
      <c r="B56" s="579" t="s">
        <v>445</v>
      </c>
      <c r="C56" s="579" t="s">
        <v>164</v>
      </c>
      <c r="D56" s="580" t="e">
        <f>SUMIFS('Data-Vẽ-LK'!$E$49:$E$63,'Data-Vẽ-LK'!$A$49:$A$63,'Trình Bày-LK'!B56)</f>
        <v>#REF!</v>
      </c>
      <c r="E56" s="400"/>
    </row>
    <row r="57" spans="1:5">
      <c r="A57" s="578" t="s">
        <v>795</v>
      </c>
      <c r="B57" s="579" t="s">
        <v>923</v>
      </c>
      <c r="C57" s="579" t="s">
        <v>361</v>
      </c>
      <c r="D57" s="580" t="e">
        <f>SUMIFS('Data-Vẽ-LK'!$E$49:$E$63,'Data-Vẽ-LK'!$A$49:$A$63,'Trình Bày-LK'!B57)</f>
        <v>#REF!</v>
      </c>
      <c r="E57" s="400"/>
    </row>
    <row r="58" spans="1:5">
      <c r="A58" s="578" t="s">
        <v>866</v>
      </c>
      <c r="B58" s="381" t="s">
        <v>429</v>
      </c>
      <c r="C58" s="381" t="s">
        <v>175</v>
      </c>
      <c r="D58" s="382" t="e">
        <f>SUMIFS('Data-Vẽ-LK'!$E$49:$E$63,'Data-Vẽ-LK'!$A$49:$A$63,'Trình Bày-LK'!B58)</f>
        <v>#REF!</v>
      </c>
      <c r="E58" s="400"/>
    </row>
    <row r="59" spans="1:5" s="401" customFormat="1" ht="22.5" customHeight="1">
      <c r="A59" s="385"/>
      <c r="B59" s="386" t="s">
        <v>480</v>
      </c>
      <c r="C59" s="387"/>
      <c r="D59" s="388" t="e">
        <f>D44+D49</f>
        <v>#REF!</v>
      </c>
      <c r="E59" s="389"/>
    </row>
    <row r="60" spans="1:5">
      <c r="B60" s="147" t="s">
        <v>340</v>
      </c>
      <c r="C60" s="147"/>
      <c r="D60" s="297" t="e">
        <f>D59-'Data-Vẽ-LK'!D45</f>
        <v>#REF!</v>
      </c>
    </row>
  </sheetData>
  <conditionalFormatting sqref="D44:D59">
    <cfRule type="cellIs" dxfId="5" priority="1" operator="lessThan">
      <formula>0</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1175-7483-450E-9A39-77B334F336B9}">
  <sheetPr codeName="Sheet27"/>
  <dimension ref="A1:S85"/>
  <sheetViews>
    <sheetView showGridLines="0" zoomScaleNormal="100" workbookViewId="0">
      <pane ySplit="2" topLeftCell="A3" activePane="bottomLeft" state="frozen"/>
      <selection activeCell="B49" sqref="B49"/>
      <selection pane="bottomLeft" activeCell="R5" sqref="R5"/>
    </sheetView>
  </sheetViews>
  <sheetFormatPr defaultRowHeight="14.5"/>
  <cols>
    <col min="1" max="1" width="8.90625" style="278" customWidth="1"/>
    <col min="2" max="2" width="25.90625" style="278" customWidth="1"/>
    <col min="3" max="3" width="25.08984375" customWidth="1"/>
    <col min="4" max="4" width="6.90625" customWidth="1"/>
    <col min="5" max="5" width="13.453125" customWidth="1"/>
    <col min="6" max="6" width="12.54296875" customWidth="1"/>
    <col min="7" max="7" width="10.54296875" customWidth="1"/>
    <col min="8" max="8" width="20.54296875" customWidth="1"/>
    <col min="9" max="9" width="18.90625" customWidth="1"/>
    <col min="10" max="10" width="20.453125" customWidth="1"/>
    <col min="11" max="11" width="19.54296875" customWidth="1"/>
    <col min="12" max="12" width="20" customWidth="1"/>
    <col min="13" max="13" width="14.54296875" customWidth="1"/>
    <col min="17" max="17" width="12.90625" customWidth="1"/>
    <col min="18" max="18" width="11.453125" customWidth="1"/>
  </cols>
  <sheetData>
    <row r="1" spans="1:19">
      <c r="C1" s="279" t="s">
        <v>366</v>
      </c>
      <c r="E1" s="1033">
        <f>'Data-Vẽ-Tháng'!$E$1</f>
        <v>5</v>
      </c>
      <c r="H1" t="s">
        <v>481</v>
      </c>
      <c r="Q1" t="s">
        <v>774</v>
      </c>
    </row>
    <row r="2" spans="1:19">
      <c r="A2" s="281" t="s">
        <v>0</v>
      </c>
      <c r="B2" s="281" t="s">
        <v>417</v>
      </c>
      <c r="C2" s="282"/>
      <c r="D2" s="282"/>
      <c r="E2" s="283" t="s">
        <v>773</v>
      </c>
      <c r="F2" s="283" t="s">
        <v>772</v>
      </c>
      <c r="G2" s="284" t="s">
        <v>418</v>
      </c>
      <c r="H2" s="285" t="s">
        <v>419</v>
      </c>
      <c r="I2" s="285" t="s">
        <v>420</v>
      </c>
      <c r="J2" s="285" t="s">
        <v>749</v>
      </c>
      <c r="K2" s="285" t="s">
        <v>421</v>
      </c>
      <c r="L2" s="285" t="s">
        <v>422</v>
      </c>
      <c r="M2" s="285" t="s">
        <v>423</v>
      </c>
      <c r="O2" s="286" t="s">
        <v>424</v>
      </c>
      <c r="R2" s="1034" t="s">
        <v>734</v>
      </c>
      <c r="S2" s="1034" t="s">
        <v>735</v>
      </c>
    </row>
    <row r="3" spans="1:19" s="279" customFormat="1">
      <c r="A3" s="1053"/>
      <c r="B3" s="1053"/>
      <c r="C3" s="1054" t="s">
        <v>425</v>
      </c>
      <c r="D3" s="1054" t="s">
        <v>426</v>
      </c>
      <c r="E3" s="1055" t="e">
        <f t="shared" ref="E3:J3" si="0">SUM(E4:E14)</f>
        <v>#REF!</v>
      </c>
      <c r="F3" s="1055" t="e">
        <f t="shared" si="0"/>
        <v>#REF!</v>
      </c>
      <c r="G3" s="1055" t="e">
        <f t="shared" si="0"/>
        <v>#REF!</v>
      </c>
      <c r="H3" s="1056">
        <f t="shared" si="0"/>
        <v>0.42927421200974769</v>
      </c>
      <c r="I3" s="1056" t="e">
        <f t="shared" si="0"/>
        <v>#REF!</v>
      </c>
      <c r="J3" s="1056" t="e">
        <f t="shared" si="0"/>
        <v>#REF!</v>
      </c>
      <c r="K3" s="1056" t="e">
        <f>SUM(K4:K14)</f>
        <v>#REF!</v>
      </c>
      <c r="L3" s="1054"/>
      <c r="M3" s="1054"/>
      <c r="O3" s="288" t="e">
        <f t="shared" ref="O3:O14" si="1">G3/F3</f>
        <v>#REF!</v>
      </c>
      <c r="R3" s="145" t="e">
        <f t="shared" ref="R3" si="2">SUM(R4:R14)</f>
        <v>#REF!</v>
      </c>
      <c r="S3" s="145" t="e">
        <f t="shared" ref="S3" si="3">SUM(S4:S14)</f>
        <v>#REF!</v>
      </c>
    </row>
    <row r="4" spans="1:19">
      <c r="A4" s="1042">
        <v>1</v>
      </c>
      <c r="B4" s="1043" t="s">
        <v>923</v>
      </c>
      <c r="C4" s="1044" t="s">
        <v>923</v>
      </c>
      <c r="D4" s="1044" t="s">
        <v>426</v>
      </c>
      <c r="E4" s="1045" t="e">
        <f>R4/R$37</f>
        <v>#REF!</v>
      </c>
      <c r="F4" s="1045" t="e">
        <f>S4/S$37</f>
        <v>#REF!</v>
      </c>
      <c r="G4" s="1046" t="e">
        <f t="shared" ref="G4:G14" si="4">E4-F4</f>
        <v>#REF!</v>
      </c>
      <c r="H4" s="1047">
        <f>'Tác động-GM'!L10</f>
        <v>0.42927421200974769</v>
      </c>
      <c r="I4" s="1095" t="e">
        <f>'Tác động-GM'!O10-3%*SUM(#REF!)/SUM(#REF!)</f>
        <v>#REF!</v>
      </c>
      <c r="J4" s="1047" t="e">
        <f>G4-H4-I4</f>
        <v>#REF!</v>
      </c>
      <c r="K4" s="1044"/>
      <c r="L4" s="1044"/>
      <c r="M4" s="1044"/>
      <c r="O4" s="289" t="e">
        <f t="shared" si="1"/>
        <v>#REF!</v>
      </c>
      <c r="R4" s="143" t="e" cm="1">
        <f t="array" ref="R4">SUMPRODUCT(#REF!*(#REF!=$C4)*(#REF!&lt;=$E$1))</f>
        <v>#REF!</v>
      </c>
      <c r="S4" s="143" t="e" cm="1">
        <f t="array" ref="S4">SUMPRODUCT(#REF!*(#REF!=$C4)*(#REF!&lt;=$E$1))</f>
        <v>#REF!</v>
      </c>
    </row>
    <row r="5" spans="1:19">
      <c r="A5" s="1042">
        <v>2</v>
      </c>
      <c r="B5" s="1043" t="s">
        <v>428</v>
      </c>
      <c r="C5" s="1044" t="s">
        <v>428</v>
      </c>
      <c r="D5" s="1044" t="s">
        <v>426</v>
      </c>
      <c r="E5" s="1045" t="e">
        <f>R5/R$37</f>
        <v>#REF!</v>
      </c>
      <c r="F5" s="1045" t="e">
        <f>S5/S$37</f>
        <v>#REF!</v>
      </c>
      <c r="G5" s="1046" t="e">
        <f t="shared" si="4"/>
        <v>#REF!</v>
      </c>
      <c r="H5" s="1044"/>
      <c r="I5" s="1044"/>
      <c r="J5" s="1044"/>
      <c r="K5" s="1048" t="e">
        <f t="shared" ref="K5:K14" si="5">G5</f>
        <v>#REF!</v>
      </c>
      <c r="L5" s="1044"/>
      <c r="M5" s="1044"/>
      <c r="O5" s="289" t="e">
        <f t="shared" si="1"/>
        <v>#REF!</v>
      </c>
      <c r="R5" s="143" t="e" cm="1">
        <f t="array" ref="R5">SUMPRODUCT(#REF!*(#REF!=$C5)*(#REF!&lt;=$E$1))</f>
        <v>#REF!</v>
      </c>
      <c r="S5" s="143" t="e" cm="1">
        <f t="array" ref="S5">SUMPRODUCT(#REF!*(#REF!=$C5)*(#REF!&lt;=$E$1))</f>
        <v>#REF!</v>
      </c>
    </row>
    <row r="6" spans="1:19">
      <c r="A6" s="1042">
        <v>3</v>
      </c>
      <c r="B6" s="1043" t="s">
        <v>429</v>
      </c>
      <c r="C6" s="1044" t="s">
        <v>429</v>
      </c>
      <c r="D6" s="1044" t="s">
        <v>426</v>
      </c>
      <c r="E6" s="1050" t="e">
        <f>R6/R$38</f>
        <v>#REF!</v>
      </c>
      <c r="F6" s="1110" t="e">
        <f>S6/S$38</f>
        <v>#REF!</v>
      </c>
      <c r="G6" s="1049" t="e">
        <f t="shared" si="4"/>
        <v>#REF!</v>
      </c>
      <c r="H6" s="1044"/>
      <c r="I6" s="1044"/>
      <c r="J6" s="1044"/>
      <c r="K6" s="1048" t="e">
        <f t="shared" si="5"/>
        <v>#REF!</v>
      </c>
      <c r="L6" s="1044"/>
      <c r="M6" s="1044"/>
      <c r="O6" s="289" t="e">
        <f t="shared" si="1"/>
        <v>#REF!</v>
      </c>
      <c r="P6" t="s">
        <v>777</v>
      </c>
      <c r="R6" s="143" t="e" cm="1">
        <f t="array" ref="R6">SUMPRODUCT(#REF!*(#REF!=$C6)*(#REF!&lt;=$E$1))</f>
        <v>#REF!</v>
      </c>
      <c r="S6" s="143" t="e" cm="1">
        <f t="array" ref="S6">SUMPRODUCT(#REF!*(#REF!=$C6)*(#REF!&lt;=$E$1))</f>
        <v>#REF!</v>
      </c>
    </row>
    <row r="7" spans="1:19">
      <c r="A7" s="1042">
        <v>4</v>
      </c>
      <c r="B7" s="1043" t="s">
        <v>430</v>
      </c>
      <c r="C7" s="1044" t="s">
        <v>431</v>
      </c>
      <c r="D7" s="1044" t="s">
        <v>426</v>
      </c>
      <c r="E7" s="1050" t="e">
        <f t="shared" ref="E7:F14" si="6">R7/R$37</f>
        <v>#REF!</v>
      </c>
      <c r="F7" s="1050" t="e">
        <f t="shared" si="6"/>
        <v>#REF!</v>
      </c>
      <c r="G7" s="1049" t="e">
        <f t="shared" si="4"/>
        <v>#REF!</v>
      </c>
      <c r="H7" s="1044"/>
      <c r="I7" s="1044"/>
      <c r="J7" s="1044"/>
      <c r="K7" s="1048" t="e">
        <f t="shared" si="5"/>
        <v>#REF!</v>
      </c>
      <c r="L7" s="1044"/>
      <c r="M7" s="1044"/>
      <c r="O7" s="289" t="e">
        <f t="shared" si="1"/>
        <v>#REF!</v>
      </c>
      <c r="R7" s="143" t="e" cm="1">
        <f t="array" ref="R7">SUMPRODUCT(#REF!*(#REF!=$C7)*(#REF!&lt;=$E$1))</f>
        <v>#REF!</v>
      </c>
      <c r="S7" s="143" t="e" cm="1">
        <f t="array" ref="S7">SUMPRODUCT(#REF!*(#REF!=$C7)*(#REF!&lt;=$E$1))</f>
        <v>#REF!</v>
      </c>
    </row>
    <row r="8" spans="1:19">
      <c r="A8" s="1042">
        <v>5</v>
      </c>
      <c r="B8" s="1043" t="s">
        <v>432</v>
      </c>
      <c r="C8" s="1044" t="s">
        <v>433</v>
      </c>
      <c r="D8" s="1044" t="s">
        <v>426</v>
      </c>
      <c r="E8" s="1050" t="e">
        <f t="shared" si="6"/>
        <v>#REF!</v>
      </c>
      <c r="F8" s="1050" t="e">
        <f t="shared" si="6"/>
        <v>#REF!</v>
      </c>
      <c r="G8" s="1049" t="e">
        <f t="shared" si="4"/>
        <v>#REF!</v>
      </c>
      <c r="H8" s="1044"/>
      <c r="I8" s="1044"/>
      <c r="J8" s="1044"/>
      <c r="K8" s="1048" t="e">
        <f t="shared" si="5"/>
        <v>#REF!</v>
      </c>
      <c r="L8" s="1044"/>
      <c r="M8" s="1044"/>
      <c r="O8" s="289" t="e">
        <f t="shared" si="1"/>
        <v>#REF!</v>
      </c>
      <c r="R8" s="143" t="e" cm="1">
        <f t="array" ref="R8">SUMPRODUCT(#REF!*(#REF!=$C8)*(#REF!&lt;=$E$1))</f>
        <v>#REF!</v>
      </c>
      <c r="S8" s="143" t="e" cm="1">
        <f t="array" ref="S8">SUMPRODUCT(#REF!*(#REF!=$C8)*(#REF!&lt;=$E$1))</f>
        <v>#REF!</v>
      </c>
    </row>
    <row r="9" spans="1:19">
      <c r="A9" s="1042">
        <v>6</v>
      </c>
      <c r="B9" s="1043" t="s">
        <v>432</v>
      </c>
      <c r="C9" s="1044" t="s">
        <v>434</v>
      </c>
      <c r="D9" s="1044" t="s">
        <v>426</v>
      </c>
      <c r="E9" s="1050" t="e">
        <f t="shared" si="6"/>
        <v>#REF!</v>
      </c>
      <c r="F9" s="1050" t="e">
        <f t="shared" si="6"/>
        <v>#REF!</v>
      </c>
      <c r="G9" s="1049" t="e">
        <f t="shared" si="4"/>
        <v>#REF!</v>
      </c>
      <c r="H9" s="1044"/>
      <c r="I9" s="1044"/>
      <c r="J9" s="1044"/>
      <c r="K9" s="1048" t="e">
        <f t="shared" si="5"/>
        <v>#REF!</v>
      </c>
      <c r="L9" s="1044"/>
      <c r="M9" s="1044"/>
      <c r="O9" s="289" t="e">
        <f t="shared" si="1"/>
        <v>#REF!</v>
      </c>
      <c r="R9" s="143" t="e" cm="1">
        <f t="array" ref="R9">SUMPRODUCT(#REF!*(#REF!=$C9)*(#REF!&lt;=$E$1))</f>
        <v>#REF!</v>
      </c>
      <c r="S9" s="143" t="e" cm="1">
        <f t="array" ref="S9">SUMPRODUCT(#REF!*(#REF!=$C9)*(#REF!&lt;=$E$1))</f>
        <v>#REF!</v>
      </c>
    </row>
    <row r="10" spans="1:19">
      <c r="A10" s="1042">
        <v>7</v>
      </c>
      <c r="B10" s="1043" t="s">
        <v>432</v>
      </c>
      <c r="C10" s="1044" t="s">
        <v>435</v>
      </c>
      <c r="D10" s="1044" t="s">
        <v>426</v>
      </c>
      <c r="E10" s="1050" t="e">
        <f t="shared" si="6"/>
        <v>#REF!</v>
      </c>
      <c r="F10" s="1050" t="e">
        <f t="shared" si="6"/>
        <v>#REF!</v>
      </c>
      <c r="G10" s="1049" t="e">
        <f t="shared" si="4"/>
        <v>#REF!</v>
      </c>
      <c r="H10" s="1044"/>
      <c r="I10" s="1044"/>
      <c r="J10" s="1044"/>
      <c r="K10" s="1048" t="e">
        <f t="shared" si="5"/>
        <v>#REF!</v>
      </c>
      <c r="L10" s="1044"/>
      <c r="M10" s="1044"/>
      <c r="O10" s="289" t="e">
        <f t="shared" si="1"/>
        <v>#REF!</v>
      </c>
      <c r="R10" s="143" t="e" cm="1">
        <f t="array" ref="R10">SUMPRODUCT(#REF!*(#REF!=$C10)*(#REF!&lt;=$E$1))</f>
        <v>#REF!</v>
      </c>
      <c r="S10" s="143" t="e" cm="1">
        <f t="array" ref="S10">SUMPRODUCT(#REF!*(#REF!=$C10)*(#REF!&lt;=$E$1))</f>
        <v>#REF!</v>
      </c>
    </row>
    <row r="11" spans="1:19">
      <c r="A11" s="1042">
        <v>8</v>
      </c>
      <c r="B11" s="1043" t="s">
        <v>430</v>
      </c>
      <c r="C11" s="1044" t="s">
        <v>436</v>
      </c>
      <c r="D11" s="1044" t="s">
        <v>426</v>
      </c>
      <c r="E11" s="1050" t="e">
        <f t="shared" si="6"/>
        <v>#REF!</v>
      </c>
      <c r="F11" s="1050" t="e">
        <f t="shared" si="6"/>
        <v>#REF!</v>
      </c>
      <c r="G11" s="1049" t="e">
        <f t="shared" si="4"/>
        <v>#REF!</v>
      </c>
      <c r="H11" s="1044"/>
      <c r="I11" s="1044"/>
      <c r="J11" s="1044"/>
      <c r="K11" s="1048" t="e">
        <f t="shared" si="5"/>
        <v>#REF!</v>
      </c>
      <c r="L11" s="1044"/>
      <c r="M11" s="1044"/>
      <c r="O11" s="289" t="e">
        <f t="shared" si="1"/>
        <v>#REF!</v>
      </c>
      <c r="R11" s="143" t="e" cm="1">
        <f t="array" ref="R11">SUMPRODUCT(#REF!*(#REF!=$C11)*(#REF!&lt;=$E$1))</f>
        <v>#REF!</v>
      </c>
      <c r="S11" s="143" t="e" cm="1">
        <f t="array" ref="S11">SUMPRODUCT(#REF!*(#REF!=$C11)*(#REF!&lt;=$E$1))</f>
        <v>#REF!</v>
      </c>
    </row>
    <row r="12" spans="1:19">
      <c r="A12" s="1042">
        <v>9</v>
      </c>
      <c r="B12" s="1043" t="s">
        <v>432</v>
      </c>
      <c r="C12" s="1044" t="s">
        <v>437</v>
      </c>
      <c r="D12" s="1044" t="s">
        <v>426</v>
      </c>
      <c r="E12" s="1050" t="e">
        <f t="shared" si="6"/>
        <v>#REF!</v>
      </c>
      <c r="F12" s="1050" t="e">
        <f t="shared" si="6"/>
        <v>#REF!</v>
      </c>
      <c r="G12" s="1049" t="e">
        <f t="shared" si="4"/>
        <v>#REF!</v>
      </c>
      <c r="H12" s="1044"/>
      <c r="I12" s="1044"/>
      <c r="J12" s="1044"/>
      <c r="K12" s="1048" t="e">
        <f t="shared" si="5"/>
        <v>#REF!</v>
      </c>
      <c r="L12" s="1044"/>
      <c r="M12" s="1044"/>
      <c r="O12" s="289" t="e">
        <f t="shared" si="1"/>
        <v>#REF!</v>
      </c>
      <c r="R12" s="143" t="e" cm="1">
        <f t="array" ref="R12">SUMPRODUCT(#REF!*(#REF!=$C12)*(#REF!&lt;=$E$1))</f>
        <v>#REF!</v>
      </c>
      <c r="S12" s="143" t="e" cm="1">
        <f t="array" ref="S12">SUMPRODUCT(#REF!*(#REF!=$C12)*(#REF!&lt;=$E$1))</f>
        <v>#REF!</v>
      </c>
    </row>
    <row r="13" spans="1:19">
      <c r="A13" s="1042">
        <v>10</v>
      </c>
      <c r="B13" s="1043" t="s">
        <v>432</v>
      </c>
      <c r="C13" s="1044" t="s">
        <v>438</v>
      </c>
      <c r="D13" s="1044" t="s">
        <v>426</v>
      </c>
      <c r="E13" s="1050" t="e">
        <f t="shared" si="6"/>
        <v>#REF!</v>
      </c>
      <c r="F13" s="1050" t="e">
        <f t="shared" si="6"/>
        <v>#REF!</v>
      </c>
      <c r="G13" s="1049" t="e">
        <f t="shared" si="4"/>
        <v>#REF!</v>
      </c>
      <c r="H13" s="1044"/>
      <c r="I13" s="1044"/>
      <c r="J13" s="1044"/>
      <c r="K13" s="1048" t="e">
        <f t="shared" si="5"/>
        <v>#REF!</v>
      </c>
      <c r="L13" s="1044"/>
      <c r="M13" s="1044"/>
      <c r="O13" s="289" t="e">
        <f t="shared" si="1"/>
        <v>#REF!</v>
      </c>
      <c r="R13" s="143" t="e" cm="1">
        <f t="array" ref="R13">SUMPRODUCT(#REF!*(#REF!=$C13)*(#REF!&lt;=$E$1))</f>
        <v>#REF!</v>
      </c>
      <c r="S13" s="143" t="e" cm="1">
        <f t="array" ref="S13">SUMPRODUCT(#REF!*(#REF!=$C13)*(#REF!&lt;=$E$1))</f>
        <v>#REF!</v>
      </c>
    </row>
    <row r="14" spans="1:19">
      <c r="A14" s="1042">
        <v>11</v>
      </c>
      <c r="B14" s="1043" t="s">
        <v>432</v>
      </c>
      <c r="C14" s="1044" t="s">
        <v>439</v>
      </c>
      <c r="D14" s="1044" t="s">
        <v>426</v>
      </c>
      <c r="E14" s="1050" t="e">
        <f t="shared" si="6"/>
        <v>#REF!</v>
      </c>
      <c r="F14" s="1050" t="e">
        <f t="shared" si="6"/>
        <v>#REF!</v>
      </c>
      <c r="G14" s="1049" t="e">
        <f t="shared" si="4"/>
        <v>#REF!</v>
      </c>
      <c r="H14" s="1044"/>
      <c r="I14" s="1044"/>
      <c r="J14" s="1044"/>
      <c r="K14" s="1048" t="e">
        <f t="shared" si="5"/>
        <v>#REF!</v>
      </c>
      <c r="L14" s="1044"/>
      <c r="M14" s="1044"/>
      <c r="O14" s="289" t="e">
        <f t="shared" si="1"/>
        <v>#REF!</v>
      </c>
      <c r="R14" s="143" t="e" cm="1">
        <f t="array" ref="R14">SUMPRODUCT(#REF!*(#REF!=$C14)*(#REF!&lt;=$E$1))</f>
        <v>#REF!</v>
      </c>
      <c r="S14" s="143" t="e" cm="1">
        <f t="array" ref="S14">SUMPRODUCT(#REF!*(#REF!=$C14)*(#REF!&lt;=$E$1))</f>
        <v>#REF!</v>
      </c>
    </row>
    <row r="15" spans="1:19" s="279" customFormat="1">
      <c r="A15" s="1038"/>
      <c r="B15" s="1038"/>
      <c r="C15" s="1039"/>
      <c r="D15" s="1039"/>
      <c r="E15" s="1051"/>
      <c r="F15" s="1051"/>
      <c r="G15" s="1040"/>
      <c r="H15" s="1041"/>
      <c r="I15" s="1039"/>
      <c r="J15" s="1039"/>
      <c r="K15" s="1039"/>
      <c r="L15" s="1039"/>
      <c r="M15" s="1039"/>
      <c r="O15" s="292"/>
      <c r="R15" s="145"/>
      <c r="S15" s="145"/>
    </row>
    <row r="16" spans="1:19" s="279" customFormat="1">
      <c r="A16" s="1038"/>
      <c r="B16" s="1038"/>
      <c r="C16" s="1039" t="s">
        <v>440</v>
      </c>
      <c r="D16" s="1039" t="s">
        <v>426</v>
      </c>
      <c r="E16" s="1051" t="e">
        <f>SUM(E17:E23)</f>
        <v>#REF!</v>
      </c>
      <c r="F16" s="1051" t="e">
        <f>SUM(F17:F23)</f>
        <v>#REF!</v>
      </c>
      <c r="G16" s="1040" t="e">
        <f>SUM(G17:G23)</f>
        <v>#REF!</v>
      </c>
      <c r="H16" s="1051">
        <f>SUM(H17:H23)</f>
        <v>0</v>
      </c>
      <c r="I16" s="1039"/>
      <c r="J16" s="1039"/>
      <c r="K16" s="1039"/>
      <c r="L16" s="1040" t="e">
        <f>SUM(L17:L23)</f>
        <v>#REF!</v>
      </c>
      <c r="M16" s="1040" t="e">
        <f>SUM(M17:M23)</f>
        <v>#REF!</v>
      </c>
      <c r="O16" s="288" t="e">
        <f t="shared" ref="O16:O23" si="7">G16/F16</f>
        <v>#REF!</v>
      </c>
      <c r="R16" s="145" t="e">
        <f t="shared" ref="R16:S16" si="8">SUM(R17:R23)</f>
        <v>#REF!</v>
      </c>
      <c r="S16" s="145" t="e">
        <f t="shared" si="8"/>
        <v>#REF!</v>
      </c>
    </row>
    <row r="17" spans="1:19">
      <c r="A17" s="1042">
        <v>1</v>
      </c>
      <c r="B17" s="1043" t="s">
        <v>441</v>
      </c>
      <c r="C17" s="1044" t="s">
        <v>441</v>
      </c>
      <c r="D17" s="1044" t="s">
        <v>426</v>
      </c>
      <c r="E17" s="1052" t="e">
        <f>R17/R$37</f>
        <v>#REF!</v>
      </c>
      <c r="F17" s="1052" t="e">
        <f t="shared" ref="E17:F23" si="9">S17/S$37</f>
        <v>#REF!</v>
      </c>
      <c r="G17" s="1049" t="e">
        <f t="shared" ref="G17:G23" si="10">E17-F17</f>
        <v>#REF!</v>
      </c>
      <c r="H17" s="1052"/>
      <c r="I17" s="1044"/>
      <c r="J17" s="1044"/>
      <c r="K17" s="1044"/>
      <c r="L17" s="1049" t="e">
        <f t="shared" ref="L17:L23" si="11">F29/$E$37-F29/$F$37</f>
        <v>#REF!</v>
      </c>
      <c r="M17" s="1049" t="e">
        <f t="shared" ref="M17:M23" si="12">G29/E$37</f>
        <v>#REF!</v>
      </c>
      <c r="O17" s="289" t="e">
        <f t="shared" si="7"/>
        <v>#REF!</v>
      </c>
      <c r="P17" t="s">
        <v>775</v>
      </c>
      <c r="R17" s="143" t="e" cm="1">
        <f t="array" ref="R17">SUMPRODUCT(#REF!*(#REF!=$C17)*(#REF!&lt;=$E$1))-SUMPRODUCT(#REF!*(#REF!&lt;=$E$1))</f>
        <v>#REF!</v>
      </c>
      <c r="S17" s="143" t="e" cm="1">
        <f t="array" ref="S17">SUMPRODUCT(#REF!*(#REF!=$C17)*(#REF!&lt;=$E$1))-SUMPRODUCT(#REF!*(#REF!&lt;=$E$1))</f>
        <v>#REF!</v>
      </c>
    </row>
    <row r="18" spans="1:19">
      <c r="A18" s="1042">
        <v>2</v>
      </c>
      <c r="B18" s="1043" t="s">
        <v>442</v>
      </c>
      <c r="C18" s="1044" t="s">
        <v>442</v>
      </c>
      <c r="D18" s="1044" t="s">
        <v>426</v>
      </c>
      <c r="E18" s="1052" t="e">
        <f t="shared" si="9"/>
        <v>#REF!</v>
      </c>
      <c r="F18" s="1052" t="e">
        <f t="shared" si="9"/>
        <v>#REF!</v>
      </c>
      <c r="G18" s="1049" t="e">
        <f t="shared" si="10"/>
        <v>#REF!</v>
      </c>
      <c r="H18" s="1052"/>
      <c r="I18" s="1044"/>
      <c r="J18" s="1044"/>
      <c r="K18" s="1044"/>
      <c r="L18" s="1049" t="e">
        <f t="shared" si="11"/>
        <v>#REF!</v>
      </c>
      <c r="M18" s="1049" t="e">
        <f t="shared" si="12"/>
        <v>#REF!</v>
      </c>
      <c r="O18" s="289" t="e">
        <f t="shared" si="7"/>
        <v>#REF!</v>
      </c>
      <c r="R18" s="143" t="e" cm="1">
        <f t="array" ref="R18">SUMPRODUCT(#REF!*(#REF!=$C18)*(#REF!&lt;=$E$1))</f>
        <v>#REF!</v>
      </c>
      <c r="S18" s="143" t="e" cm="1">
        <f t="array" ref="S18">SUMPRODUCT(#REF!*(#REF!=$C18)*(#REF!&lt;=$E$1))</f>
        <v>#REF!</v>
      </c>
    </row>
    <row r="19" spans="1:19">
      <c r="A19" s="1042">
        <v>3</v>
      </c>
      <c r="B19" s="1043" t="s">
        <v>443</v>
      </c>
      <c r="C19" s="1044" t="s">
        <v>443</v>
      </c>
      <c r="D19" s="1044" t="s">
        <v>426</v>
      </c>
      <c r="E19" s="1052" t="e">
        <f t="shared" si="9"/>
        <v>#REF!</v>
      </c>
      <c r="F19" s="1052" t="e">
        <f t="shared" si="9"/>
        <v>#REF!</v>
      </c>
      <c r="G19" s="1049" t="e">
        <f t="shared" si="10"/>
        <v>#REF!</v>
      </c>
      <c r="H19" s="1052"/>
      <c r="I19" s="1044"/>
      <c r="J19" s="1044"/>
      <c r="K19" s="1044"/>
      <c r="L19" s="1049" t="e">
        <f t="shared" si="11"/>
        <v>#REF!</v>
      </c>
      <c r="M19" s="1049" t="e">
        <f t="shared" si="12"/>
        <v>#REF!</v>
      </c>
      <c r="O19" s="289" t="e">
        <f t="shared" si="7"/>
        <v>#REF!</v>
      </c>
      <c r="R19" s="143" t="e" cm="1">
        <f t="array" ref="R19">SUMPRODUCT(#REF!*(#REF!=$C19)*(#REF!&lt;=$E$1))</f>
        <v>#REF!</v>
      </c>
      <c r="S19" s="143" t="e" cm="1">
        <f t="array" ref="S19">SUMPRODUCT(#REF!*(#REF!=$C19)*(#REF!&lt;=$E$1))</f>
        <v>#REF!</v>
      </c>
    </row>
    <row r="20" spans="1:19">
      <c r="A20" s="1042">
        <v>4</v>
      </c>
      <c r="B20" s="1043" t="s">
        <v>444</v>
      </c>
      <c r="C20" s="1044" t="s">
        <v>444</v>
      </c>
      <c r="D20" s="1044" t="s">
        <v>426</v>
      </c>
      <c r="E20" s="1052" t="e">
        <f t="shared" si="9"/>
        <v>#REF!</v>
      </c>
      <c r="F20" s="1052" t="e">
        <f t="shared" si="9"/>
        <v>#REF!</v>
      </c>
      <c r="G20" s="1049" t="e">
        <f t="shared" si="10"/>
        <v>#REF!</v>
      </c>
      <c r="H20" s="1052"/>
      <c r="I20" s="1044"/>
      <c r="J20" s="1044"/>
      <c r="K20" s="1044"/>
      <c r="L20" s="1049" t="e">
        <f t="shared" si="11"/>
        <v>#REF!</v>
      </c>
      <c r="M20" s="1049" t="e">
        <f t="shared" si="12"/>
        <v>#REF!</v>
      </c>
      <c r="O20" s="289" t="e">
        <f t="shared" si="7"/>
        <v>#REF!</v>
      </c>
      <c r="R20" s="143" t="e" cm="1">
        <f t="array" ref="R20">SUMPRODUCT(#REF!*(#REF!=$C20)*(#REF!&lt;=$E$1))</f>
        <v>#REF!</v>
      </c>
      <c r="S20" s="143" t="e" cm="1">
        <f t="array" ref="S20">SUMPRODUCT(#REF!*(#REF!=$C20)*(#REF!&lt;=$E$1))</f>
        <v>#REF!</v>
      </c>
    </row>
    <row r="21" spans="1:19">
      <c r="A21" s="1042">
        <v>5</v>
      </c>
      <c r="B21" s="1043" t="s">
        <v>445</v>
      </c>
      <c r="C21" s="1044" t="s">
        <v>445</v>
      </c>
      <c r="D21" s="1044" t="s">
        <v>426</v>
      </c>
      <c r="E21" s="1052" t="e">
        <f t="shared" si="9"/>
        <v>#REF!</v>
      </c>
      <c r="F21" s="1052" t="e">
        <f t="shared" si="9"/>
        <v>#REF!</v>
      </c>
      <c r="G21" s="1049" t="e">
        <f t="shared" si="10"/>
        <v>#REF!</v>
      </c>
      <c r="H21" s="1052"/>
      <c r="I21" s="1044"/>
      <c r="J21" s="1044"/>
      <c r="K21" s="1044"/>
      <c r="L21" s="1049" t="e">
        <f t="shared" si="11"/>
        <v>#REF!</v>
      </c>
      <c r="M21" s="1049" t="e">
        <f t="shared" si="12"/>
        <v>#REF!</v>
      </c>
      <c r="O21" s="289" t="e">
        <f t="shared" si="7"/>
        <v>#REF!</v>
      </c>
      <c r="R21" s="143" t="e" cm="1">
        <f t="array" ref="R21">SUMPRODUCT(#REF!*(#REF!=$C21)*(#REF!&lt;=$E$1))</f>
        <v>#REF!</v>
      </c>
      <c r="S21" s="143" t="e" cm="1">
        <f t="array" ref="S21">SUMPRODUCT(#REF!*(#REF!=$C21)*(#REF!&lt;=$E$1))</f>
        <v>#REF!</v>
      </c>
    </row>
    <row r="22" spans="1:19">
      <c r="A22" s="1042">
        <v>6</v>
      </c>
      <c r="B22" s="1043" t="s">
        <v>446</v>
      </c>
      <c r="C22" s="1044" t="s">
        <v>446</v>
      </c>
      <c r="D22" s="1044" t="s">
        <v>426</v>
      </c>
      <c r="E22" s="1052" t="e">
        <f t="shared" si="9"/>
        <v>#REF!</v>
      </c>
      <c r="F22" s="1052" t="e">
        <f t="shared" si="9"/>
        <v>#REF!</v>
      </c>
      <c r="G22" s="1049" t="e">
        <f t="shared" si="10"/>
        <v>#REF!</v>
      </c>
      <c r="H22" s="1052"/>
      <c r="I22" s="1044"/>
      <c r="J22" s="1044"/>
      <c r="K22" s="1044"/>
      <c r="L22" s="1049" t="e">
        <f t="shared" si="11"/>
        <v>#REF!</v>
      </c>
      <c r="M22" s="1049" t="e">
        <f t="shared" si="12"/>
        <v>#REF!</v>
      </c>
      <c r="O22" s="289" t="e">
        <f t="shared" si="7"/>
        <v>#REF!</v>
      </c>
      <c r="R22" s="143" t="e" cm="1">
        <f t="array" ref="R22">SUMPRODUCT(#REF!*(#REF!=$C22)*(#REF!&lt;=$E$1))</f>
        <v>#REF!</v>
      </c>
      <c r="S22" s="143" t="e" cm="1">
        <f t="array" ref="S22">SUMPRODUCT(#REF!*(#REF!=$C22)*(#REF!&lt;=$E$1))</f>
        <v>#REF!</v>
      </c>
    </row>
    <row r="23" spans="1:19">
      <c r="A23" s="1042">
        <v>7</v>
      </c>
      <c r="B23" s="1043" t="s">
        <v>447</v>
      </c>
      <c r="C23" s="1044" t="s">
        <v>447</v>
      </c>
      <c r="D23" s="1044" t="s">
        <v>426</v>
      </c>
      <c r="E23" s="1052" t="e">
        <f t="shared" si="9"/>
        <v>#REF!</v>
      </c>
      <c r="F23" s="1052" t="e">
        <f t="shared" si="9"/>
        <v>#REF!</v>
      </c>
      <c r="G23" s="1049" t="e">
        <f t="shared" si="10"/>
        <v>#REF!</v>
      </c>
      <c r="H23" s="1052"/>
      <c r="I23" s="1044"/>
      <c r="J23" s="1044"/>
      <c r="K23" s="1044"/>
      <c r="L23" s="1049" t="e">
        <f t="shared" si="11"/>
        <v>#REF!</v>
      </c>
      <c r="M23" s="1049" t="e">
        <f t="shared" si="12"/>
        <v>#REF!</v>
      </c>
      <c r="O23" s="289" t="e">
        <f t="shared" si="7"/>
        <v>#REF!</v>
      </c>
      <c r="R23" s="143" t="e" cm="1">
        <f t="array" ref="R23">SUMPRODUCT(#REF!*(#REF!=$C23)*(#REF!&lt;=$E$1))</f>
        <v>#REF!</v>
      </c>
      <c r="S23" s="143" t="e" cm="1">
        <f t="array" ref="S23">SUMPRODUCT(#REF!*(#REF!=$C23)*(#REF!&lt;=$E$1))</f>
        <v>#REF!</v>
      </c>
    </row>
    <row r="24" spans="1:19" ht="15" thickBot="1">
      <c r="A24" s="1057"/>
      <c r="B24" s="1057"/>
      <c r="C24" s="1058"/>
      <c r="D24" s="1058"/>
      <c r="E24" s="1058"/>
      <c r="F24" s="1058"/>
      <c r="G24" s="1058"/>
      <c r="H24" s="1058"/>
      <c r="I24" s="1058"/>
      <c r="J24" s="1058"/>
      <c r="K24" s="1058"/>
      <c r="L24" s="1058"/>
      <c r="M24" s="1058"/>
      <c r="O24" s="294"/>
      <c r="R24" s="143"/>
      <c r="S24" s="143"/>
    </row>
    <row r="25" spans="1:19" ht="15" thickBot="1">
      <c r="C25" s="146" t="s">
        <v>338</v>
      </c>
      <c r="D25" s="146" t="s">
        <v>426</v>
      </c>
      <c r="E25" s="295" t="e">
        <f>E3+E16</f>
        <v>#REF!</v>
      </c>
      <c r="F25" s="295" t="e">
        <f>F3+F16</f>
        <v>#REF!</v>
      </c>
      <c r="G25" s="295" t="e">
        <f>G3+G16</f>
        <v>#REF!</v>
      </c>
      <c r="H25" s="295"/>
      <c r="I25" s="295"/>
      <c r="J25" s="295"/>
      <c r="K25" s="295"/>
      <c r="L25" s="295"/>
      <c r="M25" s="295"/>
      <c r="O25" s="288" t="e">
        <f>G25/F25</f>
        <v>#REF!</v>
      </c>
      <c r="R25" s="1035" t="e">
        <f t="shared" ref="R25:S25" si="13">R3+R16</f>
        <v>#REF!</v>
      </c>
      <c r="S25" s="1035" t="e">
        <f t="shared" si="13"/>
        <v>#REF!</v>
      </c>
    </row>
    <row r="26" spans="1:19" s="147" customFormat="1">
      <c r="A26" s="296"/>
      <c r="B26" s="296"/>
      <c r="C26" s="147" t="s">
        <v>340</v>
      </c>
      <c r="E26" s="297"/>
      <c r="F26" s="297"/>
      <c r="G26" s="1036"/>
      <c r="R26" s="1037" t="e" cm="1">
        <f t="array" ref="R26">R25-(SUMPRODUCT(#REF!*(#REF!&lt;=$E$1))-SUMPRODUCT(#REF!*(#REF!&lt;=$E$1)))</f>
        <v>#REF!</v>
      </c>
      <c r="S26" s="1037" t="e" cm="1">
        <f t="array" ref="S26">S25-(SUMPRODUCT(#REF!*(#REF!&lt;=$E$1))-SUMPRODUCT(#REF!*(#REF!&lt;=$E$1)))</f>
        <v>#REF!</v>
      </c>
    </row>
    <row r="28" spans="1:19">
      <c r="C28" s="279" t="s">
        <v>440</v>
      </c>
      <c r="D28" s="279" t="s">
        <v>448</v>
      </c>
      <c r="E28" s="145" t="e">
        <f>SUM(E29:E35)</f>
        <v>#REF!</v>
      </c>
      <c r="F28" s="145" t="e">
        <f>SUM(F29:F35)</f>
        <v>#REF!</v>
      </c>
      <c r="G28" s="298" t="e">
        <f>E28-F28</f>
        <v>#REF!</v>
      </c>
    </row>
    <row r="29" spans="1:19">
      <c r="C29" t="s">
        <v>441</v>
      </c>
      <c r="D29" t="s">
        <v>449</v>
      </c>
      <c r="E29" s="299" t="e">
        <f t="shared" ref="E29:F35" si="14">R17/$E$1</f>
        <v>#REF!</v>
      </c>
      <c r="F29" s="143" t="e">
        <f t="shared" si="14"/>
        <v>#REF!</v>
      </c>
      <c r="G29" s="144" t="e">
        <f t="shared" ref="G29:G35" si="15">E29-F29</f>
        <v>#REF!</v>
      </c>
    </row>
    <row r="30" spans="1:19">
      <c r="C30" t="s">
        <v>442</v>
      </c>
      <c r="D30" t="s">
        <v>449</v>
      </c>
      <c r="E30" s="143" t="e">
        <f t="shared" si="14"/>
        <v>#REF!</v>
      </c>
      <c r="F30" s="143" t="e">
        <f t="shared" si="14"/>
        <v>#REF!</v>
      </c>
      <c r="G30" s="144" t="e">
        <f t="shared" si="15"/>
        <v>#REF!</v>
      </c>
    </row>
    <row r="31" spans="1:19">
      <c r="C31" t="s">
        <v>443</v>
      </c>
      <c r="D31" t="s">
        <v>449</v>
      </c>
      <c r="E31" s="143" t="e">
        <f t="shared" si="14"/>
        <v>#REF!</v>
      </c>
      <c r="F31" s="143" t="e">
        <f t="shared" si="14"/>
        <v>#REF!</v>
      </c>
      <c r="G31" s="144" t="e">
        <f t="shared" si="15"/>
        <v>#REF!</v>
      </c>
    </row>
    <row r="32" spans="1:19">
      <c r="C32" t="s">
        <v>444</v>
      </c>
      <c r="D32" t="s">
        <v>449</v>
      </c>
      <c r="E32" s="143" t="e">
        <f t="shared" si="14"/>
        <v>#REF!</v>
      </c>
      <c r="F32" s="143" t="e">
        <f t="shared" si="14"/>
        <v>#REF!</v>
      </c>
      <c r="G32" s="144" t="e">
        <f t="shared" si="15"/>
        <v>#REF!</v>
      </c>
    </row>
    <row r="33" spans="1:19">
      <c r="C33" t="s">
        <v>445</v>
      </c>
      <c r="D33" t="s">
        <v>449</v>
      </c>
      <c r="E33" s="143" t="e">
        <f t="shared" si="14"/>
        <v>#REF!</v>
      </c>
      <c r="F33" s="143" t="e">
        <f t="shared" si="14"/>
        <v>#REF!</v>
      </c>
      <c r="G33" s="144" t="e">
        <f t="shared" si="15"/>
        <v>#REF!</v>
      </c>
    </row>
    <row r="34" spans="1:19">
      <c r="C34" t="s">
        <v>446</v>
      </c>
      <c r="D34" t="s">
        <v>449</v>
      </c>
      <c r="E34" s="143" t="e">
        <f t="shared" si="14"/>
        <v>#REF!</v>
      </c>
      <c r="F34" s="143" t="e">
        <f t="shared" si="14"/>
        <v>#REF!</v>
      </c>
      <c r="G34" s="144" t="e">
        <f t="shared" si="15"/>
        <v>#REF!</v>
      </c>
    </row>
    <row r="35" spans="1:19">
      <c r="C35" t="s">
        <v>447</v>
      </c>
      <c r="D35" t="s">
        <v>449</v>
      </c>
      <c r="E35" s="143" t="e">
        <f t="shared" si="14"/>
        <v>#REF!</v>
      </c>
      <c r="F35" s="143" t="e">
        <f t="shared" si="14"/>
        <v>#REF!</v>
      </c>
      <c r="G35" s="144" t="e">
        <f t="shared" si="15"/>
        <v>#REF!</v>
      </c>
    </row>
    <row r="36" spans="1:19">
      <c r="E36" s="143"/>
      <c r="F36" s="143"/>
      <c r="G36" s="144"/>
    </row>
    <row r="37" spans="1:19" s="279" customFormat="1">
      <c r="A37" s="287"/>
      <c r="B37" s="287"/>
      <c r="C37" s="279" t="s">
        <v>450</v>
      </c>
      <c r="D37" s="279" t="s">
        <v>451</v>
      </c>
      <c r="E37" s="145" t="e">
        <f>R37/$E$1</f>
        <v>#REF!</v>
      </c>
      <c r="F37" s="145" t="e">
        <f>S37/$E$1</f>
        <v>#REF!</v>
      </c>
      <c r="G37" s="298" t="e">
        <f>E37-F37</f>
        <v>#REF!</v>
      </c>
      <c r="H37" s="575" t="e">
        <f>G37/F37</f>
        <v>#REF!</v>
      </c>
      <c r="R37" s="145" t="e" cm="1">
        <f t="array" ref="R37">SUMPRODUCT(#REF!*(#REF!&lt;=$E$1))</f>
        <v>#REF!</v>
      </c>
      <c r="S37" s="145" t="e" cm="1">
        <f t="array" ref="S37">SUMPRODUCT(#REF!*(#REF!&lt;=$E$1))</f>
        <v>#REF!</v>
      </c>
    </row>
    <row r="38" spans="1:19">
      <c r="C38" t="s">
        <v>776</v>
      </c>
      <c r="D38" t="s">
        <v>451</v>
      </c>
      <c r="E38" s="143" t="e">
        <f>R38/$E$1</f>
        <v>#REF!</v>
      </c>
      <c r="F38" s="143" t="e">
        <f>S38/$E$1</f>
        <v>#REF!</v>
      </c>
      <c r="R38" s="143" t="e" cm="1">
        <f t="array" ref="R38">SUMPRODUCT(#REF!*(#REF!&lt;=$E$1))</f>
        <v>#REF!</v>
      </c>
      <c r="S38" s="143" t="e" cm="1">
        <f t="array" ref="S38">SUMPRODUCT(#REF!*(#REF!&lt;=$E$1))</f>
        <v>#REF!</v>
      </c>
    </row>
    <row r="39" spans="1:19">
      <c r="E39" s="143"/>
      <c r="F39" s="143"/>
    </row>
    <row r="41" spans="1:19">
      <c r="C41" s="292" t="s">
        <v>452</v>
      </c>
      <c r="D41" s="294"/>
    </row>
    <row r="42" spans="1:19">
      <c r="C42" s="294" t="s">
        <v>425</v>
      </c>
      <c r="D42" s="300" t="e">
        <f>E3-F3</f>
        <v>#REF!</v>
      </c>
      <c r="E42" s="279"/>
      <c r="F42" s="279"/>
    </row>
    <row r="43" spans="1:19">
      <c r="C43" s="294" t="s">
        <v>453</v>
      </c>
      <c r="D43" s="301" t="e">
        <f>F28/E37-F28/F37</f>
        <v>#REF!</v>
      </c>
      <c r="E43" s="291" t="e">
        <f>SUM(D43:D44)</f>
        <v>#REF!</v>
      </c>
      <c r="F43" s="143"/>
    </row>
    <row r="44" spans="1:19" ht="15" thickBot="1">
      <c r="C44" s="294" t="s">
        <v>440</v>
      </c>
      <c r="D44" s="302" t="e">
        <f>G28/E37</f>
        <v>#REF!</v>
      </c>
      <c r="E44" s="143"/>
      <c r="F44" s="143"/>
    </row>
    <row r="45" spans="1:19" ht="15" thickBot="1">
      <c r="C45" s="303" t="s">
        <v>454</v>
      </c>
      <c r="D45" s="304" t="e">
        <f>SUM(D42:D44)</f>
        <v>#REF!</v>
      </c>
      <c r="E45" s="143"/>
      <c r="F45" s="143"/>
    </row>
    <row r="46" spans="1:19">
      <c r="D46" s="290" t="e">
        <f>D45-G25</f>
        <v>#REF!</v>
      </c>
      <c r="E46" s="143"/>
      <c r="F46" s="143"/>
    </row>
    <row r="47" spans="1:19">
      <c r="E47" s="143"/>
      <c r="F47" s="143"/>
    </row>
    <row r="48" spans="1:19">
      <c r="B48" s="305" t="str">
        <f>F2</f>
        <v>BQ KH25</v>
      </c>
      <c r="C48" s="294"/>
      <c r="D48" s="292" t="s">
        <v>455</v>
      </c>
      <c r="E48" s="306" t="e">
        <f>F25</f>
        <v>#REF!</v>
      </c>
      <c r="F48" s="143"/>
    </row>
    <row r="49" spans="1:6">
      <c r="A49" s="278" t="s">
        <v>923</v>
      </c>
      <c r="B49" s="307" t="s">
        <v>425</v>
      </c>
      <c r="C49" s="294" t="s">
        <v>923</v>
      </c>
      <c r="D49" s="294" t="s">
        <v>456</v>
      </c>
      <c r="E49" s="308">
        <f>H4</f>
        <v>0.42927421200974769</v>
      </c>
    </row>
    <row r="50" spans="1:6">
      <c r="A50" s="278" t="s">
        <v>923</v>
      </c>
      <c r="B50" s="307"/>
      <c r="C50" s="294"/>
      <c r="D50" s="294" t="s">
        <v>416</v>
      </c>
      <c r="E50" s="308" t="e">
        <f>I4</f>
        <v>#REF!</v>
      </c>
    </row>
    <row r="51" spans="1:6">
      <c r="A51" s="278" t="s">
        <v>923</v>
      </c>
      <c r="B51" s="307"/>
      <c r="C51" s="294"/>
      <c r="D51" s="294" t="s">
        <v>750</v>
      </c>
      <c r="E51" s="308" t="e">
        <f>J4</f>
        <v>#REF!</v>
      </c>
    </row>
    <row r="52" spans="1:6">
      <c r="A52" s="278" t="s">
        <v>428</v>
      </c>
      <c r="B52" s="307"/>
      <c r="C52" s="294" t="s">
        <v>428</v>
      </c>
      <c r="D52" s="294"/>
      <c r="E52" s="308" t="e">
        <f>SUMIFS($G$4:$G$24,$B$4:$B$24,$C52)</f>
        <v>#REF!</v>
      </c>
      <c r="F52" s="143"/>
    </row>
    <row r="53" spans="1:6">
      <c r="A53" s="278" t="s">
        <v>429</v>
      </c>
      <c r="B53" s="307"/>
      <c r="C53" s="294" t="s">
        <v>429</v>
      </c>
      <c r="D53" s="294"/>
      <c r="E53" s="308" t="e">
        <f>SUMIFS($G$4:$G$24,$B$4:$B$24,$C53)</f>
        <v>#REF!</v>
      </c>
      <c r="F53" s="143"/>
    </row>
    <row r="54" spans="1:6">
      <c r="A54" s="278" t="s">
        <v>430</v>
      </c>
      <c r="B54" s="307"/>
      <c r="C54" s="294" t="s">
        <v>430</v>
      </c>
      <c r="D54" s="294"/>
      <c r="E54" s="308" t="e">
        <f>SUMIFS($G$4:$G$24,$B$4:$B$24,$C54)</f>
        <v>#REF!</v>
      </c>
      <c r="F54" s="143"/>
    </row>
    <row r="55" spans="1:6">
      <c r="A55" s="278" t="s">
        <v>432</v>
      </c>
      <c r="B55" s="307"/>
      <c r="C55" s="294" t="s">
        <v>432</v>
      </c>
      <c r="D55" s="294"/>
      <c r="E55" s="308" t="e">
        <f>SUMIFS($G$4:$G$24,$B$4:$B$24,$C55)</f>
        <v>#REF!</v>
      </c>
      <c r="F55" s="143"/>
    </row>
    <row r="56" spans="1:6">
      <c r="A56" s="278" t="s">
        <v>453</v>
      </c>
      <c r="B56" s="307" t="s">
        <v>484</v>
      </c>
      <c r="C56" s="294"/>
      <c r="D56" s="294" t="s">
        <v>455</v>
      </c>
      <c r="E56" s="300" t="e">
        <f>L16</f>
        <v>#REF!</v>
      </c>
    </row>
    <row r="57" spans="1:6">
      <c r="A57" s="278" t="s">
        <v>441</v>
      </c>
      <c r="B57" s="307" t="s">
        <v>440</v>
      </c>
      <c r="C57" s="294"/>
      <c r="D57" s="294" t="s">
        <v>441</v>
      </c>
      <c r="E57" s="308" t="e">
        <f t="shared" ref="E57:E63" si="16">SUMIFS($M$4:$M$24,$B$4:$B$24,$D57)</f>
        <v>#REF!</v>
      </c>
    </row>
    <row r="58" spans="1:6">
      <c r="A58" s="278" t="s">
        <v>442</v>
      </c>
      <c r="B58" s="309"/>
      <c r="C58" s="294"/>
      <c r="D58" s="294" t="s">
        <v>442</v>
      </c>
      <c r="E58" s="308" t="e">
        <f t="shared" si="16"/>
        <v>#REF!</v>
      </c>
    </row>
    <row r="59" spans="1:6">
      <c r="A59" s="278" t="s">
        <v>443</v>
      </c>
      <c r="B59" s="309"/>
      <c r="C59" s="294"/>
      <c r="D59" s="294" t="s">
        <v>443</v>
      </c>
      <c r="E59" s="308" t="e">
        <f t="shared" si="16"/>
        <v>#REF!</v>
      </c>
    </row>
    <row r="60" spans="1:6">
      <c r="A60" s="278" t="s">
        <v>444</v>
      </c>
      <c r="B60" s="309"/>
      <c r="C60" s="294"/>
      <c r="D60" s="294" t="s">
        <v>444</v>
      </c>
      <c r="E60" s="308" t="e">
        <f t="shared" si="16"/>
        <v>#REF!</v>
      </c>
    </row>
    <row r="61" spans="1:6">
      <c r="A61" s="278" t="s">
        <v>445</v>
      </c>
      <c r="B61" s="309"/>
      <c r="C61" s="294"/>
      <c r="D61" s="294" t="s">
        <v>445</v>
      </c>
      <c r="E61" s="308" t="e">
        <f t="shared" si="16"/>
        <v>#REF!</v>
      </c>
    </row>
    <row r="62" spans="1:6">
      <c r="A62" s="278" t="s">
        <v>446</v>
      </c>
      <c r="B62" s="309"/>
      <c r="C62" s="294"/>
      <c r="D62" s="294" t="s">
        <v>446</v>
      </c>
      <c r="E62" s="308" t="e">
        <f t="shared" si="16"/>
        <v>#REF!</v>
      </c>
    </row>
    <row r="63" spans="1:6">
      <c r="A63" s="278" t="s">
        <v>447</v>
      </c>
      <c r="B63" s="309"/>
      <c r="C63" s="294"/>
      <c r="D63" s="294" t="s">
        <v>447</v>
      </c>
      <c r="E63" s="308" t="e">
        <f t="shared" si="16"/>
        <v>#REF!</v>
      </c>
    </row>
    <row r="64" spans="1:6">
      <c r="B64" s="292" t="str">
        <f>E2</f>
        <v>BQ TT25</v>
      </c>
      <c r="C64" s="294"/>
      <c r="D64" s="292"/>
      <c r="E64" s="306" t="e">
        <f>SUM(E48:E63)</f>
        <v>#REF!</v>
      </c>
      <c r="F64" s="290" t="e">
        <f>E64-E25</f>
        <v>#REF!</v>
      </c>
    </row>
    <row r="65" spans="2:10" ht="15" thickBot="1"/>
    <row r="66" spans="2:10">
      <c r="B66" s="354" t="s">
        <v>457</v>
      </c>
      <c r="C66" s="355"/>
      <c r="D66" s="355"/>
      <c r="E66" s="355"/>
      <c r="F66" s="355"/>
      <c r="G66" s="355"/>
      <c r="H66" s="355"/>
      <c r="I66" s="355"/>
      <c r="J66" s="356"/>
    </row>
    <row r="67" spans="2:10" ht="43.5">
      <c r="B67" s="357"/>
      <c r="C67" s="358"/>
      <c r="D67" s="358"/>
      <c r="E67" s="359" t="s">
        <v>458</v>
      </c>
      <c r="F67" s="359" t="s">
        <v>459</v>
      </c>
      <c r="G67" s="360" t="s">
        <v>460</v>
      </c>
      <c r="H67" s="360" t="s">
        <v>461</v>
      </c>
      <c r="I67" s="359" t="s">
        <v>462</v>
      </c>
      <c r="J67" s="361"/>
    </row>
    <row r="68" spans="2:10">
      <c r="B68" s="390" t="str">
        <f>B48</f>
        <v>BQ KH25</v>
      </c>
      <c r="C68" s="391"/>
      <c r="D68" s="391"/>
      <c r="E68" s="392" t="e">
        <f>E48</f>
        <v>#REF!</v>
      </c>
      <c r="F68" s="358"/>
      <c r="G68" s="358"/>
      <c r="H68" s="358"/>
      <c r="I68" s="358"/>
      <c r="J68" s="361"/>
    </row>
    <row r="69" spans="2:10">
      <c r="B69" s="362" t="s">
        <v>425</v>
      </c>
      <c r="C69" s="358" t="s">
        <v>923</v>
      </c>
      <c r="D69" s="358" t="s">
        <v>456</v>
      </c>
      <c r="E69" s="358"/>
      <c r="F69" s="363" t="e">
        <f>E68-H69</f>
        <v>#REF!</v>
      </c>
      <c r="G69" s="364">
        <f>IF(J69&gt;0,J69,0)</f>
        <v>0.42927421200974769</v>
      </c>
      <c r="H69" s="365">
        <f>IF(J69&lt;0,-J69,0)</f>
        <v>0</v>
      </c>
      <c r="I69" s="358"/>
      <c r="J69" s="366">
        <f t="shared" ref="J69:J84" si="17">E49</f>
        <v>0.42927421200974769</v>
      </c>
    </row>
    <row r="70" spans="2:10">
      <c r="B70" s="362"/>
      <c r="C70" s="358"/>
      <c r="D70" s="358" t="s">
        <v>416</v>
      </c>
      <c r="E70" s="358"/>
      <c r="F70" s="363" t="e">
        <f>F69+G69-H70</f>
        <v>#REF!</v>
      </c>
      <c r="G70" s="364" t="e">
        <f>IF(J70&gt;0,J70,0)</f>
        <v>#REF!</v>
      </c>
      <c r="H70" s="365" t="e">
        <f>IF(J70&lt;0,-J70,0)</f>
        <v>#REF!</v>
      </c>
      <c r="I70" s="358"/>
      <c r="J70" s="366" t="e">
        <f t="shared" si="17"/>
        <v>#REF!</v>
      </c>
    </row>
    <row r="71" spans="2:10">
      <c r="B71" s="362"/>
      <c r="C71" s="358"/>
      <c r="D71" s="358" t="s">
        <v>750</v>
      </c>
      <c r="E71" s="358"/>
      <c r="F71" s="363" t="e">
        <f>F70+G70-H71</f>
        <v>#REF!</v>
      </c>
      <c r="G71" s="364" t="e">
        <f>IF(J71&gt;0,J71,0)</f>
        <v>#REF!</v>
      </c>
      <c r="H71" s="365" t="e">
        <f>IF(J71&lt;0,-J71,0)</f>
        <v>#REF!</v>
      </c>
      <c r="I71" s="358"/>
      <c r="J71" s="366" t="e">
        <f t="shared" si="17"/>
        <v>#REF!</v>
      </c>
    </row>
    <row r="72" spans="2:10">
      <c r="B72" s="362"/>
      <c r="C72" s="358" t="s">
        <v>428</v>
      </c>
      <c r="D72" s="358"/>
      <c r="E72" s="358"/>
      <c r="F72" s="363" t="e">
        <f>F71+G71-H72</f>
        <v>#REF!</v>
      </c>
      <c r="G72" s="364" t="e">
        <f t="shared" ref="G72:G83" si="18">IF(J72&gt;0,J72,0)</f>
        <v>#REF!</v>
      </c>
      <c r="H72" s="365" t="e">
        <f t="shared" ref="H72:H83" si="19">IF(J72&lt;0,-J72,0)</f>
        <v>#REF!</v>
      </c>
      <c r="I72" s="358"/>
      <c r="J72" s="366" t="e">
        <f t="shared" si="17"/>
        <v>#REF!</v>
      </c>
    </row>
    <row r="73" spans="2:10">
      <c r="B73" s="362"/>
      <c r="C73" s="358" t="s">
        <v>429</v>
      </c>
      <c r="D73" s="358"/>
      <c r="E73" s="358"/>
      <c r="F73" s="363" t="e">
        <f t="shared" ref="F73:F83" si="20">F72+G72-H73</f>
        <v>#REF!</v>
      </c>
      <c r="G73" s="364" t="e">
        <f t="shared" si="18"/>
        <v>#REF!</v>
      </c>
      <c r="H73" s="365" t="e">
        <f t="shared" si="19"/>
        <v>#REF!</v>
      </c>
      <c r="I73" s="358"/>
      <c r="J73" s="366" t="e">
        <f t="shared" si="17"/>
        <v>#REF!</v>
      </c>
    </row>
    <row r="74" spans="2:10">
      <c r="B74" s="362"/>
      <c r="C74" s="358" t="s">
        <v>430</v>
      </c>
      <c r="D74" s="358"/>
      <c r="E74" s="358"/>
      <c r="F74" s="363" t="e">
        <f t="shared" si="20"/>
        <v>#REF!</v>
      </c>
      <c r="G74" s="364" t="e">
        <f t="shared" si="18"/>
        <v>#REF!</v>
      </c>
      <c r="H74" s="365" t="e">
        <f t="shared" si="19"/>
        <v>#REF!</v>
      </c>
      <c r="I74" s="358"/>
      <c r="J74" s="366" t="e">
        <f t="shared" si="17"/>
        <v>#REF!</v>
      </c>
    </row>
    <row r="75" spans="2:10">
      <c r="B75" s="362"/>
      <c r="C75" s="358" t="s">
        <v>432</v>
      </c>
      <c r="D75" s="358"/>
      <c r="E75" s="358"/>
      <c r="F75" s="363" t="e">
        <f t="shared" si="20"/>
        <v>#REF!</v>
      </c>
      <c r="G75" s="364" t="e">
        <f t="shared" si="18"/>
        <v>#REF!</v>
      </c>
      <c r="H75" s="365" t="e">
        <f t="shared" si="19"/>
        <v>#REF!</v>
      </c>
      <c r="I75" s="358"/>
      <c r="J75" s="366" t="e">
        <f t="shared" si="17"/>
        <v>#REF!</v>
      </c>
    </row>
    <row r="76" spans="2:10" ht="29">
      <c r="B76" s="367" t="s">
        <v>463</v>
      </c>
      <c r="C76" s="358" t="s">
        <v>455</v>
      </c>
      <c r="D76" s="358" t="s">
        <v>455</v>
      </c>
      <c r="E76" s="358"/>
      <c r="F76" s="363" t="e">
        <f t="shared" si="20"/>
        <v>#REF!</v>
      </c>
      <c r="G76" s="364" t="e">
        <f t="shared" si="18"/>
        <v>#REF!</v>
      </c>
      <c r="H76" s="365" t="e">
        <f t="shared" si="19"/>
        <v>#REF!</v>
      </c>
      <c r="I76" s="358"/>
      <c r="J76" s="366" t="e">
        <f t="shared" si="17"/>
        <v>#REF!</v>
      </c>
    </row>
    <row r="77" spans="2:10">
      <c r="B77" s="362" t="s">
        <v>440</v>
      </c>
      <c r="C77" s="358" t="s">
        <v>441</v>
      </c>
      <c r="D77" s="358"/>
      <c r="E77" s="358"/>
      <c r="F77" s="363" t="e">
        <f t="shared" si="20"/>
        <v>#REF!</v>
      </c>
      <c r="G77" s="364" t="e">
        <f t="shared" si="18"/>
        <v>#REF!</v>
      </c>
      <c r="H77" s="365" t="e">
        <f t="shared" si="19"/>
        <v>#REF!</v>
      </c>
      <c r="I77" s="358"/>
      <c r="J77" s="366" t="e">
        <f t="shared" si="17"/>
        <v>#REF!</v>
      </c>
    </row>
    <row r="78" spans="2:10">
      <c r="B78" s="362"/>
      <c r="C78" s="358" t="s">
        <v>442</v>
      </c>
      <c r="D78" s="358"/>
      <c r="E78" s="358"/>
      <c r="F78" s="363" t="e">
        <f t="shared" si="20"/>
        <v>#REF!</v>
      </c>
      <c r="G78" s="364" t="e">
        <f t="shared" si="18"/>
        <v>#REF!</v>
      </c>
      <c r="H78" s="365" t="e">
        <f t="shared" si="19"/>
        <v>#REF!</v>
      </c>
      <c r="I78" s="358"/>
      <c r="J78" s="366" t="e">
        <f t="shared" si="17"/>
        <v>#REF!</v>
      </c>
    </row>
    <row r="79" spans="2:10" ht="14.25" customHeight="1">
      <c r="B79" s="362"/>
      <c r="C79" s="358" t="s">
        <v>443</v>
      </c>
      <c r="D79" s="358"/>
      <c r="E79" s="358"/>
      <c r="F79" s="363" t="e">
        <f t="shared" si="20"/>
        <v>#REF!</v>
      </c>
      <c r="G79" s="364" t="e">
        <f t="shared" si="18"/>
        <v>#REF!</v>
      </c>
      <c r="H79" s="365" t="e">
        <f t="shared" si="19"/>
        <v>#REF!</v>
      </c>
      <c r="I79" s="358"/>
      <c r="J79" s="366" t="e">
        <f t="shared" si="17"/>
        <v>#REF!</v>
      </c>
    </row>
    <row r="80" spans="2:10">
      <c r="B80" s="362"/>
      <c r="C80" s="358" t="s">
        <v>444</v>
      </c>
      <c r="D80" s="358"/>
      <c r="E80" s="358"/>
      <c r="F80" s="363" t="e">
        <f t="shared" si="20"/>
        <v>#REF!</v>
      </c>
      <c r="G80" s="364" t="e">
        <f t="shared" si="18"/>
        <v>#REF!</v>
      </c>
      <c r="H80" s="365" t="e">
        <f t="shared" si="19"/>
        <v>#REF!</v>
      </c>
      <c r="I80" s="358"/>
      <c r="J80" s="366" t="e">
        <f t="shared" si="17"/>
        <v>#REF!</v>
      </c>
    </row>
    <row r="81" spans="2:10">
      <c r="B81" s="362"/>
      <c r="C81" s="358" t="s">
        <v>445</v>
      </c>
      <c r="D81" s="358"/>
      <c r="E81" s="358"/>
      <c r="F81" s="363" t="e">
        <f t="shared" si="20"/>
        <v>#REF!</v>
      </c>
      <c r="G81" s="364" t="e">
        <f t="shared" si="18"/>
        <v>#REF!</v>
      </c>
      <c r="H81" s="365" t="e">
        <f t="shared" si="19"/>
        <v>#REF!</v>
      </c>
      <c r="I81" s="358"/>
      <c r="J81" s="366" t="e">
        <f t="shared" si="17"/>
        <v>#REF!</v>
      </c>
    </row>
    <row r="82" spans="2:10">
      <c r="B82" s="362"/>
      <c r="C82" s="358" t="s">
        <v>446</v>
      </c>
      <c r="D82" s="358"/>
      <c r="E82" s="358"/>
      <c r="F82" s="363" t="e">
        <f t="shared" si="20"/>
        <v>#REF!</v>
      </c>
      <c r="G82" s="364" t="e">
        <f t="shared" si="18"/>
        <v>#REF!</v>
      </c>
      <c r="H82" s="365" t="e">
        <f t="shared" si="19"/>
        <v>#REF!</v>
      </c>
      <c r="I82" s="358"/>
      <c r="J82" s="366" t="e">
        <f t="shared" si="17"/>
        <v>#REF!</v>
      </c>
    </row>
    <row r="83" spans="2:10">
      <c r="B83" s="362"/>
      <c r="C83" s="358" t="s">
        <v>447</v>
      </c>
      <c r="D83" s="358"/>
      <c r="E83" s="358"/>
      <c r="F83" s="363" t="e">
        <f t="shared" si="20"/>
        <v>#REF!</v>
      </c>
      <c r="G83" s="364" t="e">
        <f t="shared" si="18"/>
        <v>#REF!</v>
      </c>
      <c r="H83" s="365" t="e">
        <f t="shared" si="19"/>
        <v>#REF!</v>
      </c>
      <c r="I83" s="358"/>
      <c r="J83" s="366" t="e">
        <f t="shared" si="17"/>
        <v>#REF!</v>
      </c>
    </row>
    <row r="84" spans="2:10" ht="15" thickBot="1">
      <c r="B84" s="368" t="str">
        <f>B64</f>
        <v>BQ TT25</v>
      </c>
      <c r="C84" s="369"/>
      <c r="D84" s="369"/>
      <c r="E84" s="369"/>
      <c r="F84" s="369"/>
      <c r="G84" s="369"/>
      <c r="H84" s="369"/>
      <c r="I84" s="370" t="e">
        <f>F83+G83</f>
        <v>#REF!</v>
      </c>
      <c r="J84" s="371" t="e">
        <f t="shared" si="17"/>
        <v>#REF!</v>
      </c>
    </row>
    <row r="85" spans="2:10">
      <c r="I85" s="290" t="e">
        <f>I84-E64</f>
        <v>#REF!</v>
      </c>
    </row>
  </sheetData>
  <autoFilter ref="A2:S14" xr:uid="{8A7A1175-7483-450E-9A39-77B334F336B9}"/>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0F61A-0EB9-4256-8784-6153B3790B96}">
  <sheetPr codeName="Sheet28">
    <tabColor theme="6"/>
  </sheetPr>
  <dimension ref="A4:P60"/>
  <sheetViews>
    <sheetView showGridLines="0" zoomScale="85" zoomScaleNormal="85" workbookViewId="0">
      <selection activeCell="B49" sqref="B49"/>
    </sheetView>
  </sheetViews>
  <sheetFormatPr defaultRowHeight="14.5"/>
  <cols>
    <col min="1" max="1" width="4.90625" customWidth="1"/>
    <col min="2" max="2" width="35" customWidth="1"/>
    <col min="3" max="3" width="31.90625" customWidth="1"/>
    <col min="4" max="4" width="17.08984375" customWidth="1"/>
    <col min="5" max="5" width="62.453125" customWidth="1"/>
    <col min="6" max="7" width="17.08984375" customWidth="1"/>
  </cols>
  <sheetData>
    <row r="4" spans="14:16">
      <c r="N4" s="293"/>
      <c r="O4" s="293"/>
      <c r="P4" s="293"/>
    </row>
    <row r="30" spans="4:7">
      <c r="D30" s="143"/>
      <c r="E30" s="143"/>
      <c r="F30" s="144"/>
      <c r="G30" s="311"/>
    </row>
    <row r="31" spans="4:7">
      <c r="D31" s="143"/>
      <c r="E31" s="143"/>
      <c r="F31" s="144"/>
      <c r="G31" s="311"/>
    </row>
    <row r="32" spans="4:7">
      <c r="D32" s="143"/>
      <c r="E32" s="143"/>
      <c r="F32" s="144"/>
      <c r="G32" s="311"/>
    </row>
    <row r="33" spans="1:7">
      <c r="D33" s="143"/>
      <c r="E33" s="143"/>
      <c r="F33" s="144"/>
      <c r="G33" s="311"/>
    </row>
    <row r="34" spans="1:7">
      <c r="D34" s="143"/>
      <c r="E34" s="143"/>
      <c r="F34" s="144"/>
      <c r="G34" s="311"/>
    </row>
    <row r="35" spans="1:7">
      <c r="D35" s="143"/>
      <c r="E35" s="143"/>
      <c r="F35" s="144"/>
      <c r="G35" s="311"/>
    </row>
    <row r="36" spans="1:7">
      <c r="D36" s="143"/>
      <c r="E36" s="143"/>
      <c r="F36" s="144"/>
      <c r="G36" s="311"/>
    </row>
    <row r="37" spans="1:7">
      <c r="D37" s="143"/>
      <c r="E37" s="143"/>
      <c r="F37" s="144"/>
      <c r="G37" s="311"/>
    </row>
    <row r="38" spans="1:7">
      <c r="D38" s="143"/>
      <c r="E38" s="143"/>
      <c r="F38" s="144"/>
      <c r="G38" s="311"/>
    </row>
    <row r="39" spans="1:7">
      <c r="D39" s="143"/>
      <c r="E39" s="143"/>
      <c r="F39" s="144"/>
      <c r="G39" s="311"/>
    </row>
    <row r="40" spans="1:7">
      <c r="D40" s="143"/>
      <c r="E40" s="143"/>
      <c r="F40" s="144"/>
      <c r="G40" s="311"/>
    </row>
    <row r="41" spans="1:7">
      <c r="D41" s="143"/>
      <c r="E41" s="143"/>
      <c r="F41" s="144"/>
      <c r="G41" s="311"/>
    </row>
    <row r="42" spans="1:7">
      <c r="D42" s="143"/>
      <c r="E42" s="143"/>
      <c r="F42" s="144"/>
      <c r="G42" s="311"/>
    </row>
    <row r="43" spans="1:7" ht="18.5">
      <c r="A43" s="372" t="s">
        <v>465</v>
      </c>
      <c r="B43" s="372" t="s">
        <v>466</v>
      </c>
      <c r="C43" s="372" t="s">
        <v>375</v>
      </c>
      <c r="D43" s="372" t="s">
        <v>467</v>
      </c>
      <c r="E43" s="372" t="s">
        <v>468</v>
      </c>
    </row>
    <row r="44" spans="1:7" s="373" customFormat="1" ht="17">
      <c r="A44" s="1096" t="s">
        <v>355</v>
      </c>
      <c r="B44" s="1097" t="s">
        <v>547</v>
      </c>
      <c r="C44" s="1098"/>
      <c r="D44" s="1099" t="e">
        <f>SUM(D45:D50)</f>
        <v>#REF!</v>
      </c>
      <c r="E44" s="1083"/>
    </row>
    <row r="45" spans="1:7">
      <c r="A45" s="374" t="s">
        <v>469</v>
      </c>
      <c r="B45" s="375" t="s">
        <v>453</v>
      </c>
      <c r="C45" s="375" t="s">
        <v>164</v>
      </c>
      <c r="D45" s="376" t="e">
        <f>SUMIFS('Data-Vẽ -MoM'!$E$49:$E$62,'Data-Vẽ -MoM'!$A$49:$A$62,'Trình Bày-MoM'!$B45)</f>
        <v>#REF!</v>
      </c>
      <c r="E45" s="1224"/>
    </row>
    <row r="46" spans="1:7">
      <c r="A46" s="383" t="s">
        <v>470</v>
      </c>
      <c r="B46" s="384" t="s">
        <v>428</v>
      </c>
      <c r="C46" s="384" t="s">
        <v>169</v>
      </c>
      <c r="D46" s="1165" t="e">
        <f>SUMIFS('Data-Vẽ -MoM'!$E$49:$E$62,'Data-Vẽ -MoM'!$A$49:$A$62,'Trình Bày-MoM'!$B46)</f>
        <v>#REF!</v>
      </c>
      <c r="E46" s="1081"/>
    </row>
    <row r="47" spans="1:7">
      <c r="A47" s="383" t="s">
        <v>471</v>
      </c>
      <c r="B47" s="384" t="s">
        <v>429</v>
      </c>
      <c r="C47" s="384" t="s">
        <v>175</v>
      </c>
      <c r="D47" s="1165" t="e">
        <f>SUMIFS('Data-Vẽ -MoM'!$E$49:$E$62,'Data-Vẽ -MoM'!$A$49:$A$62,'Trình Bày-MoM'!$B47)</f>
        <v>#REF!</v>
      </c>
      <c r="E47" s="1081"/>
    </row>
    <row r="48" spans="1:7">
      <c r="A48" s="383" t="s">
        <v>472</v>
      </c>
      <c r="B48" s="384" t="s">
        <v>432</v>
      </c>
      <c r="C48" s="384" t="s">
        <v>175</v>
      </c>
      <c r="D48" s="1165" t="e">
        <f>SUMIFS('Data-Vẽ -MoM'!$E$49:$E$62,'Data-Vẽ -MoM'!$A$49:$A$62,'Trình Bày-MoM'!$B48)</f>
        <v>#REF!</v>
      </c>
      <c r="E48" s="1081"/>
    </row>
    <row r="49" spans="1:5">
      <c r="A49" s="383" t="s">
        <v>473</v>
      </c>
      <c r="B49" s="384" t="s">
        <v>446</v>
      </c>
      <c r="C49" s="384" t="s">
        <v>164</v>
      </c>
      <c r="D49" s="1165" t="e">
        <f>SUMIFS('Data-Vẽ -MoM'!$E$49:$E$62,'Data-Vẽ -MoM'!$A$49:$A$62,'Trình Bày-MoM'!$B49)</f>
        <v>#REF!</v>
      </c>
      <c r="E49" s="1081"/>
    </row>
    <row r="50" spans="1:5">
      <c r="A50" s="383">
        <v>1.6</v>
      </c>
      <c r="B50" s="384" t="s">
        <v>445</v>
      </c>
      <c r="C50" s="384" t="s">
        <v>164</v>
      </c>
      <c r="D50" s="1165" t="e">
        <f>SUMIFS('Data-Vẽ -MoM'!$E$49:$E$62,'Data-Vẽ -MoM'!$A$49:$A$62,'Trình Bày-MoM'!$B50)</f>
        <v>#REF!</v>
      </c>
      <c r="E50" s="1081"/>
    </row>
    <row r="51" spans="1:5" ht="17">
      <c r="A51" s="396" t="s">
        <v>372</v>
      </c>
      <c r="B51" s="397" t="s">
        <v>474</v>
      </c>
      <c r="C51" s="398"/>
      <c r="D51" s="399" t="e">
        <f>SUM(D52:D58)</f>
        <v>#REF!</v>
      </c>
      <c r="E51" s="1085"/>
    </row>
    <row r="52" spans="1:5">
      <c r="A52" s="374" t="s">
        <v>475</v>
      </c>
      <c r="B52" s="375" t="s">
        <v>923</v>
      </c>
      <c r="C52" s="375" t="s">
        <v>361</v>
      </c>
      <c r="D52" s="376" t="e">
        <f>SUMIFS('Data-Vẽ -MoM'!$E$49:$E$62,'Data-Vẽ -MoM'!$A$49:$A$62,'Trình Bày-MoM'!$B52)</f>
        <v>#REF!</v>
      </c>
      <c r="E52" s="1084"/>
    </row>
    <row r="53" spans="1:5">
      <c r="A53" s="383">
        <v>2.2000000000000002</v>
      </c>
      <c r="B53" s="384" t="s">
        <v>444</v>
      </c>
      <c r="C53" s="384" t="s">
        <v>164</v>
      </c>
      <c r="D53" s="1165" t="e">
        <f>SUMIFS('Data-Vẽ -MoM'!$E$49:$E$62,'Data-Vẽ -MoM'!$A$49:$A$62,'Trình Bày-MoM'!$B53)</f>
        <v>#REF!</v>
      </c>
      <c r="E53" s="1100"/>
    </row>
    <row r="54" spans="1:5">
      <c r="A54" s="383">
        <v>2.2999999999999998</v>
      </c>
      <c r="B54" s="384" t="s">
        <v>447</v>
      </c>
      <c r="C54" s="384" t="s">
        <v>164</v>
      </c>
      <c r="D54" s="1165" t="e">
        <f>SUMIFS('Data-Vẽ -MoM'!$E$49:$E$62,'Data-Vẽ -MoM'!$A$49:$A$62,'Trình Bày-MoM'!$B54)</f>
        <v>#REF!</v>
      </c>
      <c r="E54" s="1100"/>
    </row>
    <row r="55" spans="1:5">
      <c r="A55" s="383">
        <v>2.4</v>
      </c>
      <c r="B55" s="384" t="s">
        <v>443</v>
      </c>
      <c r="C55" s="384" t="s">
        <v>164</v>
      </c>
      <c r="D55" s="1165" t="e">
        <f>SUMIFS('Data-Vẽ -MoM'!$E$49:$E$62,'Data-Vẽ -MoM'!$A$49:$A$62,'Trình Bày-MoM'!$B55)</f>
        <v>#REF!</v>
      </c>
      <c r="E55" s="1100"/>
    </row>
    <row r="56" spans="1:5">
      <c r="A56" s="383">
        <v>2.5</v>
      </c>
      <c r="B56" s="384" t="s">
        <v>430</v>
      </c>
      <c r="C56" s="384" t="s">
        <v>478</v>
      </c>
      <c r="D56" s="1165" t="e">
        <f>SUMIFS('Data-Vẽ -MoM'!$E$49:$E$62,'Data-Vẽ -MoM'!$A$49:$A$62,'Trình Bày-MoM'!$B56)</f>
        <v>#REF!</v>
      </c>
      <c r="E56" s="1100"/>
    </row>
    <row r="57" spans="1:5">
      <c r="A57" s="383">
        <v>2.6</v>
      </c>
      <c r="B57" s="384" t="s">
        <v>442</v>
      </c>
      <c r="C57" s="384" t="s">
        <v>164</v>
      </c>
      <c r="D57" s="1165" t="e">
        <f>SUMIFS('Data-Vẽ -MoM'!$E$49:$E$62,'Data-Vẽ -MoM'!$A$49:$A$62,'Trình Bày-MoM'!$B57)</f>
        <v>#REF!</v>
      </c>
      <c r="E57" s="1100"/>
    </row>
    <row r="58" spans="1:5">
      <c r="A58" s="383">
        <v>2.7</v>
      </c>
      <c r="B58" s="384" t="s">
        <v>441</v>
      </c>
      <c r="C58" s="384" t="s">
        <v>164</v>
      </c>
      <c r="D58" s="379" t="e">
        <f>SUMIFS('Data-Vẽ -MoM'!$E$49:$E$62,'Data-Vẽ -MoM'!$A$49:$A$62,'Trình Bày-MoM'!$B58)</f>
        <v>#REF!</v>
      </c>
      <c r="E58" s="1100"/>
    </row>
    <row r="59" spans="1:5" s="380" customFormat="1" ht="18.5">
      <c r="A59" s="385"/>
      <c r="B59" s="386" t="s">
        <v>480</v>
      </c>
      <c r="C59" s="387"/>
      <c r="D59" s="388" t="e">
        <f>D44+D51</f>
        <v>#REF!</v>
      </c>
      <c r="E59" s="389"/>
    </row>
    <row r="60" spans="1:5" s="147" customFormat="1">
      <c r="B60" s="147" t="s">
        <v>340</v>
      </c>
      <c r="D60" s="297" t="e">
        <f>D59-'Data-Vẽ -MoM'!G25</f>
        <v>#REF!</v>
      </c>
    </row>
  </sheetData>
  <conditionalFormatting sqref="D44:D59">
    <cfRule type="cellIs" dxfId="4" priority="1" operator="lessThan">
      <formula>0</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E70C7-599A-48DC-912A-5F2753DE1336}">
  <sheetPr codeName="Sheet29"/>
  <dimension ref="A1:P87"/>
  <sheetViews>
    <sheetView showGridLines="0" zoomScaleNormal="100" workbookViewId="0">
      <pane ySplit="2" topLeftCell="A3" activePane="bottomLeft" state="frozen"/>
      <selection activeCell="B49" sqref="B49"/>
      <selection pane="bottomLeft" activeCell="B49" sqref="B49"/>
    </sheetView>
  </sheetViews>
  <sheetFormatPr defaultRowHeight="14.5"/>
  <cols>
    <col min="1" max="1" width="8.90625" style="1111" customWidth="1"/>
    <col min="2" max="2" width="25.90625" style="278" customWidth="1"/>
    <col min="3" max="3" width="25.08984375" customWidth="1"/>
    <col min="4" max="4" width="8.08984375" customWidth="1"/>
    <col min="5" max="5" width="12.453125" customWidth="1"/>
    <col min="6" max="6" width="10.453125" customWidth="1"/>
    <col min="7" max="7" width="9.54296875" customWidth="1"/>
    <col min="8" max="10" width="20.08984375" customWidth="1"/>
    <col min="11" max="11" width="15.90625" customWidth="1"/>
    <col min="12" max="12" width="14.08984375" customWidth="1"/>
    <col min="13" max="13" width="19.08984375" customWidth="1"/>
    <col min="15" max="15" width="9.08984375" customWidth="1"/>
  </cols>
  <sheetData>
    <row r="1" spans="1:14">
      <c r="C1" s="279" t="s">
        <v>366</v>
      </c>
      <c r="D1" s="279"/>
      <c r="E1" s="280">
        <v>5</v>
      </c>
      <c r="F1" s="280">
        <v>4</v>
      </c>
      <c r="I1" s="290" t="e">
        <f>SUM(H4:I4)</f>
        <v>#REF!</v>
      </c>
    </row>
    <row r="2" spans="1:14">
      <c r="A2" s="1112" t="s">
        <v>0</v>
      </c>
      <c r="B2" s="281" t="s">
        <v>417</v>
      </c>
      <c r="C2" s="282"/>
      <c r="D2" s="282"/>
      <c r="E2" s="283" t="str">
        <f>"Tháng "&amp;TEXT(E1,"00")</f>
        <v>Tháng 05</v>
      </c>
      <c r="F2" s="283" t="str">
        <f>"Tháng "&amp;TEXT(F1,"00")</f>
        <v>Tháng 04</v>
      </c>
      <c r="G2" s="284" t="s">
        <v>418</v>
      </c>
      <c r="H2" s="285" t="s">
        <v>419</v>
      </c>
      <c r="I2" s="285" t="s">
        <v>420</v>
      </c>
      <c r="J2" s="285" t="s">
        <v>421</v>
      </c>
      <c r="K2" s="285" t="s">
        <v>422</v>
      </c>
      <c r="L2" s="285" t="s">
        <v>423</v>
      </c>
      <c r="N2" s="286" t="s">
        <v>424</v>
      </c>
    </row>
    <row r="3" spans="1:14" s="279" customFormat="1">
      <c r="A3" s="1113"/>
      <c r="B3" s="1053"/>
      <c r="C3" s="1054" t="s">
        <v>425</v>
      </c>
      <c r="D3" s="1054" t="s">
        <v>426</v>
      </c>
      <c r="E3" s="1055" t="e">
        <f>SUM(E4:E14)</f>
        <v>#REF!</v>
      </c>
      <c r="F3" s="1055" t="e">
        <f>SUM(F4:F14)</f>
        <v>#REF!</v>
      </c>
      <c r="G3" s="1055" t="e">
        <f t="shared" ref="G3:I3" si="0">SUM(G4:G14)</f>
        <v>#REF!</v>
      </c>
      <c r="H3" s="1056" t="e">
        <f t="shared" si="0"/>
        <v>#REF!</v>
      </c>
      <c r="I3" s="1056" t="e">
        <f t="shared" si="0"/>
        <v>#REF!</v>
      </c>
      <c r="J3" s="1056" t="e">
        <f>SUM(J4:J14)</f>
        <v>#REF!</v>
      </c>
      <c r="K3" s="1054"/>
      <c r="L3" s="1054"/>
      <c r="N3" s="288" t="e">
        <f t="shared" ref="N3:N14" si="1">G3/F3</f>
        <v>#REF!</v>
      </c>
    </row>
    <row r="4" spans="1:14">
      <c r="A4" s="1043">
        <v>1</v>
      </c>
      <c r="B4" s="1043" t="s">
        <v>923</v>
      </c>
      <c r="C4" s="1044" t="s">
        <v>923</v>
      </c>
      <c r="D4" s="1044" t="s">
        <v>426</v>
      </c>
      <c r="E4" s="1045" t="e">
        <f>INDEX(#REF!,MATCH($C4,#REF!,0),MATCH($E$1,#REF!,0))</f>
        <v>#REF!</v>
      </c>
      <c r="F4" s="1045" t="e">
        <f>INDEX(#REF!,MATCH($C4,#REF!,0),MATCH($F$1,#REF!,0))</f>
        <v>#REF!</v>
      </c>
      <c r="G4" s="1046" t="e">
        <f t="shared" ref="G4:G14" si="2">E4-F4</f>
        <v>#REF!</v>
      </c>
      <c r="H4" s="1047" t="e">
        <f>'Tác động-GM'!K48*G4/('Tác động-GM'!K48+'Tác động-GM'!L48)</f>
        <v>#REF!</v>
      </c>
      <c r="I4" s="1047" t="e">
        <f>G4-H4</f>
        <v>#REF!</v>
      </c>
      <c r="J4" s="1044"/>
      <c r="K4" s="1044"/>
      <c r="L4" s="1044"/>
      <c r="N4" s="289" t="e">
        <f t="shared" si="1"/>
        <v>#REF!</v>
      </c>
    </row>
    <row r="5" spans="1:14">
      <c r="A5" s="1043">
        <v>2</v>
      </c>
      <c r="B5" s="1043" t="s">
        <v>428</v>
      </c>
      <c r="C5" s="1044" t="s">
        <v>428</v>
      </c>
      <c r="D5" s="1044" t="s">
        <v>426</v>
      </c>
      <c r="E5" s="1045" t="e">
        <f>INDEX(#REF!,MATCH($C5,#REF!,0),MATCH($E$1,#REF!,0))</f>
        <v>#REF!</v>
      </c>
      <c r="F5" s="1045" t="e">
        <f>INDEX(#REF!,MATCH($C5,#REF!,0),MATCH($F$1,#REF!,0))</f>
        <v>#REF!</v>
      </c>
      <c r="G5" s="1046" t="e">
        <f t="shared" si="2"/>
        <v>#REF!</v>
      </c>
      <c r="H5" s="1044"/>
      <c r="I5" s="1044"/>
      <c r="J5" s="1048" t="e">
        <f t="shared" ref="J5:J14" si="3">G5</f>
        <v>#REF!</v>
      </c>
      <c r="K5" s="1044"/>
      <c r="L5" s="1044"/>
      <c r="N5" s="289" t="e">
        <f t="shared" si="1"/>
        <v>#REF!</v>
      </c>
    </row>
    <row r="6" spans="1:14">
      <c r="A6" s="1043">
        <v>3</v>
      </c>
      <c r="B6" s="1043" t="s">
        <v>429</v>
      </c>
      <c r="C6" s="1044" t="s">
        <v>429</v>
      </c>
      <c r="D6" s="1044" t="s">
        <v>426</v>
      </c>
      <c r="E6" s="1050" t="e">
        <f>INDEX(#REF!,MATCH($C6,#REF!,0),MATCH($E$1,#REF!,0))</f>
        <v>#REF!</v>
      </c>
      <c r="F6" s="1110" t="e">
        <f>INDEX(#REF!,MATCH($C6,#REF!,0),MATCH($F$1,#REF!,0))</f>
        <v>#REF!</v>
      </c>
      <c r="G6" s="1049" t="e">
        <f t="shared" si="2"/>
        <v>#REF!</v>
      </c>
      <c r="H6" s="1044"/>
      <c r="I6" s="1044"/>
      <c r="J6" s="1048" t="e">
        <f t="shared" si="3"/>
        <v>#REF!</v>
      </c>
      <c r="K6" s="1044"/>
      <c r="L6" s="1044"/>
      <c r="N6" s="289" t="e">
        <f t="shared" si="1"/>
        <v>#REF!</v>
      </c>
    </row>
    <row r="7" spans="1:14">
      <c r="A7" s="1043">
        <v>4</v>
      </c>
      <c r="B7" s="1043" t="s">
        <v>430</v>
      </c>
      <c r="C7" s="1044" t="s">
        <v>431</v>
      </c>
      <c r="D7" s="1044" t="s">
        <v>426</v>
      </c>
      <c r="E7" s="1050" t="e">
        <f>INDEX(#REF!,MATCH($C7,#REF!,0),MATCH($E$1,#REF!,0))</f>
        <v>#REF!</v>
      </c>
      <c r="F7" s="1050" t="e">
        <f>INDEX(#REF!,MATCH($C7,#REF!,0),MATCH($F$1,#REF!,0))</f>
        <v>#REF!</v>
      </c>
      <c r="G7" s="1049" t="e">
        <f t="shared" si="2"/>
        <v>#REF!</v>
      </c>
      <c r="H7" s="1044"/>
      <c r="I7" s="1044"/>
      <c r="J7" s="1048" t="e">
        <f t="shared" si="3"/>
        <v>#REF!</v>
      </c>
      <c r="K7" s="1044"/>
      <c r="L7" s="1044"/>
      <c r="N7" s="289" t="e">
        <f t="shared" si="1"/>
        <v>#REF!</v>
      </c>
    </row>
    <row r="8" spans="1:14">
      <c r="A8" s="1043">
        <v>5</v>
      </c>
      <c r="B8" s="1043" t="s">
        <v>432</v>
      </c>
      <c r="C8" s="1044" t="s">
        <v>433</v>
      </c>
      <c r="D8" s="1044" t="s">
        <v>426</v>
      </c>
      <c r="E8" s="1050" t="e">
        <f>INDEX(#REF!,MATCH($C8,#REF!,0),MATCH($E$1,#REF!,0))</f>
        <v>#REF!</v>
      </c>
      <c r="F8" s="1050" t="e">
        <f>INDEX(#REF!,MATCH($C8,#REF!,0),MATCH($F$1,#REF!,0))</f>
        <v>#REF!</v>
      </c>
      <c r="G8" s="1225" t="e">
        <f t="shared" si="2"/>
        <v>#REF!</v>
      </c>
      <c r="H8" s="1044"/>
      <c r="I8" s="1044"/>
      <c r="J8" s="1048" t="e">
        <f t="shared" si="3"/>
        <v>#REF!</v>
      </c>
      <c r="K8" s="1044"/>
      <c r="L8" s="1044"/>
      <c r="N8" s="289" t="e">
        <f t="shared" si="1"/>
        <v>#REF!</v>
      </c>
    </row>
    <row r="9" spans="1:14">
      <c r="A9" s="1043">
        <v>6</v>
      </c>
      <c r="B9" s="1043" t="s">
        <v>432</v>
      </c>
      <c r="C9" s="1044" t="s">
        <v>434</v>
      </c>
      <c r="D9" s="1044" t="s">
        <v>426</v>
      </c>
      <c r="E9" s="1050" t="e">
        <f>INDEX(#REF!,MATCH($C9,#REF!,0),MATCH($E$1,#REF!,0))</f>
        <v>#REF!</v>
      </c>
      <c r="F9" s="1050" t="e">
        <f>INDEX(#REF!,MATCH($C9,#REF!,0),MATCH($F$1,#REF!,0))</f>
        <v>#REF!</v>
      </c>
      <c r="G9" s="1225" t="e">
        <f t="shared" si="2"/>
        <v>#REF!</v>
      </c>
      <c r="H9" s="1044"/>
      <c r="I9" s="1044"/>
      <c r="J9" s="1048" t="e">
        <f t="shared" si="3"/>
        <v>#REF!</v>
      </c>
      <c r="K9" s="1044"/>
      <c r="L9" s="1044"/>
      <c r="N9" s="289" t="e">
        <f t="shared" si="1"/>
        <v>#REF!</v>
      </c>
    </row>
    <row r="10" spans="1:14">
      <c r="A10" s="1043">
        <v>7</v>
      </c>
      <c r="B10" s="1043" t="s">
        <v>432</v>
      </c>
      <c r="C10" s="1044" t="s">
        <v>435</v>
      </c>
      <c r="D10" s="1044" t="s">
        <v>426</v>
      </c>
      <c r="E10" s="1050" t="e">
        <f>INDEX(#REF!,MATCH($C10,#REF!,0),MATCH($E$1,#REF!,0))</f>
        <v>#REF!</v>
      </c>
      <c r="F10" s="1050" t="e">
        <f>INDEX(#REF!,MATCH($C10,#REF!,0),MATCH($F$1,#REF!,0))</f>
        <v>#REF!</v>
      </c>
      <c r="G10" s="1225" t="e">
        <f t="shared" si="2"/>
        <v>#REF!</v>
      </c>
      <c r="H10" s="1044"/>
      <c r="I10" s="1044"/>
      <c r="J10" s="1048" t="e">
        <f t="shared" si="3"/>
        <v>#REF!</v>
      </c>
      <c r="K10" s="1044"/>
      <c r="L10" s="1044"/>
      <c r="N10" s="289" t="e">
        <f t="shared" si="1"/>
        <v>#REF!</v>
      </c>
    </row>
    <row r="11" spans="1:14">
      <c r="A11" s="1043">
        <v>8</v>
      </c>
      <c r="B11" s="1043" t="s">
        <v>430</v>
      </c>
      <c r="C11" s="1044" t="s">
        <v>436</v>
      </c>
      <c r="D11" s="1044" t="s">
        <v>426</v>
      </c>
      <c r="E11" s="1050" t="e">
        <f>INDEX(#REF!,MATCH($C11,#REF!,0),MATCH($E$1,#REF!,0))</f>
        <v>#REF!</v>
      </c>
      <c r="F11" s="1050" t="e">
        <f>INDEX(#REF!,MATCH($C11,#REF!,0),MATCH($F$1,#REF!,0))</f>
        <v>#REF!</v>
      </c>
      <c r="G11" s="1049" t="e">
        <f t="shared" si="2"/>
        <v>#REF!</v>
      </c>
      <c r="H11" s="1044"/>
      <c r="I11" s="1044"/>
      <c r="J11" s="1048" t="e">
        <f t="shared" si="3"/>
        <v>#REF!</v>
      </c>
      <c r="K11" s="1044"/>
      <c r="L11" s="1044"/>
      <c r="N11" s="289" t="e">
        <f t="shared" si="1"/>
        <v>#REF!</v>
      </c>
    </row>
    <row r="12" spans="1:14">
      <c r="A12" s="1043">
        <v>9</v>
      </c>
      <c r="B12" s="1043" t="s">
        <v>432</v>
      </c>
      <c r="C12" s="1044" t="s">
        <v>437</v>
      </c>
      <c r="D12" s="1044" t="s">
        <v>426</v>
      </c>
      <c r="E12" s="1050" t="e">
        <f>INDEX(#REF!,MATCH($C12,#REF!,0),MATCH($E$1,#REF!,0))</f>
        <v>#REF!</v>
      </c>
      <c r="F12" s="1050" t="e">
        <f>INDEX(#REF!,MATCH($C12,#REF!,0),MATCH($F$1,#REF!,0))</f>
        <v>#REF!</v>
      </c>
      <c r="G12" s="1225" t="e">
        <f t="shared" si="2"/>
        <v>#REF!</v>
      </c>
      <c r="H12" s="1044"/>
      <c r="I12" s="1044"/>
      <c r="J12" s="1048" t="e">
        <f t="shared" si="3"/>
        <v>#REF!</v>
      </c>
      <c r="K12" s="1044"/>
      <c r="L12" s="1044"/>
      <c r="N12" s="289" t="e">
        <f t="shared" si="1"/>
        <v>#REF!</v>
      </c>
    </row>
    <row r="13" spans="1:14">
      <c r="A13" s="1043">
        <v>10</v>
      </c>
      <c r="B13" s="1043" t="s">
        <v>432</v>
      </c>
      <c r="C13" s="1044" t="s">
        <v>438</v>
      </c>
      <c r="D13" s="1044" t="s">
        <v>426</v>
      </c>
      <c r="E13" s="1050" t="e">
        <f>INDEX(#REF!,MATCH($C13,#REF!,0),MATCH($E$1,#REF!,0))</f>
        <v>#REF!</v>
      </c>
      <c r="F13" s="1050" t="e">
        <f>INDEX(#REF!,MATCH($C13,#REF!,0),MATCH($F$1,#REF!,0))</f>
        <v>#REF!</v>
      </c>
      <c r="G13" s="1225" t="e">
        <f t="shared" si="2"/>
        <v>#REF!</v>
      </c>
      <c r="H13" s="1044"/>
      <c r="I13" s="1044"/>
      <c r="J13" s="1048" t="e">
        <f t="shared" si="3"/>
        <v>#REF!</v>
      </c>
      <c r="K13" s="1044"/>
      <c r="L13" s="1044"/>
      <c r="N13" s="289" t="e">
        <f t="shared" si="1"/>
        <v>#REF!</v>
      </c>
    </row>
    <row r="14" spans="1:14">
      <c r="A14" s="1043">
        <v>11</v>
      </c>
      <c r="B14" s="1043" t="s">
        <v>432</v>
      </c>
      <c r="C14" s="1044" t="s">
        <v>439</v>
      </c>
      <c r="D14" s="1044" t="s">
        <v>426</v>
      </c>
      <c r="E14" s="1050" t="e">
        <f>INDEX(#REF!,MATCH($C14,#REF!,0),MATCH($E$1,#REF!,0))</f>
        <v>#REF!</v>
      </c>
      <c r="F14" s="1050" t="e">
        <f>INDEX(#REF!,MATCH($C14,#REF!,0),MATCH($F$1,#REF!,0))</f>
        <v>#REF!</v>
      </c>
      <c r="G14" s="1225" t="e">
        <f t="shared" si="2"/>
        <v>#REF!</v>
      </c>
      <c r="H14" s="1044"/>
      <c r="I14" s="1044"/>
      <c r="J14" s="1048" t="e">
        <f t="shared" si="3"/>
        <v>#REF!</v>
      </c>
      <c r="K14" s="1044"/>
      <c r="L14" s="1044"/>
      <c r="N14" s="289" t="e">
        <f t="shared" si="1"/>
        <v>#REF!</v>
      </c>
    </row>
    <row r="15" spans="1:14" s="279" customFormat="1">
      <c r="A15" s="1114"/>
      <c r="B15" s="1038"/>
      <c r="C15" s="1039"/>
      <c r="D15" s="1039"/>
      <c r="E15" s="1051"/>
      <c r="F15" s="1051"/>
      <c r="G15" s="1040"/>
      <c r="H15" s="1041"/>
      <c r="I15" s="1039"/>
      <c r="J15" s="1039"/>
      <c r="K15" s="1039"/>
      <c r="L15" s="1039"/>
      <c r="N15" s="292"/>
    </row>
    <row r="16" spans="1:14" s="279" customFormat="1">
      <c r="A16" s="1114"/>
      <c r="B16" s="1038"/>
      <c r="C16" s="1039" t="s">
        <v>440</v>
      </c>
      <c r="D16" s="1039" t="s">
        <v>426</v>
      </c>
      <c r="E16" s="1051" t="e">
        <f>SUM(E17:E23)</f>
        <v>#REF!</v>
      </c>
      <c r="F16" s="1051" t="e">
        <f>SUM(F17:F23)</f>
        <v>#REF!</v>
      </c>
      <c r="G16" s="1040" t="e">
        <f>SUM(G17:G23)</f>
        <v>#REF!</v>
      </c>
      <c r="H16" s="1051">
        <f>SUM(H17:H23)</f>
        <v>0</v>
      </c>
      <c r="I16" s="1039"/>
      <c r="J16" s="1039"/>
      <c r="K16" s="1040" t="e">
        <f>SUM(K17:K23)</f>
        <v>#REF!</v>
      </c>
      <c r="L16" s="1040" t="e">
        <f>SUM(L17:L23)</f>
        <v>#REF!</v>
      </c>
      <c r="N16" s="288" t="e">
        <f t="shared" ref="N16:N23" si="4">G16/F16</f>
        <v>#REF!</v>
      </c>
    </row>
    <row r="17" spans="1:16">
      <c r="A17" s="1043">
        <v>1</v>
      </c>
      <c r="B17" s="1043" t="s">
        <v>441</v>
      </c>
      <c r="C17" s="1044" t="s">
        <v>441</v>
      </c>
      <c r="D17" s="1044" t="s">
        <v>426</v>
      </c>
      <c r="E17" s="1052" t="e">
        <f>E29/E$37</f>
        <v>#REF!</v>
      </c>
      <c r="F17" s="1052" t="e">
        <f>F29/F$37</f>
        <v>#REF!</v>
      </c>
      <c r="G17" s="1049" t="e">
        <f t="shared" ref="G17:G23" si="5">E17-F17</f>
        <v>#REF!</v>
      </c>
      <c r="H17" s="1052"/>
      <c r="I17" s="1044"/>
      <c r="J17" s="1044"/>
      <c r="K17" s="1049" t="e">
        <f t="shared" ref="K17:K23" si="6">F29/$E$37-F29/$F$37</f>
        <v>#REF!</v>
      </c>
      <c r="L17" s="1049" t="e">
        <f t="shared" ref="L17:L23" si="7">G29/E$37</f>
        <v>#REF!</v>
      </c>
      <c r="N17" s="289" t="e">
        <f t="shared" si="4"/>
        <v>#REF!</v>
      </c>
    </row>
    <row r="18" spans="1:16">
      <c r="A18" s="1043">
        <v>2</v>
      </c>
      <c r="B18" s="1043" t="s">
        <v>442</v>
      </c>
      <c r="C18" s="1044" t="s">
        <v>442</v>
      </c>
      <c r="D18" s="1044" t="s">
        <v>426</v>
      </c>
      <c r="E18" s="1052" t="e">
        <f>E30/E$37</f>
        <v>#REF!</v>
      </c>
      <c r="F18" s="1052" t="e">
        <f t="shared" ref="E18:F23" si="8">F30/F$37</f>
        <v>#REF!</v>
      </c>
      <c r="G18" s="1049" t="e">
        <f t="shared" si="5"/>
        <v>#REF!</v>
      </c>
      <c r="H18" s="1052"/>
      <c r="I18" s="1044"/>
      <c r="J18" s="1044"/>
      <c r="K18" s="1049" t="e">
        <f t="shared" si="6"/>
        <v>#REF!</v>
      </c>
      <c r="L18" s="1049" t="e">
        <f>G30/E$37</f>
        <v>#REF!</v>
      </c>
      <c r="N18" s="289" t="e">
        <f t="shared" si="4"/>
        <v>#REF!</v>
      </c>
    </row>
    <row r="19" spans="1:16">
      <c r="A19" s="1043">
        <v>3</v>
      </c>
      <c r="B19" s="1043" t="s">
        <v>443</v>
      </c>
      <c r="C19" s="1044" t="s">
        <v>443</v>
      </c>
      <c r="D19" s="1044" t="s">
        <v>426</v>
      </c>
      <c r="E19" s="1052" t="e">
        <f t="shared" si="8"/>
        <v>#REF!</v>
      </c>
      <c r="F19" s="1052" t="e">
        <f t="shared" si="8"/>
        <v>#REF!</v>
      </c>
      <c r="G19" s="1049" t="e">
        <f t="shared" si="5"/>
        <v>#REF!</v>
      </c>
      <c r="H19" s="1052"/>
      <c r="I19" s="1044"/>
      <c r="J19" s="1044"/>
      <c r="K19" s="1049" t="e">
        <f t="shared" si="6"/>
        <v>#REF!</v>
      </c>
      <c r="L19" s="1049" t="e">
        <f t="shared" si="7"/>
        <v>#REF!</v>
      </c>
      <c r="N19" s="289" t="e">
        <f t="shared" si="4"/>
        <v>#REF!</v>
      </c>
    </row>
    <row r="20" spans="1:16">
      <c r="A20" s="1043">
        <v>4</v>
      </c>
      <c r="B20" s="1043" t="s">
        <v>444</v>
      </c>
      <c r="C20" s="1044" t="s">
        <v>444</v>
      </c>
      <c r="D20" s="1044" t="s">
        <v>426</v>
      </c>
      <c r="E20" s="1052" t="e">
        <f t="shared" si="8"/>
        <v>#REF!</v>
      </c>
      <c r="F20" s="1052" t="e">
        <f t="shared" si="8"/>
        <v>#REF!</v>
      </c>
      <c r="G20" s="1049" t="e">
        <f t="shared" si="5"/>
        <v>#REF!</v>
      </c>
      <c r="H20" s="1052"/>
      <c r="I20" s="1044"/>
      <c r="J20" s="1044"/>
      <c r="K20" s="1049" t="e">
        <f t="shared" si="6"/>
        <v>#REF!</v>
      </c>
      <c r="L20" s="1049" t="e">
        <f t="shared" si="7"/>
        <v>#REF!</v>
      </c>
      <c r="N20" s="289" t="e">
        <f t="shared" si="4"/>
        <v>#REF!</v>
      </c>
    </row>
    <row r="21" spans="1:16">
      <c r="A21" s="1043">
        <v>5</v>
      </c>
      <c r="B21" s="1043" t="s">
        <v>445</v>
      </c>
      <c r="C21" s="1044" t="s">
        <v>445</v>
      </c>
      <c r="D21" s="1044" t="s">
        <v>426</v>
      </c>
      <c r="E21" s="1052" t="e">
        <f t="shared" si="8"/>
        <v>#REF!</v>
      </c>
      <c r="F21" s="1052" t="e">
        <f t="shared" si="8"/>
        <v>#REF!</v>
      </c>
      <c r="G21" s="1049" t="e">
        <f t="shared" si="5"/>
        <v>#REF!</v>
      </c>
      <c r="H21" s="1052"/>
      <c r="I21" s="1044"/>
      <c r="J21" s="1044"/>
      <c r="K21" s="1049" t="e">
        <f t="shared" si="6"/>
        <v>#REF!</v>
      </c>
      <c r="L21" s="1049" t="e">
        <f t="shared" si="7"/>
        <v>#REF!</v>
      </c>
      <c r="N21" s="289" t="e">
        <f t="shared" si="4"/>
        <v>#REF!</v>
      </c>
    </row>
    <row r="22" spans="1:16">
      <c r="A22" s="1043">
        <v>6</v>
      </c>
      <c r="B22" s="1043" t="s">
        <v>446</v>
      </c>
      <c r="C22" s="1044" t="s">
        <v>446</v>
      </c>
      <c r="D22" s="1044" t="s">
        <v>426</v>
      </c>
      <c r="E22" s="1052" t="e">
        <f t="shared" si="8"/>
        <v>#REF!</v>
      </c>
      <c r="F22" s="1052" t="e">
        <f t="shared" si="8"/>
        <v>#REF!</v>
      </c>
      <c r="G22" s="1049" t="e">
        <f t="shared" si="5"/>
        <v>#REF!</v>
      </c>
      <c r="H22" s="1052"/>
      <c r="I22" s="1044"/>
      <c r="J22" s="1044"/>
      <c r="K22" s="1049" t="e">
        <f t="shared" si="6"/>
        <v>#REF!</v>
      </c>
      <c r="L22" s="1049" t="e">
        <f t="shared" si="7"/>
        <v>#REF!</v>
      </c>
      <c r="N22" s="289" t="e">
        <f t="shared" si="4"/>
        <v>#REF!</v>
      </c>
    </row>
    <row r="23" spans="1:16">
      <c r="A23" s="1043">
        <v>7</v>
      </c>
      <c r="B23" s="1043" t="s">
        <v>447</v>
      </c>
      <c r="C23" s="1044" t="s">
        <v>447</v>
      </c>
      <c r="D23" s="1044" t="s">
        <v>426</v>
      </c>
      <c r="E23" s="1052" t="e">
        <f t="shared" si="8"/>
        <v>#REF!</v>
      </c>
      <c r="F23" s="1052" t="e">
        <f t="shared" si="8"/>
        <v>#REF!</v>
      </c>
      <c r="G23" s="1049" t="e">
        <f t="shared" si="5"/>
        <v>#REF!</v>
      </c>
      <c r="H23" s="1052"/>
      <c r="I23" s="1044"/>
      <c r="J23" s="1044"/>
      <c r="K23" s="1049" t="e">
        <f t="shared" si="6"/>
        <v>#REF!</v>
      </c>
      <c r="L23" s="1049" t="e">
        <f t="shared" si="7"/>
        <v>#REF!</v>
      </c>
      <c r="N23" s="289" t="e">
        <f t="shared" si="4"/>
        <v>#REF!</v>
      </c>
    </row>
    <row r="24" spans="1:16" ht="15" thickBot="1">
      <c r="A24" s="1115"/>
      <c r="B24" s="1057"/>
      <c r="C24" s="1058"/>
      <c r="D24" s="1058"/>
      <c r="E24" s="1058"/>
      <c r="F24" s="1058"/>
      <c r="G24" s="1058"/>
      <c r="H24" s="1058"/>
      <c r="I24" s="1058"/>
      <c r="J24" s="1058"/>
      <c r="K24" s="1058"/>
      <c r="L24" s="1058"/>
      <c r="N24" s="294"/>
    </row>
    <row r="25" spans="1:16" ht="15" thickBot="1">
      <c r="C25" s="146" t="s">
        <v>338</v>
      </c>
      <c r="D25" s="146" t="s">
        <v>426</v>
      </c>
      <c r="E25" s="295" t="e">
        <f>E3+E16</f>
        <v>#REF!</v>
      </c>
      <c r="F25" s="295" t="e">
        <f>F3+F16</f>
        <v>#REF!</v>
      </c>
      <c r="G25" s="295" t="e">
        <f>G3+G16</f>
        <v>#REF!</v>
      </c>
      <c r="H25" s="295"/>
      <c r="I25" s="295"/>
      <c r="J25" s="295"/>
      <c r="K25" s="295"/>
      <c r="L25" s="295"/>
      <c r="N25" s="288" t="e">
        <f>G25/F25</f>
        <v>#REF!</v>
      </c>
    </row>
    <row r="26" spans="1:16" s="147" customFormat="1">
      <c r="A26" s="1116"/>
      <c r="B26" s="296"/>
      <c r="C26" s="147" t="s">
        <v>340</v>
      </c>
      <c r="E26" s="297" t="e" cm="1">
        <f t="array" ref="E26">E25-SUMPRODUCT(#REF!*(#REF!=$E$1))</f>
        <v>#REF!</v>
      </c>
      <c r="F26" s="297" t="e" cm="1">
        <f t="array" ref="F26">F25-SUMPRODUCT(#REF!*(#REF!=$F$1))</f>
        <v>#REF!</v>
      </c>
    </row>
    <row r="28" spans="1:16">
      <c r="C28" s="279" t="s">
        <v>440</v>
      </c>
      <c r="D28" s="279" t="s">
        <v>448</v>
      </c>
      <c r="E28" s="145" t="e">
        <f>SUM(E29:E35)</f>
        <v>#REF!</v>
      </c>
      <c r="F28" s="145" t="e">
        <f>SUM(F29:F35)</f>
        <v>#REF!</v>
      </c>
      <c r="G28" s="298" t="e">
        <f>E28-F28</f>
        <v>#REF!</v>
      </c>
    </row>
    <row r="29" spans="1:16">
      <c r="C29" t="s">
        <v>441</v>
      </c>
      <c r="D29" t="s">
        <v>449</v>
      </c>
      <c r="E29" s="402" t="e" cm="1">
        <f t="array" ref="E29">INDEX(#REF!,MATCH($C29,#REF!,0),MATCH($E$1,#REF!,0))-INDEX(#REF!,,MATCH($E$1,#REF!,0))</f>
        <v>#REF!</v>
      </c>
      <c r="F29" s="403" t="e" cm="1">
        <f t="array" ref="F29">INDEX(#REF!,MATCH($C29,#REF!,0),MATCH($F$1,#REF!,0))-INDEX(#REF!,,MATCH($F$1,#REF!,0))</f>
        <v>#REF!</v>
      </c>
      <c r="G29" s="404" t="e">
        <f t="shared" ref="G29:G35" si="9">E29-F29</f>
        <v>#REF!</v>
      </c>
      <c r="O29" s="143"/>
      <c r="P29" s="143"/>
    </row>
    <row r="30" spans="1:16">
      <c r="C30" t="s">
        <v>442</v>
      </c>
      <c r="D30" t="s">
        <v>449</v>
      </c>
      <c r="E30" s="143" t="e">
        <f>INDEX(#REF!,MATCH($C30,#REF!,0),MATCH($E$1,#REF!,0))</f>
        <v>#REF!</v>
      </c>
      <c r="F30" s="143" t="e">
        <f>INDEX(#REF!,MATCH($C30,#REF!,0),MATCH($F$1,#REF!,0))</f>
        <v>#REF!</v>
      </c>
      <c r="G30" s="144" t="e">
        <f t="shared" si="9"/>
        <v>#REF!</v>
      </c>
      <c r="H30" s="144"/>
    </row>
    <row r="31" spans="1:16">
      <c r="C31" t="s">
        <v>443</v>
      </c>
      <c r="D31" t="s">
        <v>449</v>
      </c>
      <c r="E31" s="143" t="e">
        <f>INDEX(#REF!,MATCH($C31,#REF!,0),MATCH($E$1,#REF!,0))</f>
        <v>#REF!</v>
      </c>
      <c r="F31" s="143" t="e">
        <f>INDEX(#REF!,MATCH($C31,#REF!,0),MATCH($F$1,#REF!,0))</f>
        <v>#REF!</v>
      </c>
      <c r="G31" s="144" t="e">
        <f t="shared" si="9"/>
        <v>#REF!</v>
      </c>
    </row>
    <row r="32" spans="1:16">
      <c r="C32" t="s">
        <v>444</v>
      </c>
      <c r="D32" t="s">
        <v>449</v>
      </c>
      <c r="E32" s="143" t="e">
        <f>INDEX(#REF!,MATCH($C32,#REF!,0),MATCH($E$1,#REF!,0))</f>
        <v>#REF!</v>
      </c>
      <c r="F32" s="143" t="e">
        <f>INDEX(#REF!,MATCH($C32,#REF!,0),MATCH($F$1,#REF!,0))</f>
        <v>#REF!</v>
      </c>
      <c r="G32" s="144" t="e">
        <f t="shared" si="9"/>
        <v>#REF!</v>
      </c>
    </row>
    <row r="33" spans="1:8">
      <c r="C33" t="s">
        <v>445</v>
      </c>
      <c r="D33" t="s">
        <v>449</v>
      </c>
      <c r="E33" s="143" t="e">
        <f>INDEX(#REF!,MATCH($C33,#REF!,0),MATCH($E$1,#REF!,0))</f>
        <v>#REF!</v>
      </c>
      <c r="F33" s="143" t="e">
        <f>INDEX(#REF!,MATCH($C33,#REF!,0),MATCH($F$1,#REF!,0))</f>
        <v>#REF!</v>
      </c>
      <c r="G33" s="144" t="e">
        <f>E33-F33</f>
        <v>#REF!</v>
      </c>
    </row>
    <row r="34" spans="1:8">
      <c r="C34" t="s">
        <v>446</v>
      </c>
      <c r="D34" t="s">
        <v>449</v>
      </c>
      <c r="E34" s="143" t="e">
        <f>INDEX(#REF!,MATCH($C34,#REF!,0),MATCH($E$1,#REF!,0))</f>
        <v>#REF!</v>
      </c>
      <c r="F34" s="143" t="e">
        <f>INDEX(#REF!,MATCH($C34,#REF!,0),MATCH($F$1,#REF!,0))</f>
        <v>#REF!</v>
      </c>
      <c r="G34" s="144" t="e">
        <f t="shared" si="9"/>
        <v>#REF!</v>
      </c>
    </row>
    <row r="35" spans="1:8">
      <c r="C35" t="s">
        <v>447</v>
      </c>
      <c r="D35" t="s">
        <v>449</v>
      </c>
      <c r="E35" s="143" t="e">
        <f>INDEX(#REF!,MATCH($C35,#REF!,0),MATCH($E$1,#REF!,0))</f>
        <v>#REF!</v>
      </c>
      <c r="F35" s="143" t="e">
        <f>INDEX(#REF!,MATCH($C35,#REF!,0),MATCH($F$1,#REF!,0))</f>
        <v>#REF!</v>
      </c>
      <c r="G35" s="144" t="e">
        <f t="shared" si="9"/>
        <v>#REF!</v>
      </c>
    </row>
    <row r="36" spans="1:8">
      <c r="E36" s="143"/>
      <c r="F36" s="143"/>
      <c r="G36" s="144"/>
    </row>
    <row r="37" spans="1:8" s="279" customFormat="1">
      <c r="A37" s="1117"/>
      <c r="B37" s="287"/>
      <c r="C37" s="279" t="s">
        <v>450</v>
      </c>
      <c r="D37" s="279" t="s">
        <v>451</v>
      </c>
      <c r="E37" s="145" t="e" cm="1">
        <f t="array" ref="E37">INDEX(#REF!,,MATCH($E$1,#REF!,0))</f>
        <v>#REF!</v>
      </c>
      <c r="F37" s="145" t="e" cm="1">
        <f t="array" ref="F37">INDEX(#REF!,,MATCH($F$1,#REF!,0))</f>
        <v>#REF!</v>
      </c>
      <c r="G37" s="145" t="e">
        <f>E37-F37</f>
        <v>#REF!</v>
      </c>
      <c r="H37" s="575" t="e">
        <f>G37/F37</f>
        <v>#REF!</v>
      </c>
    </row>
    <row r="38" spans="1:8">
      <c r="E38" s="291" t="e">
        <f>$F$28/E37</f>
        <v>#REF!</v>
      </c>
      <c r="F38" s="291" t="e">
        <f>$F$28/F37</f>
        <v>#REF!</v>
      </c>
    </row>
    <row r="39" spans="1:8">
      <c r="E39" s="143"/>
      <c r="F39" s="143"/>
    </row>
    <row r="41" spans="1:8">
      <c r="C41" s="292" t="s">
        <v>452</v>
      </c>
      <c r="D41" s="294"/>
    </row>
    <row r="42" spans="1:8">
      <c r="C42" s="294" t="s">
        <v>425</v>
      </c>
      <c r="D42" s="300" t="e">
        <f>E3-F3</f>
        <v>#REF!</v>
      </c>
      <c r="E42" s="279"/>
      <c r="F42" s="279"/>
    </row>
    <row r="43" spans="1:8">
      <c r="C43" s="294" t="s">
        <v>453</v>
      </c>
      <c r="D43" s="301" t="e">
        <f>F28/E37-F28/F37</f>
        <v>#REF!</v>
      </c>
      <c r="E43" s="291" t="e">
        <f>SUM(D43:D44)</f>
        <v>#REF!</v>
      </c>
      <c r="F43" s="143"/>
    </row>
    <row r="44" spans="1:8" ht="15" thickBot="1">
      <c r="C44" s="294" t="s">
        <v>440</v>
      </c>
      <c r="D44" s="302" t="e">
        <f>G28/E37</f>
        <v>#REF!</v>
      </c>
      <c r="E44" s="143"/>
      <c r="F44" s="143"/>
    </row>
    <row r="45" spans="1:8" ht="15" thickBot="1">
      <c r="C45" s="303" t="s">
        <v>454</v>
      </c>
      <c r="D45" s="304" t="e">
        <f>SUM(D42:D44)</f>
        <v>#REF!</v>
      </c>
      <c r="E45" s="143"/>
      <c r="F45" s="143"/>
    </row>
    <row r="46" spans="1:8">
      <c r="C46" s="147" t="s">
        <v>340</v>
      </c>
      <c r="D46" s="297" t="e">
        <f>D45-G25</f>
        <v>#REF!</v>
      </c>
      <c r="E46" s="143"/>
      <c r="F46" s="143"/>
    </row>
    <row r="47" spans="1:8">
      <c r="E47" s="143"/>
      <c r="F47" s="143"/>
    </row>
    <row r="48" spans="1:8">
      <c r="B48" s="305" t="str">
        <f>"Tháng "&amp;TEXT($F$1,"00")&amp;"/24"</f>
        <v>Tháng 04/24</v>
      </c>
      <c r="C48" s="292" t="s">
        <v>455</v>
      </c>
      <c r="D48" s="292"/>
      <c r="E48" s="306" t="e">
        <f>F25</f>
        <v>#REF!</v>
      </c>
      <c r="F48" s="143"/>
    </row>
    <row r="49" spans="1:6">
      <c r="A49" s="1111" t="s">
        <v>923</v>
      </c>
      <c r="B49" s="307" t="s">
        <v>425</v>
      </c>
      <c r="C49" s="294" t="s">
        <v>923</v>
      </c>
      <c r="D49" s="294" t="s">
        <v>456</v>
      </c>
      <c r="E49" s="308" t="e">
        <f>H4</f>
        <v>#REF!</v>
      </c>
    </row>
    <row r="50" spans="1:6">
      <c r="A50" s="1111" t="s">
        <v>923</v>
      </c>
      <c r="B50" s="307"/>
      <c r="C50" s="294"/>
      <c r="D50" s="294" t="s">
        <v>416</v>
      </c>
      <c r="E50" s="308" t="e">
        <f>I4</f>
        <v>#REF!</v>
      </c>
    </row>
    <row r="51" spans="1:6">
      <c r="A51" s="1111" t="s">
        <v>428</v>
      </c>
      <c r="B51" s="307"/>
      <c r="C51" s="294" t="s">
        <v>428</v>
      </c>
      <c r="D51" s="294"/>
      <c r="E51" s="308" t="e">
        <f>SUMIFS($G$4:$G$24,$B$4:$B$24,$C51)</f>
        <v>#REF!</v>
      </c>
      <c r="F51" s="143"/>
    </row>
    <row r="52" spans="1:6">
      <c r="A52" s="1111" t="s">
        <v>429</v>
      </c>
      <c r="B52" s="307"/>
      <c r="C52" s="294" t="s">
        <v>429</v>
      </c>
      <c r="D52" s="294"/>
      <c r="E52" s="308" t="e">
        <f>SUMIFS($G$4:$G$24,$B$4:$B$24,$C52)</f>
        <v>#REF!</v>
      </c>
      <c r="F52" s="143"/>
    </row>
    <row r="53" spans="1:6">
      <c r="A53" s="1111" t="s">
        <v>430</v>
      </c>
      <c r="B53" s="307"/>
      <c r="C53" s="294" t="s">
        <v>430</v>
      </c>
      <c r="D53" s="294"/>
      <c r="E53" s="308" t="e">
        <f>SUMIFS($G$4:$G$24,$B$4:$B$24,$C53)</f>
        <v>#REF!</v>
      </c>
      <c r="F53" s="143"/>
    </row>
    <row r="54" spans="1:6">
      <c r="A54" s="1111" t="s">
        <v>432</v>
      </c>
      <c r="B54" s="307"/>
      <c r="C54" s="294" t="s">
        <v>432</v>
      </c>
      <c r="D54" s="294"/>
      <c r="E54" s="308" t="e">
        <f>SUMIFS($G$4:$G$24,$B$4:$B$24,$C54)</f>
        <v>#REF!</v>
      </c>
      <c r="F54" s="143"/>
    </row>
    <row r="55" spans="1:6">
      <c r="A55" s="1111" t="s">
        <v>453</v>
      </c>
      <c r="B55" s="307" t="s">
        <v>453</v>
      </c>
      <c r="C55" s="294" t="s">
        <v>455</v>
      </c>
      <c r="D55" s="294"/>
      <c r="E55" s="300" t="e">
        <f>K16</f>
        <v>#REF!</v>
      </c>
    </row>
    <row r="56" spans="1:6">
      <c r="A56" s="1111" t="s">
        <v>441</v>
      </c>
      <c r="B56" s="307" t="s">
        <v>440</v>
      </c>
      <c r="C56" s="294" t="s">
        <v>441</v>
      </c>
      <c r="D56" s="294"/>
      <c r="E56" s="308" t="e">
        <f t="shared" ref="E56:E62" si="10">SUMIFS($L$4:$L$24,$B$4:$B$24,$C56)</f>
        <v>#REF!</v>
      </c>
    </row>
    <row r="57" spans="1:6">
      <c r="A57" s="1111" t="s">
        <v>442</v>
      </c>
      <c r="B57" s="309"/>
      <c r="C57" s="294" t="s">
        <v>442</v>
      </c>
      <c r="D57" s="294"/>
      <c r="E57" s="308" t="e">
        <f>SUMIFS($L$4:$L$24,$B$4:$B$24,$C57)</f>
        <v>#REF!</v>
      </c>
    </row>
    <row r="58" spans="1:6">
      <c r="A58" s="1111" t="s">
        <v>443</v>
      </c>
      <c r="B58" s="309"/>
      <c r="C58" s="294" t="s">
        <v>443</v>
      </c>
      <c r="D58" s="294"/>
      <c r="E58" s="308" t="e">
        <f t="shared" si="10"/>
        <v>#REF!</v>
      </c>
    </row>
    <row r="59" spans="1:6">
      <c r="A59" s="1111" t="s">
        <v>444</v>
      </c>
      <c r="B59" s="309"/>
      <c r="C59" s="294" t="s">
        <v>444</v>
      </c>
      <c r="D59" s="294"/>
      <c r="E59" s="308" t="e">
        <f t="shared" si="10"/>
        <v>#REF!</v>
      </c>
    </row>
    <row r="60" spans="1:6">
      <c r="A60" s="1111" t="s">
        <v>445</v>
      </c>
      <c r="B60" s="309"/>
      <c r="C60" s="294" t="s">
        <v>445</v>
      </c>
      <c r="D60" s="294"/>
      <c r="E60" s="308" t="e">
        <f t="shared" si="10"/>
        <v>#REF!</v>
      </c>
    </row>
    <row r="61" spans="1:6">
      <c r="A61" s="1111" t="s">
        <v>446</v>
      </c>
      <c r="B61" s="309"/>
      <c r="C61" s="294" t="s">
        <v>446</v>
      </c>
      <c r="D61" s="294"/>
      <c r="E61" s="308" t="e">
        <f t="shared" si="10"/>
        <v>#REF!</v>
      </c>
    </row>
    <row r="62" spans="1:6">
      <c r="A62" s="1111" t="s">
        <v>447</v>
      </c>
      <c r="B62" s="309"/>
      <c r="C62" s="294" t="s">
        <v>447</v>
      </c>
      <c r="D62" s="294"/>
      <c r="E62" s="308" t="e">
        <f t="shared" si="10"/>
        <v>#REF!</v>
      </c>
    </row>
    <row r="63" spans="1:6">
      <c r="B63" s="292" t="str">
        <f>"Tháng "&amp;TEXT($E$1,"00")&amp;"/24"</f>
        <v>Tháng 05/24</v>
      </c>
      <c r="C63" s="292"/>
      <c r="D63" s="292"/>
      <c r="E63" s="306" t="e">
        <f>SUM(E48:E62)</f>
        <v>#REF!</v>
      </c>
      <c r="F63" s="290" t="e">
        <f>E63-E25</f>
        <v>#REF!</v>
      </c>
    </row>
    <row r="64" spans="1:6" ht="15" thickBot="1"/>
    <row r="65" spans="2:11">
      <c r="B65" s="354" t="s">
        <v>457</v>
      </c>
      <c r="C65" s="355"/>
      <c r="D65" s="355"/>
      <c r="E65" s="355"/>
      <c r="F65" s="355"/>
      <c r="G65" s="355"/>
      <c r="H65" s="355"/>
      <c r="I65" s="355"/>
      <c r="J65" s="355"/>
      <c r="K65" s="356"/>
    </row>
    <row r="66" spans="2:11" ht="43.5">
      <c r="B66" s="357"/>
      <c r="C66" s="358"/>
      <c r="D66" s="358"/>
      <c r="E66" s="359" t="s">
        <v>458</v>
      </c>
      <c r="F66" s="359" t="s">
        <v>459</v>
      </c>
      <c r="G66" s="360" t="s">
        <v>460</v>
      </c>
      <c r="H66" s="360" t="s">
        <v>461</v>
      </c>
      <c r="I66" s="359" t="s">
        <v>462</v>
      </c>
      <c r="J66" s="359"/>
      <c r="K66" s="361"/>
    </row>
    <row r="67" spans="2:11">
      <c r="B67" s="362" t="str">
        <f>"Tháng "&amp;TEXT($F$1,"00")&amp;"/24"</f>
        <v>Tháng 04/24</v>
      </c>
      <c r="C67" s="358"/>
      <c r="D67" s="358"/>
      <c r="E67" s="363" t="e">
        <f>E48</f>
        <v>#REF!</v>
      </c>
      <c r="F67" s="358"/>
      <c r="G67" s="358"/>
      <c r="H67" s="358"/>
      <c r="I67" s="358"/>
      <c r="J67" s="358"/>
      <c r="K67" s="361"/>
    </row>
    <row r="68" spans="2:11">
      <c r="B68" s="362" t="s">
        <v>425</v>
      </c>
      <c r="C68" s="358" t="s">
        <v>923</v>
      </c>
      <c r="D68" s="358" t="s">
        <v>456</v>
      </c>
      <c r="E68" s="358"/>
      <c r="F68" s="363" t="e">
        <f>E67-H68</f>
        <v>#REF!</v>
      </c>
      <c r="G68" s="364" t="e">
        <f>IF(K68&gt;0,K68,0)</f>
        <v>#REF!</v>
      </c>
      <c r="H68" s="365" t="e">
        <f>IF(K68&lt;0,-K68,0)</f>
        <v>#REF!</v>
      </c>
      <c r="I68" s="358"/>
      <c r="J68" s="358"/>
      <c r="K68" s="366" t="e">
        <f t="shared" ref="K68:K82" si="11">E49</f>
        <v>#REF!</v>
      </c>
    </row>
    <row r="69" spans="2:11">
      <c r="B69" s="362"/>
      <c r="C69" s="358"/>
      <c r="D69" s="358" t="s">
        <v>416</v>
      </c>
      <c r="E69" s="358"/>
      <c r="F69" s="363" t="e">
        <f>F68+G68-H69</f>
        <v>#REF!</v>
      </c>
      <c r="G69" s="364" t="e">
        <f>IF(K69&gt;0,K69,0)</f>
        <v>#REF!</v>
      </c>
      <c r="H69" s="365" t="e">
        <f>IF(K69&lt;0,-K69,0)</f>
        <v>#REF!</v>
      </c>
      <c r="I69" s="358"/>
      <c r="J69" s="358"/>
      <c r="K69" s="366" t="e">
        <f t="shared" si="11"/>
        <v>#REF!</v>
      </c>
    </row>
    <row r="70" spans="2:11">
      <c r="B70" s="362"/>
      <c r="C70" s="358" t="s">
        <v>428</v>
      </c>
      <c r="D70" s="358"/>
      <c r="E70" s="358"/>
      <c r="F70" s="363" t="e">
        <f t="shared" ref="F70:F81" si="12">F69+G69-H70</f>
        <v>#REF!</v>
      </c>
      <c r="G70" s="364" t="e">
        <f t="shared" ref="G70:G81" si="13">IF(K70&gt;0,K70,0)</f>
        <v>#REF!</v>
      </c>
      <c r="H70" s="365" t="e">
        <f t="shared" ref="H70:H81" si="14">IF(K70&lt;0,-K70,0)</f>
        <v>#REF!</v>
      </c>
      <c r="I70" s="358"/>
      <c r="J70" s="358"/>
      <c r="K70" s="366" t="e">
        <f t="shared" si="11"/>
        <v>#REF!</v>
      </c>
    </row>
    <row r="71" spans="2:11">
      <c r="B71" s="362"/>
      <c r="C71" s="358" t="s">
        <v>429</v>
      </c>
      <c r="D71" s="358"/>
      <c r="E71" s="358"/>
      <c r="F71" s="363" t="e">
        <f t="shared" si="12"/>
        <v>#REF!</v>
      </c>
      <c r="G71" s="364" t="e">
        <f t="shared" si="13"/>
        <v>#REF!</v>
      </c>
      <c r="H71" s="365" t="e">
        <f t="shared" si="14"/>
        <v>#REF!</v>
      </c>
      <c r="I71" s="358"/>
      <c r="J71" s="358"/>
      <c r="K71" s="366" t="e">
        <f t="shared" si="11"/>
        <v>#REF!</v>
      </c>
    </row>
    <row r="72" spans="2:11">
      <c r="B72" s="362"/>
      <c r="C72" s="358" t="s">
        <v>430</v>
      </c>
      <c r="D72" s="358"/>
      <c r="E72" s="358"/>
      <c r="F72" s="363" t="e">
        <f t="shared" si="12"/>
        <v>#REF!</v>
      </c>
      <c r="G72" s="364" t="e">
        <f t="shared" si="13"/>
        <v>#REF!</v>
      </c>
      <c r="H72" s="365" t="e">
        <f t="shared" si="14"/>
        <v>#REF!</v>
      </c>
      <c r="I72" s="358"/>
      <c r="J72" s="358"/>
      <c r="K72" s="366" t="e">
        <f t="shared" si="11"/>
        <v>#REF!</v>
      </c>
    </row>
    <row r="73" spans="2:11">
      <c r="B73" s="362"/>
      <c r="C73" s="358" t="s">
        <v>432</v>
      </c>
      <c r="D73" s="358"/>
      <c r="E73" s="358"/>
      <c r="F73" s="363" t="e">
        <f t="shared" si="12"/>
        <v>#REF!</v>
      </c>
      <c r="G73" s="364" t="e">
        <f t="shared" si="13"/>
        <v>#REF!</v>
      </c>
      <c r="H73" s="365" t="e">
        <f t="shared" si="14"/>
        <v>#REF!</v>
      </c>
      <c r="I73" s="358"/>
      <c r="J73" s="358"/>
      <c r="K73" s="366" t="e">
        <f t="shared" si="11"/>
        <v>#REF!</v>
      </c>
    </row>
    <row r="74" spans="2:11" ht="29">
      <c r="B74" s="367" t="s">
        <v>463</v>
      </c>
      <c r="C74" s="358" t="s">
        <v>455</v>
      </c>
      <c r="D74" s="358"/>
      <c r="E74" s="358"/>
      <c r="F74" s="363" t="e">
        <f t="shared" si="12"/>
        <v>#REF!</v>
      </c>
      <c r="G74" s="364" t="e">
        <f t="shared" si="13"/>
        <v>#REF!</v>
      </c>
      <c r="H74" s="365" t="e">
        <f t="shared" si="14"/>
        <v>#REF!</v>
      </c>
      <c r="I74" s="358"/>
      <c r="J74" s="358"/>
      <c r="K74" s="366" t="e">
        <f t="shared" si="11"/>
        <v>#REF!</v>
      </c>
    </row>
    <row r="75" spans="2:11">
      <c r="B75" s="362" t="s">
        <v>440</v>
      </c>
      <c r="C75" s="358" t="s">
        <v>441</v>
      </c>
      <c r="D75" s="358"/>
      <c r="E75" s="358"/>
      <c r="F75" s="363" t="e">
        <f t="shared" si="12"/>
        <v>#REF!</v>
      </c>
      <c r="G75" s="364" t="e">
        <f t="shared" si="13"/>
        <v>#REF!</v>
      </c>
      <c r="H75" s="365" t="e">
        <f t="shared" si="14"/>
        <v>#REF!</v>
      </c>
      <c r="I75" s="358"/>
      <c r="J75" s="358"/>
      <c r="K75" s="366" t="e">
        <f t="shared" si="11"/>
        <v>#REF!</v>
      </c>
    </row>
    <row r="76" spans="2:11">
      <c r="B76" s="362"/>
      <c r="C76" s="358" t="s">
        <v>442</v>
      </c>
      <c r="D76" s="358"/>
      <c r="E76" s="358"/>
      <c r="F76" s="363" t="e">
        <f t="shared" si="12"/>
        <v>#REF!</v>
      </c>
      <c r="G76" s="364" t="e">
        <f t="shared" si="13"/>
        <v>#REF!</v>
      </c>
      <c r="H76" s="365" t="e">
        <f t="shared" si="14"/>
        <v>#REF!</v>
      </c>
      <c r="I76" s="358"/>
      <c r="J76" s="358"/>
      <c r="K76" s="366" t="e">
        <f t="shared" si="11"/>
        <v>#REF!</v>
      </c>
    </row>
    <row r="77" spans="2:11" ht="14.25" customHeight="1">
      <c r="B77" s="362"/>
      <c r="C77" s="358" t="s">
        <v>443</v>
      </c>
      <c r="D77" s="358"/>
      <c r="E77" s="358"/>
      <c r="F77" s="363" t="e">
        <f t="shared" si="12"/>
        <v>#REF!</v>
      </c>
      <c r="G77" s="364" t="e">
        <f t="shared" si="13"/>
        <v>#REF!</v>
      </c>
      <c r="H77" s="365" t="e">
        <f t="shared" si="14"/>
        <v>#REF!</v>
      </c>
      <c r="I77" s="358"/>
      <c r="J77" s="358"/>
      <c r="K77" s="366" t="e">
        <f t="shared" si="11"/>
        <v>#REF!</v>
      </c>
    </row>
    <row r="78" spans="2:11">
      <c r="B78" s="362"/>
      <c r="C78" s="358" t="s">
        <v>444</v>
      </c>
      <c r="D78" s="358"/>
      <c r="E78" s="358"/>
      <c r="F78" s="363" t="e">
        <f t="shared" si="12"/>
        <v>#REF!</v>
      </c>
      <c r="G78" s="364" t="e">
        <f t="shared" si="13"/>
        <v>#REF!</v>
      </c>
      <c r="H78" s="365" t="e">
        <f t="shared" si="14"/>
        <v>#REF!</v>
      </c>
      <c r="I78" s="358"/>
      <c r="J78" s="358"/>
      <c r="K78" s="366" t="e">
        <f t="shared" si="11"/>
        <v>#REF!</v>
      </c>
    </row>
    <row r="79" spans="2:11">
      <c r="B79" s="362"/>
      <c r="C79" s="358" t="s">
        <v>445</v>
      </c>
      <c r="D79" s="358"/>
      <c r="E79" s="358"/>
      <c r="F79" s="363" t="e">
        <f t="shared" si="12"/>
        <v>#REF!</v>
      </c>
      <c r="G79" s="364" t="e">
        <f t="shared" si="13"/>
        <v>#REF!</v>
      </c>
      <c r="H79" s="365" t="e">
        <f t="shared" si="14"/>
        <v>#REF!</v>
      </c>
      <c r="I79" s="358"/>
      <c r="J79" s="358"/>
      <c r="K79" s="366" t="e">
        <f t="shared" si="11"/>
        <v>#REF!</v>
      </c>
    </row>
    <row r="80" spans="2:11">
      <c r="B80" s="362"/>
      <c r="C80" s="358" t="s">
        <v>446</v>
      </c>
      <c r="D80" s="358"/>
      <c r="E80" s="358"/>
      <c r="F80" s="363" t="e">
        <f t="shared" si="12"/>
        <v>#REF!</v>
      </c>
      <c r="G80" s="364" t="e">
        <f t="shared" si="13"/>
        <v>#REF!</v>
      </c>
      <c r="H80" s="365" t="e">
        <f t="shared" si="14"/>
        <v>#REF!</v>
      </c>
      <c r="I80" s="358"/>
      <c r="J80" s="358"/>
      <c r="K80" s="366" t="e">
        <f t="shared" si="11"/>
        <v>#REF!</v>
      </c>
    </row>
    <row r="81" spans="2:11">
      <c r="B81" s="362"/>
      <c r="C81" s="358" t="s">
        <v>447</v>
      </c>
      <c r="D81" s="358"/>
      <c r="E81" s="358"/>
      <c r="F81" s="363" t="e">
        <f t="shared" si="12"/>
        <v>#REF!</v>
      </c>
      <c r="G81" s="364" t="e">
        <f t="shared" si="13"/>
        <v>#REF!</v>
      </c>
      <c r="H81" s="365" t="e">
        <f t="shared" si="14"/>
        <v>#REF!</v>
      </c>
      <c r="I81" s="358"/>
      <c r="J81" s="358"/>
      <c r="K81" s="366" t="e">
        <f t="shared" si="11"/>
        <v>#REF!</v>
      </c>
    </row>
    <row r="82" spans="2:11" ht="15" thickBot="1">
      <c r="B82" s="368" t="str">
        <f>"Tháng "&amp;TEXT($E$1,"00")&amp;"/24"</f>
        <v>Tháng 05/24</v>
      </c>
      <c r="C82" s="369"/>
      <c r="D82" s="369"/>
      <c r="E82" s="369"/>
      <c r="F82" s="369"/>
      <c r="G82" s="369"/>
      <c r="H82" s="369"/>
      <c r="I82" s="370" t="e">
        <f>F81+G81</f>
        <v>#REF!</v>
      </c>
      <c r="J82" s="370"/>
      <c r="K82" s="371" t="e">
        <f t="shared" si="11"/>
        <v>#REF!</v>
      </c>
    </row>
    <row r="83" spans="2:11">
      <c r="I83" s="290" t="e">
        <f>I82-E63</f>
        <v>#REF!</v>
      </c>
      <c r="J83" s="290"/>
    </row>
    <row r="86" spans="2:11">
      <c r="B86" s="310" t="s">
        <v>464</v>
      </c>
    </row>
    <row r="87" spans="2:11">
      <c r="B87" t="str">
        <f>"CÁC NHÂN TỐ TÁC ĐỘNG ẢNH HƯỞNG ĐẾN CHI PHÍ / TẤN"&amp;"
"&amp;"THÁNG "&amp;TEXT($E$1,"00")&amp;"/25 sv "&amp;"THÁNG "&amp;TEXT($F$1,"00")&amp;"/25"</f>
        <v>CÁC NHÂN TỐ TÁC ĐỘNG ẢNH HƯỞNG ĐẾN CHI PHÍ / TẤN
THÁNG 05/25 sv THÁNG 04/25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075B4-3C56-4942-8B89-3F926D22DEAD}">
  <sheetPr codeName="Sheet30">
    <tabColor rgb="FFFF33CC"/>
  </sheetPr>
  <dimension ref="A4:P67"/>
  <sheetViews>
    <sheetView showGridLines="0" topLeftCell="A31" zoomScale="70" zoomScaleNormal="70" workbookViewId="0">
      <selection activeCell="D48" sqref="D48"/>
    </sheetView>
  </sheetViews>
  <sheetFormatPr defaultRowHeight="14.5"/>
  <cols>
    <col min="1" max="1" width="5.90625" customWidth="1"/>
    <col min="2" max="2" width="27.453125" customWidth="1"/>
    <col min="3" max="3" width="32.90625" customWidth="1"/>
    <col min="4" max="4" width="15" customWidth="1"/>
    <col min="5" max="5" width="70.08984375" customWidth="1"/>
    <col min="6" max="7" width="17.08984375" customWidth="1"/>
    <col min="8" max="8" width="10.54296875" customWidth="1"/>
  </cols>
  <sheetData>
    <row r="4" spans="14:16">
      <c r="N4" s="293"/>
      <c r="O4" s="293"/>
      <c r="P4" s="293"/>
    </row>
    <row r="30" spans="4:7">
      <c r="D30" s="143"/>
      <c r="E30" s="143"/>
      <c r="F30" s="144"/>
      <c r="G30" s="311"/>
    </row>
    <row r="31" spans="4:7">
      <c r="D31" s="143"/>
      <c r="E31" s="143"/>
      <c r="F31" s="144"/>
      <c r="G31" s="311"/>
    </row>
    <row r="32" spans="4:7">
      <c r="D32" s="143"/>
      <c r="E32" s="143"/>
      <c r="F32" s="144"/>
      <c r="G32" s="311"/>
    </row>
    <row r="33" spans="1:7">
      <c r="D33" s="143"/>
      <c r="E33" s="143"/>
      <c r="F33" s="144"/>
      <c r="G33" s="311"/>
    </row>
    <row r="34" spans="1:7">
      <c r="D34" s="143"/>
      <c r="E34" s="143"/>
      <c r="F34" s="144"/>
      <c r="G34" s="311"/>
    </row>
    <row r="35" spans="1:7">
      <c r="D35" s="143"/>
      <c r="E35" s="143"/>
      <c r="F35" s="144"/>
      <c r="G35" s="311"/>
    </row>
    <row r="36" spans="1:7">
      <c r="D36" s="143"/>
      <c r="E36" s="143"/>
      <c r="F36" s="144"/>
      <c r="G36" s="311"/>
    </row>
    <row r="37" spans="1:7">
      <c r="D37" s="143"/>
      <c r="E37" s="143"/>
      <c r="F37" s="144"/>
      <c r="G37" s="311"/>
    </row>
    <row r="38" spans="1:7">
      <c r="D38" s="143"/>
      <c r="E38" s="143"/>
      <c r="F38" s="144"/>
      <c r="G38" s="311"/>
    </row>
    <row r="39" spans="1:7">
      <c r="D39" s="143"/>
      <c r="E39" s="143"/>
      <c r="F39" s="144"/>
      <c r="G39" s="311"/>
    </row>
    <row r="40" spans="1:7">
      <c r="D40" s="143"/>
      <c r="E40" s="143"/>
      <c r="F40" s="144"/>
      <c r="G40" s="311"/>
    </row>
    <row r="41" spans="1:7">
      <c r="D41" s="143"/>
      <c r="E41" s="143"/>
      <c r="F41" s="144"/>
      <c r="G41" s="311"/>
    </row>
    <row r="42" spans="1:7">
      <c r="D42" s="143"/>
      <c r="E42" s="143"/>
      <c r="F42" s="144"/>
      <c r="G42" s="311"/>
    </row>
    <row r="43" spans="1:7" ht="18.5">
      <c r="A43" s="372" t="s">
        <v>465</v>
      </c>
      <c r="B43" s="372" t="s">
        <v>466</v>
      </c>
      <c r="C43" s="372" t="s">
        <v>375</v>
      </c>
      <c r="D43" s="372" t="s">
        <v>467</v>
      </c>
      <c r="E43" s="372" t="s">
        <v>468</v>
      </c>
    </row>
    <row r="44" spans="1:7" s="373" customFormat="1" ht="17">
      <c r="A44" s="1096" t="s">
        <v>355</v>
      </c>
      <c r="B44" s="1097" t="s">
        <v>547</v>
      </c>
      <c r="C44" s="1098"/>
      <c r="D44" s="1099">
        <f>SUM(D45:D48)</f>
        <v>1.6135804704385373</v>
      </c>
      <c r="E44" s="1083"/>
      <c r="F44" s="1318"/>
    </row>
    <row r="45" spans="1:7">
      <c r="A45" s="374" t="s">
        <v>469</v>
      </c>
      <c r="B45" s="375" t="s">
        <v>453</v>
      </c>
      <c r="C45" s="375" t="s">
        <v>164</v>
      </c>
      <c r="D45" s="376">
        <f>SUMIFS('Data-Vẽ -CYvsPY'!$E$49:$E$62,'Data-Vẽ -CYvsPY'!$A$49:$A$62,'Trình Bày-CYvsPY-DIỄM'!$B45)</f>
        <v>1.0787518262252311</v>
      </c>
      <c r="E45" t="s">
        <v>1246</v>
      </c>
      <c r="G45" t="s">
        <v>1231</v>
      </c>
    </row>
    <row r="46" spans="1:7">
      <c r="A46" s="383" t="s">
        <v>470</v>
      </c>
      <c r="B46" s="384" t="s">
        <v>441</v>
      </c>
      <c r="C46" s="384" t="s">
        <v>164</v>
      </c>
      <c r="D46" s="1165">
        <f>SUMIFS('Data-Vẽ -CYvsPY'!$E$49:$E$62,'Data-Vẽ -CYvsPY'!$A$49:$A$62,'Trình Bày-CYvsPY-DIỄM'!$B46)</f>
        <v>0.32425989440241126</v>
      </c>
      <c r="E46" s="1081" t="s">
        <v>1060</v>
      </c>
      <c r="F46" s="1226"/>
      <c r="G46" t="s">
        <v>1060</v>
      </c>
    </row>
    <row r="47" spans="1:7">
      <c r="A47" s="383" t="s">
        <v>471</v>
      </c>
      <c r="B47" s="384" t="s">
        <v>429</v>
      </c>
      <c r="C47" s="384" t="s">
        <v>175</v>
      </c>
      <c r="D47" s="1165">
        <f>SUMIFS('Data-Vẽ -CYvsPY'!$E$49:$E$62,'Data-Vẽ -CYvsPY'!$A$49:$A$62,'Trình Bày-CYvsPY-DIỄM'!$B47)</f>
        <v>0.15518502865089273</v>
      </c>
      <c r="E47" s="1081" t="s">
        <v>1237</v>
      </c>
      <c r="F47" s="1363"/>
      <c r="G47" t="s">
        <v>1237</v>
      </c>
    </row>
    <row r="48" spans="1:7" ht="58">
      <c r="A48" s="383" t="s">
        <v>472</v>
      </c>
      <c r="B48" s="384" t="s">
        <v>432</v>
      </c>
      <c r="C48" s="384" t="s">
        <v>175</v>
      </c>
      <c r="D48" s="1165">
        <f>SUMIFS('Data-Vẽ -CYvsPY'!$E$49:$E$62,'Data-Vẽ -CYvsPY'!$A$49:$A$62,'Trình Bày-CYvsPY-DIỄM'!$B48)</f>
        <v>5.5383721160002106E-2</v>
      </c>
      <c r="E48" s="1081" t="s">
        <v>1254</v>
      </c>
      <c r="F48" s="1499"/>
      <c r="G48" t="s">
        <v>1238</v>
      </c>
    </row>
    <row r="49" spans="1:9" ht="17">
      <c r="A49" s="396" t="s">
        <v>372</v>
      </c>
      <c r="B49" s="397" t="s">
        <v>474</v>
      </c>
      <c r="C49" s="398"/>
      <c r="D49" s="399">
        <f>SUM(D50:D58)</f>
        <v>-2.4560488255634656</v>
      </c>
      <c r="E49" s="1085"/>
      <c r="F49" s="1363"/>
    </row>
    <row r="50" spans="1:9" ht="58">
      <c r="A50" s="374" t="s">
        <v>475</v>
      </c>
      <c r="B50" s="375" t="s">
        <v>923</v>
      </c>
      <c r="C50" s="375" t="s">
        <v>361</v>
      </c>
      <c r="D50" s="376">
        <f>SUMIFS('Data-Vẽ -CYvsPY'!$E$49:$E$62,'Data-Vẽ -CYvsPY'!$A$49:$A$62,'Trình Bày-CYvsPY-DIỄM'!$B50)</f>
        <v>-1.2607401064735271</v>
      </c>
      <c r="E50" s="1081" t="s">
        <v>1247</v>
      </c>
      <c r="F50" s="1226"/>
      <c r="G50" t="s">
        <v>1232</v>
      </c>
    </row>
    <row r="51" spans="1:9">
      <c r="A51" s="383" t="s">
        <v>476</v>
      </c>
      <c r="B51" s="384" t="s">
        <v>443</v>
      </c>
      <c r="C51" s="384" t="s">
        <v>164</v>
      </c>
      <c r="D51" s="1165">
        <f>SUMIFS('Data-Vẽ -CYvsPY'!$E$49:$E$62,'Data-Vẽ -CYvsPY'!$A$49:$A$62,'Trình Bày-CYvsPY-DIỄM'!$B51)</f>
        <v>-0.56859526178970288</v>
      </c>
      <c r="E51" s="1081" t="s">
        <v>1062</v>
      </c>
      <c r="G51" t="s">
        <v>1062</v>
      </c>
    </row>
    <row r="52" spans="1:9">
      <c r="A52" s="383" t="s">
        <v>477</v>
      </c>
      <c r="B52" s="384" t="s">
        <v>444</v>
      </c>
      <c r="C52" s="384" t="s">
        <v>164</v>
      </c>
      <c r="D52" s="1165">
        <f>SUMIFS('Data-Vẽ -CYvsPY'!$E$49:$E$62,'Data-Vẽ -CYvsPY'!$A$49:$A$62,'Trình Bày-CYvsPY-DIỄM'!$B52)</f>
        <v>-0.21424160314733678</v>
      </c>
      <c r="E52" s="1081" t="s">
        <v>1063</v>
      </c>
      <c r="F52" s="1226"/>
      <c r="G52" t="s">
        <v>1063</v>
      </c>
    </row>
    <row r="53" spans="1:9">
      <c r="A53" s="383" t="s">
        <v>479</v>
      </c>
      <c r="B53" s="384" t="s">
        <v>428</v>
      </c>
      <c r="C53" s="384" t="s">
        <v>169</v>
      </c>
      <c r="D53" s="1165">
        <f>SUMIFS('Data-Vẽ -CYvsPY'!$E$49:$E$62,'Data-Vẽ -CYvsPY'!$A$49:$A$62,'Trình Bày-CYvsPY-DIỄM'!$B53)</f>
        <v>-0.12770813202061992</v>
      </c>
      <c r="E53" s="1081" t="s">
        <v>1061</v>
      </c>
      <c r="F53" s="1226"/>
      <c r="G53" t="s">
        <v>1061</v>
      </c>
    </row>
    <row r="54" spans="1:9">
      <c r="A54" s="383" t="s">
        <v>485</v>
      </c>
      <c r="B54" s="384" t="s">
        <v>445</v>
      </c>
      <c r="C54" s="384" t="s">
        <v>164</v>
      </c>
      <c r="D54" s="1165">
        <f>SUMIFS('Data-Vẽ -CYvsPY'!$E$49:$E$62,'Data-Vẽ -CYvsPY'!$A$49:$A$62,'Trình Bày-CYvsPY-DIỄM'!$B54)</f>
        <v>-0.11189104050786507</v>
      </c>
      <c r="E54" s="1081" t="s">
        <v>1072</v>
      </c>
      <c r="G54" t="s">
        <v>1072</v>
      </c>
    </row>
    <row r="55" spans="1:9">
      <c r="A55" s="383" t="s">
        <v>780</v>
      </c>
      <c r="B55" s="384" t="s">
        <v>446</v>
      </c>
      <c r="C55" s="384" t="s">
        <v>164</v>
      </c>
      <c r="D55" s="1165">
        <f>SUMIFS('Data-Vẽ -CYvsPY'!$E$49:$E$62,'Data-Vẽ -CYvsPY'!$A$49:$A$62,'Trình Bày-CYvsPY-DIỄM'!$B55)</f>
        <v>-5.9525282722583527E-2</v>
      </c>
      <c r="E55" s="1081" t="s">
        <v>1073</v>
      </c>
      <c r="F55" s="1226"/>
      <c r="G55" t="s">
        <v>1073</v>
      </c>
    </row>
    <row r="56" spans="1:9">
      <c r="A56" s="383" t="s">
        <v>781</v>
      </c>
      <c r="B56" s="384" t="s">
        <v>442</v>
      </c>
      <c r="C56" s="384" t="s">
        <v>164</v>
      </c>
      <c r="D56" s="1165">
        <f>SUMIFS('Data-Vẽ -CYvsPY'!$E$49:$E$62,'Data-Vẽ -CYvsPY'!$A$49:$A$62,'Trình Bày-CYvsPY-DIỄM'!$B56)</f>
        <v>-5.8821111524091349E-2</v>
      </c>
      <c r="E56" s="1081" t="s">
        <v>1255</v>
      </c>
      <c r="F56" s="1226"/>
      <c r="G56" t="s">
        <v>1239</v>
      </c>
    </row>
    <row r="57" spans="1:9">
      <c r="A57" s="383" t="s">
        <v>795</v>
      </c>
      <c r="B57" s="384" t="s">
        <v>447</v>
      </c>
      <c r="C57" s="384" t="s">
        <v>164</v>
      </c>
      <c r="D57" s="1165">
        <f>SUMIFS('Data-Vẽ -CYvsPY'!$E$49:$E$62,'Data-Vẽ -CYvsPY'!$A$49:$A$62,'Trình Bày-CYvsPY-DIỄM'!$B57)</f>
        <v>-4.0605084799142835E-2</v>
      </c>
      <c r="E57" s="1081"/>
    </row>
    <row r="58" spans="1:9" ht="29">
      <c r="A58" s="383" t="s">
        <v>866</v>
      </c>
      <c r="B58" s="384" t="s">
        <v>430</v>
      </c>
      <c r="C58" s="384" t="s">
        <v>478</v>
      </c>
      <c r="D58" s="1165">
        <f>SUMIFS('Data-Vẽ -CYvsPY'!$E$49:$E$62,'Data-Vẽ -CYvsPY'!$A$49:$A$62,'Trình Bày-CYvsPY-DIỄM'!$B58)</f>
        <v>-1.3921202578596165E-2</v>
      </c>
      <c r="E58" s="1081" t="s">
        <v>1257</v>
      </c>
      <c r="F58" s="1226"/>
      <c r="G58" t="s">
        <v>1240</v>
      </c>
    </row>
    <row r="59" spans="1:9" s="380" customFormat="1" ht="18.5">
      <c r="A59" s="385"/>
      <c r="B59" s="386" t="s">
        <v>480</v>
      </c>
      <c r="C59" s="387"/>
      <c r="D59" s="388">
        <f>D44+D49</f>
        <v>-0.84246835512492835</v>
      </c>
      <c r="E59" s="389"/>
    </row>
    <row r="60" spans="1:9" s="147" customFormat="1">
      <c r="B60" s="147" t="s">
        <v>340</v>
      </c>
      <c r="D60" s="297">
        <f>D59-'Data-Vẽ -CYvsPY'!G25</f>
        <v>0</v>
      </c>
    </row>
    <row r="61" spans="1:9">
      <c r="E61" s="1499"/>
    </row>
    <row r="63" spans="1:9">
      <c r="E63" s="1226"/>
      <c r="G63" s="143"/>
      <c r="H63" s="143"/>
      <c r="I63" s="144"/>
    </row>
    <row r="64" spans="1:9">
      <c r="G64" s="143"/>
      <c r="H64" s="143"/>
      <c r="I64" s="144"/>
    </row>
    <row r="65" spans="3:6">
      <c r="C65" s="143"/>
      <c r="D65" s="143"/>
      <c r="E65" s="144"/>
      <c r="F65" s="311"/>
    </row>
    <row r="66" spans="3:6">
      <c r="C66" s="143"/>
      <c r="D66" s="143"/>
      <c r="E66" s="144"/>
      <c r="F66" s="311"/>
    </row>
    <row r="67" spans="3:6">
      <c r="C67" s="143"/>
      <c r="D67" s="143"/>
      <c r="E67" s="144"/>
    </row>
  </sheetData>
  <conditionalFormatting sqref="D44:D59">
    <cfRule type="cellIs" dxfId="3" priority="1" operator="lessThan">
      <formula>0</formula>
    </cfRule>
  </conditionalFormatting>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C3811-6529-44D9-8DA1-66F8E1A57C96}">
  <sheetPr codeName="Sheet33" filterMode="1"/>
  <dimension ref="A1:P87"/>
  <sheetViews>
    <sheetView showGridLines="0" zoomScaleNormal="100" workbookViewId="0">
      <pane ySplit="2" topLeftCell="A34" activePane="bottomLeft" state="frozen"/>
      <selection activeCell="O57" sqref="O57"/>
      <selection pane="bottomLeft" activeCell="E1" sqref="E1"/>
    </sheetView>
  </sheetViews>
  <sheetFormatPr defaultRowHeight="14.5"/>
  <cols>
    <col min="1" max="1" width="8.90625" style="1111" customWidth="1"/>
    <col min="2" max="2" width="25.90625" style="278" customWidth="1"/>
    <col min="3" max="3" width="25.08984375" customWidth="1"/>
    <col min="4" max="4" width="8.08984375" customWidth="1"/>
    <col min="5" max="5" width="12.453125" customWidth="1"/>
    <col min="6" max="6" width="10.453125" customWidth="1"/>
    <col min="7" max="7" width="9.54296875" customWidth="1"/>
    <col min="8" max="10" width="20.08984375" customWidth="1"/>
    <col min="11" max="11" width="15.90625" customWidth="1"/>
    <col min="12" max="12" width="14.08984375" customWidth="1"/>
    <col min="13" max="13" width="19.08984375" customWidth="1"/>
    <col min="15" max="15" width="9.08984375" customWidth="1"/>
  </cols>
  <sheetData>
    <row r="1" spans="1:14">
      <c r="C1" s="279" t="s">
        <v>366</v>
      </c>
      <c r="D1" s="279"/>
      <c r="E1" s="280">
        <f>'Data-Vẽ-Tháng'!E1</f>
        <v>5</v>
      </c>
      <c r="I1" s="290">
        <f>SUM(H4:I4)</f>
        <v>-1.2607401064735271</v>
      </c>
    </row>
    <row r="2" spans="1:14">
      <c r="A2" s="1112" t="s">
        <v>0</v>
      </c>
      <c r="B2" s="281" t="s">
        <v>417</v>
      </c>
      <c r="C2" s="282"/>
      <c r="D2" s="282"/>
      <c r="E2" s="283" t="str">
        <f>"BQ "&amp;E1&amp;"T TT26"</f>
        <v>BQ 5T TT26</v>
      </c>
      <c r="F2" s="283" t="s">
        <v>1055</v>
      </c>
      <c r="G2" s="284" t="s">
        <v>418</v>
      </c>
      <c r="H2" s="285" t="s">
        <v>419</v>
      </c>
      <c r="I2" s="285" t="s">
        <v>420</v>
      </c>
      <c r="J2" s="285" t="s">
        <v>421</v>
      </c>
      <c r="K2" s="285" t="s">
        <v>422</v>
      </c>
      <c r="L2" s="285" t="s">
        <v>423</v>
      </c>
      <c r="N2" s="286" t="s">
        <v>424</v>
      </c>
    </row>
    <row r="3" spans="1:14" s="279" customFormat="1" hidden="1">
      <c r="A3" s="1113"/>
      <c r="B3" s="1053"/>
      <c r="C3" s="1054" t="s">
        <v>425</v>
      </c>
      <c r="D3" s="1054" t="s">
        <v>426</v>
      </c>
      <c r="E3" s="1055">
        <f>SUM(E4:E14)</f>
        <v>21.34537847401506</v>
      </c>
      <c r="F3" s="1055">
        <f>SUM(F4:F14)</f>
        <v>22.537179165276907</v>
      </c>
      <c r="G3" s="1055">
        <f t="shared" ref="G3" si="0">SUM(G4:G14)</f>
        <v>-1.1918006912618484</v>
      </c>
      <c r="H3" s="1056">
        <f t="shared" ref="H3:I3" si="1">SUM(H4:H14)</f>
        <v>-1.2337308782231169</v>
      </c>
      <c r="I3" s="1056">
        <f t="shared" si="1"/>
        <v>-2.7009228250410189E-2</v>
      </c>
      <c r="J3" s="1056">
        <f>SUM(J4:J14)</f>
        <v>6.8939415211678734E-2</v>
      </c>
      <c r="K3" s="1054"/>
      <c r="L3" s="1054"/>
      <c r="N3" s="288">
        <f t="shared" ref="N3:N14" si="2">G3/F3</f>
        <v>-5.2881537770177511E-2</v>
      </c>
    </row>
    <row r="4" spans="1:14" hidden="1">
      <c r="A4" s="1043">
        <v>1</v>
      </c>
      <c r="B4" s="1043" t="s">
        <v>923</v>
      </c>
      <c r="C4" s="1044" t="s">
        <v>923</v>
      </c>
      <c r="D4" s="1044" t="s">
        <v>426</v>
      </c>
      <c r="E4" s="1045">
        <f>INDEX('18 KMP- Tháng (Tâm)'!$BR$41:$BR$59,MATCH($C4,'18 KMP- Tháng (Tâm)'!$D$41:$D$59,0))</f>
        <v>18.388297990062355</v>
      </c>
      <c r="F4" s="1045">
        <f>INDEX('18 KMP- Tháng (Tâm)'!$AQ$40:$AQ$59,MATCH($C4,'18 KMP- Tháng (Tâm)'!$D$40:$D$59,0))</f>
        <v>19.649038096535882</v>
      </c>
      <c r="G4" s="1046">
        <f t="shared" ref="G4:G14" si="3">E4-F4</f>
        <v>-1.2607401064735271</v>
      </c>
      <c r="H4" s="1047">
        <f>G4/SUM('Tác động-GM'!$K$81:$L$81)*'Tác động-GM'!K81</f>
        <v>-1.2337308782231169</v>
      </c>
      <c r="I4" s="1047">
        <f>G4-H4</f>
        <v>-2.7009228250410189E-2</v>
      </c>
      <c r="J4" s="1044"/>
      <c r="K4" s="1044"/>
      <c r="L4" s="1044"/>
      <c r="N4" s="289">
        <f t="shared" si="2"/>
        <v>-6.4162942749640003E-2</v>
      </c>
    </row>
    <row r="5" spans="1:14" hidden="1">
      <c r="A5" s="1043">
        <v>2</v>
      </c>
      <c r="B5" s="1043" t="s">
        <v>428</v>
      </c>
      <c r="C5" s="1044" t="s">
        <v>428</v>
      </c>
      <c r="D5" s="1044" t="s">
        <v>426</v>
      </c>
      <c r="E5" s="1045">
        <f>INDEX('18 KMP- Tháng (Tâm)'!$BR$41:$BR$59,MATCH($C5,'18 KMP- Tháng (Tâm)'!$D$41:$D$59,0))</f>
        <v>1.4169203858263513</v>
      </c>
      <c r="F5" s="1045">
        <f>INDEX('18 KMP- Tháng (Tâm)'!$AQ$40:$AQ$59,MATCH($C5,'18 KMP- Tháng (Tâm)'!$D$40:$D$59,0))</f>
        <v>1.5446285178469712</v>
      </c>
      <c r="G5" s="1046">
        <f t="shared" si="3"/>
        <v>-0.12770813202061992</v>
      </c>
      <c r="H5" s="1044"/>
      <c r="I5" s="1044"/>
      <c r="J5" s="1048">
        <f t="shared" ref="J5:J14" si="4">G5</f>
        <v>-0.12770813202061992</v>
      </c>
      <c r="K5" s="1044"/>
      <c r="L5" s="1044"/>
      <c r="N5" s="289">
        <f t="shared" si="2"/>
        <v>-8.2678864558728915E-2</v>
      </c>
    </row>
    <row r="6" spans="1:14" hidden="1">
      <c r="A6" s="1043">
        <v>3</v>
      </c>
      <c r="B6" s="1043" t="s">
        <v>429</v>
      </c>
      <c r="C6" s="1044" t="s">
        <v>429</v>
      </c>
      <c r="D6" s="1044" t="s">
        <v>426</v>
      </c>
      <c r="E6" s="1050">
        <f>INDEX('18 KMP- Tháng (Tâm)'!$BR$41:$BR$59,MATCH($C6,'18 KMP- Tháng (Tâm)'!$D$41:$D$59,0))</f>
        <v>0.50913359242255996</v>
      </c>
      <c r="F6" s="1110">
        <f>INDEX('18 KMP- Tháng (Tâm)'!$AQ$40:$AQ$59,MATCH($C6,'18 KMP- Tháng (Tâm)'!$D$40:$D$59,0))</f>
        <v>0.35394856377166722</v>
      </c>
      <c r="G6" s="1049">
        <f t="shared" si="3"/>
        <v>0.15518502865089273</v>
      </c>
      <c r="H6" s="1044"/>
      <c r="I6" s="1044"/>
      <c r="J6" s="1048">
        <f t="shared" si="4"/>
        <v>0.15518502865089273</v>
      </c>
      <c r="K6" s="1044"/>
      <c r="L6" s="1044"/>
      <c r="N6" s="289">
        <f t="shared" si="2"/>
        <v>0.43843949244275743</v>
      </c>
    </row>
    <row r="7" spans="1:14">
      <c r="A7" s="1043">
        <v>4</v>
      </c>
      <c r="B7" s="1043" t="s">
        <v>430</v>
      </c>
      <c r="C7" s="1044" t="s">
        <v>431</v>
      </c>
      <c r="D7" s="1044" t="s">
        <v>426</v>
      </c>
      <c r="E7" s="1050">
        <f>INDEX('18 KMP- Tháng (Tâm)'!$BR$41:$BR$59,MATCH($C7,'18 KMP- Tháng (Tâm)'!$D$41:$D$59,0))</f>
        <v>0.3631170322860709</v>
      </c>
      <c r="F7" s="1050">
        <f>INDEX('18 KMP- Tháng (Tâm)'!$AQ$40:$AQ$59,MATCH($C7,'18 KMP- Tháng (Tâm)'!$D$40:$D$59,0))</f>
        <v>0.38434713500609036</v>
      </c>
      <c r="G7" s="1533">
        <f>E7-F7</f>
        <v>-2.1230102720019461E-2</v>
      </c>
      <c r="H7" s="1044"/>
      <c r="I7" s="1044"/>
      <c r="J7" s="1048">
        <f t="shared" si="4"/>
        <v>-2.1230102720019461E-2</v>
      </c>
      <c r="K7" s="1044"/>
      <c r="L7" s="1044"/>
      <c r="N7" s="289">
        <f t="shared" si="2"/>
        <v>-5.5236791916461275E-2</v>
      </c>
    </row>
    <row r="8" spans="1:14" hidden="1">
      <c r="A8" s="1043">
        <v>5</v>
      </c>
      <c r="B8" s="1043" t="s">
        <v>432</v>
      </c>
      <c r="C8" s="1044" t="s">
        <v>433</v>
      </c>
      <c r="D8" s="1044" t="s">
        <v>426</v>
      </c>
      <c r="E8" s="1050">
        <f>INDEX('18 KMP- Tháng (Tâm)'!$BR$41:$BR$59,MATCH($C8,'18 KMP- Tháng (Tâm)'!$D$41:$D$59,0))</f>
        <v>0.20573619396331566</v>
      </c>
      <c r="F8" s="1050">
        <f>INDEX('18 KMP- Tháng (Tâm)'!$AQ$40:$AQ$59,MATCH($C8,'18 KMP- Tháng (Tâm)'!$D$40:$D$59,0))</f>
        <v>0.19485262570948264</v>
      </c>
      <c r="G8" s="1049">
        <f t="shared" si="3"/>
        <v>1.088356825383302E-2</v>
      </c>
      <c r="H8" s="1044"/>
      <c r="I8" s="1044"/>
      <c r="J8" s="1048">
        <f t="shared" si="4"/>
        <v>1.088356825383302E-2</v>
      </c>
      <c r="K8" s="1044"/>
      <c r="L8" s="1044"/>
      <c r="N8" s="289">
        <f t="shared" si="2"/>
        <v>5.5855384109937421E-2</v>
      </c>
    </row>
    <row r="9" spans="1:14" hidden="1">
      <c r="A9" s="1043">
        <v>6</v>
      </c>
      <c r="B9" s="1043" t="s">
        <v>432</v>
      </c>
      <c r="C9" s="1044" t="s">
        <v>434</v>
      </c>
      <c r="D9" s="1044" t="s">
        <v>426</v>
      </c>
      <c r="E9" s="1050">
        <f>INDEX('18 KMP- Tháng (Tâm)'!$BR$41:$BR$59,MATCH($C9,'18 KMP- Tháng (Tâm)'!$D$41:$D$59,0))</f>
        <v>0.21143784126198115</v>
      </c>
      <c r="F9" s="1050">
        <f>INDEX('18 KMP- Tháng (Tâm)'!$AQ$40:$AQ$59,MATCH($C9,'18 KMP- Tháng (Tâm)'!$D$40:$D$59,0))</f>
        <v>0.18658236910573509</v>
      </c>
      <c r="G9" s="1049">
        <f t="shared" si="3"/>
        <v>2.4855472156246061E-2</v>
      </c>
      <c r="H9" s="1044"/>
      <c r="I9" s="1044"/>
      <c r="J9" s="1048">
        <f t="shared" si="4"/>
        <v>2.4855472156246061E-2</v>
      </c>
      <c r="K9" s="1044"/>
      <c r="L9" s="1044"/>
      <c r="N9" s="289">
        <f t="shared" si="2"/>
        <v>0.13321447399009398</v>
      </c>
    </row>
    <row r="10" spans="1:14" hidden="1">
      <c r="A10" s="1043">
        <v>7</v>
      </c>
      <c r="B10" s="1043" t="s">
        <v>432</v>
      </c>
      <c r="C10" s="1044" t="s">
        <v>435</v>
      </c>
      <c r="D10" s="1044" t="s">
        <v>426</v>
      </c>
      <c r="E10" s="1050">
        <f>INDEX('18 KMP- Tháng (Tâm)'!$BR$41:$BR$59,MATCH($C10,'18 KMP- Tháng (Tâm)'!$D$41:$D$59,0))</f>
        <v>8.0597361951392887E-2</v>
      </c>
      <c r="F10" s="1050">
        <f>INDEX('18 KMP- Tháng (Tâm)'!$AQ$40:$AQ$59,MATCH($C10,'18 KMP- Tháng (Tâm)'!$D$40:$D$59,0))</f>
        <v>5.9670505342240596E-2</v>
      </c>
      <c r="G10" s="1049">
        <f t="shared" si="3"/>
        <v>2.0926856609152292E-2</v>
      </c>
      <c r="H10" s="1044"/>
      <c r="I10" s="1044"/>
      <c r="J10" s="1048">
        <f t="shared" si="4"/>
        <v>2.0926856609152292E-2</v>
      </c>
      <c r="K10" s="1044"/>
      <c r="L10" s="1044"/>
      <c r="N10" s="289">
        <f t="shared" si="2"/>
        <v>0.3507068775289594</v>
      </c>
    </row>
    <row r="11" spans="1:14">
      <c r="A11" s="1043">
        <v>8</v>
      </c>
      <c r="B11" s="1043" t="s">
        <v>430</v>
      </c>
      <c r="C11" s="1044" t="s">
        <v>436</v>
      </c>
      <c r="D11" s="1044" t="s">
        <v>426</v>
      </c>
      <c r="E11" s="1050">
        <f>INDEX('18 KMP- Tháng (Tâm)'!$BR$41:$BR$59,MATCH($C11,'18 KMP- Tháng (Tâm)'!$D$41:$D$59,0))</f>
        <v>9.0127158877348235E-2</v>
      </c>
      <c r="F11" s="1050">
        <f>INDEX('18 KMP- Tháng (Tâm)'!$AQ$40:$AQ$59,MATCH($C11,'18 KMP- Tháng (Tâm)'!$D$40:$D$59,0))</f>
        <v>8.2818258735924938E-2</v>
      </c>
      <c r="G11" s="1533">
        <f>E11-F11</f>
        <v>7.3089001414232968E-3</v>
      </c>
      <c r="H11" s="1044"/>
      <c r="I11" s="1044"/>
      <c r="J11" s="1048">
        <f t="shared" si="4"/>
        <v>7.3089001414232968E-3</v>
      </c>
      <c r="K11" s="1044"/>
      <c r="L11" s="1044"/>
      <c r="N11" s="289">
        <f t="shared" si="2"/>
        <v>8.8252279786858637E-2</v>
      </c>
    </row>
    <row r="12" spans="1:14" hidden="1">
      <c r="A12" s="1043">
        <v>9</v>
      </c>
      <c r="B12" s="1043" t="s">
        <v>432</v>
      </c>
      <c r="C12" s="1044" t="s">
        <v>437</v>
      </c>
      <c r="D12" s="1044" t="s">
        <v>426</v>
      </c>
      <c r="E12" s="1050">
        <f>INDEX('18 KMP- Tháng (Tâm)'!$BR$41:$BR$59,MATCH($C12,'18 KMP- Tháng (Tâm)'!$D$41:$D$59,0))</f>
        <v>2.3905142377902151E-2</v>
      </c>
      <c r="F12" s="1050">
        <f>INDEX('18 KMP- Tháng (Tâm)'!$AQ$40:$AQ$59,MATCH($C12,'18 KMP- Tháng (Tâm)'!$D$40:$D$59,0))</f>
        <v>2.3539575467960615E-2</v>
      </c>
      <c r="G12" s="1049">
        <f t="shared" si="3"/>
        <v>3.6556690994153651E-4</v>
      </c>
      <c r="H12" s="1044"/>
      <c r="I12" s="1044"/>
      <c r="J12" s="1048">
        <f t="shared" si="4"/>
        <v>3.6556690994153651E-4</v>
      </c>
      <c r="K12" s="1044"/>
      <c r="L12" s="1044"/>
      <c r="N12" s="289">
        <f t="shared" si="2"/>
        <v>1.5529885423766647E-2</v>
      </c>
    </row>
    <row r="13" spans="1:14" hidden="1">
      <c r="A13" s="1043">
        <v>10</v>
      </c>
      <c r="B13" s="1043" t="s">
        <v>432</v>
      </c>
      <c r="C13" s="1044" t="s">
        <v>438</v>
      </c>
      <c r="D13" s="1044" t="s">
        <v>426</v>
      </c>
      <c r="E13" s="1050">
        <f>INDEX('18 KMP- Tháng (Tâm)'!$BR$41:$BR$59,MATCH($C13,'18 KMP- Tháng (Tâm)'!$D$41:$D$59,0))</f>
        <v>3.2312855447920626E-2</v>
      </c>
      <c r="F13" s="1050">
        <f>INDEX('18 KMP- Tháng (Tâm)'!$AQ$40:$AQ$59,MATCH($C13,'18 KMP- Tháng (Tâm)'!$D$40:$D$59,0))</f>
        <v>4.014621582572539E-2</v>
      </c>
      <c r="G13" s="1049">
        <f t="shared" si="3"/>
        <v>-7.8333603778047642E-3</v>
      </c>
      <c r="H13" s="1044"/>
      <c r="I13" s="1044"/>
      <c r="J13" s="1048">
        <f t="shared" si="4"/>
        <v>-7.8333603778047642E-3</v>
      </c>
      <c r="K13" s="1044"/>
      <c r="L13" s="1044"/>
      <c r="N13" s="289">
        <f t="shared" si="2"/>
        <v>-0.19512076584775412</v>
      </c>
    </row>
    <row r="14" spans="1:14" hidden="1">
      <c r="A14" s="1043">
        <v>11</v>
      </c>
      <c r="B14" s="1043" t="s">
        <v>432</v>
      </c>
      <c r="C14" s="1044" t="s">
        <v>439</v>
      </c>
      <c r="D14" s="1044" t="s">
        <v>426</v>
      </c>
      <c r="E14" s="1050">
        <f>INDEX('18 KMP- Tháng (Tâm)'!$BR$41:$BR$59,MATCH($C14,'18 KMP- Tháng (Tâm)'!$D$41:$D$59,0))</f>
        <v>2.3792919537859593E-2</v>
      </c>
      <c r="F14" s="1050">
        <f>INDEX('18 KMP- Tháng (Tâm)'!$AQ$40:$AQ$59,MATCH($C14,'18 KMP- Tháng (Tâm)'!$D$40:$D$59,0))</f>
        <v>1.7607301929225636E-2</v>
      </c>
      <c r="G14" s="1049">
        <f t="shared" si="3"/>
        <v>6.1856176086339566E-3</v>
      </c>
      <c r="H14" s="1044"/>
      <c r="I14" s="1044"/>
      <c r="J14" s="1048">
        <f t="shared" si="4"/>
        <v>6.1856176086339566E-3</v>
      </c>
      <c r="K14" s="1044"/>
      <c r="L14" s="1044"/>
      <c r="N14" s="289">
        <f t="shared" si="2"/>
        <v>0.35130979371499871</v>
      </c>
    </row>
    <row r="15" spans="1:14" s="279" customFormat="1" hidden="1">
      <c r="A15" s="1114"/>
      <c r="B15" s="1038"/>
      <c r="C15" s="1039"/>
      <c r="D15" s="1039"/>
      <c r="E15" s="1051"/>
      <c r="F15" s="1051"/>
      <c r="G15" s="1040"/>
      <c r="H15" s="1041"/>
      <c r="I15" s="1039"/>
      <c r="J15" s="1039"/>
      <c r="K15" s="1039"/>
      <c r="L15" s="1039"/>
      <c r="N15" s="292"/>
    </row>
    <row r="16" spans="1:14" s="279" customFormat="1" hidden="1">
      <c r="A16" s="1114"/>
      <c r="B16" s="1038"/>
      <c r="C16" s="1039" t="s">
        <v>440</v>
      </c>
      <c r="D16" s="1039" t="s">
        <v>426</v>
      </c>
      <c r="E16" s="1051">
        <f>SUM(E17:E23)</f>
        <v>9.3027895622557306</v>
      </c>
      <c r="F16" s="1051">
        <f>SUM(F17:F23)</f>
        <v>8.953457226118811</v>
      </c>
      <c r="G16" s="1040">
        <f>SUM(G17:G23)</f>
        <v>0.34933233613691966</v>
      </c>
      <c r="H16" s="1051">
        <f>SUM(H17:H23)</f>
        <v>0</v>
      </c>
      <c r="I16" s="1039"/>
      <c r="J16" s="1039"/>
      <c r="K16" s="1040">
        <f>SUM(K17:K23)</f>
        <v>1.0787518262252311</v>
      </c>
      <c r="L16" s="1040">
        <f>SUM(L17:L23)</f>
        <v>-0.72941949008831108</v>
      </c>
      <c r="N16" s="288">
        <f t="shared" ref="N16:N23" si="5">G16/F16</f>
        <v>3.9016474565585206E-2</v>
      </c>
    </row>
    <row r="17" spans="1:16" hidden="1">
      <c r="A17" s="1043">
        <v>1</v>
      </c>
      <c r="B17" s="1043" t="s">
        <v>441</v>
      </c>
      <c r="C17" s="1044" t="s">
        <v>441</v>
      </c>
      <c r="D17" s="1044" t="s">
        <v>426</v>
      </c>
      <c r="E17" s="1052">
        <f>E29/E$37</f>
        <v>2.7587156784289681</v>
      </c>
      <c r="F17" s="1052">
        <f t="shared" ref="F17:F23" si="6">F29/F$37</f>
        <v>2.1726815716690489</v>
      </c>
      <c r="G17" s="1049">
        <f>E17-F17</f>
        <v>0.58603410675991929</v>
      </c>
      <c r="H17" s="1052"/>
      <c r="I17" s="1049">
        <v>1.6322801203399739</v>
      </c>
      <c r="J17" s="1044"/>
      <c r="K17" s="1049">
        <f t="shared" ref="K17:K23" si="7">F29/$E$37-F29/$F$37</f>
        <v>0.26177421235750842</v>
      </c>
      <c r="L17" s="1049">
        <f t="shared" ref="L17:L23" si="8">G29/E$37</f>
        <v>0.32425989440241126</v>
      </c>
      <c r="N17" s="289">
        <f t="shared" si="5"/>
        <v>0.26972848410074618</v>
      </c>
    </row>
    <row r="18" spans="1:16" hidden="1">
      <c r="A18" s="1043">
        <v>2</v>
      </c>
      <c r="B18" s="1043" t="s">
        <v>442</v>
      </c>
      <c r="C18" s="1044" t="s">
        <v>442</v>
      </c>
      <c r="D18" s="1044" t="s">
        <v>426</v>
      </c>
      <c r="E18" s="1052">
        <f>E30/E$37</f>
        <v>4.2186538688181878</v>
      </c>
      <c r="F18" s="1052">
        <f t="shared" si="6"/>
        <v>3.8175230472634105</v>
      </c>
      <c r="G18" s="1049">
        <f t="shared" ref="G18:G23" si="9">E18-F18</f>
        <v>0.40113082155477731</v>
      </c>
      <c r="H18" s="1052"/>
      <c r="I18" s="1049">
        <v>3.7314619481517917</v>
      </c>
      <c r="J18" s="1044"/>
      <c r="K18" s="1049">
        <f t="shared" si="7"/>
        <v>0.45995193307886861</v>
      </c>
      <c r="L18" s="1049">
        <f>G30/E$37</f>
        <v>-5.8821111524091349E-2</v>
      </c>
      <c r="N18" s="289">
        <f t="shared" si="5"/>
        <v>0.10507620165969338</v>
      </c>
    </row>
    <row r="19" spans="1:16" hidden="1">
      <c r="A19" s="1043">
        <v>3</v>
      </c>
      <c r="B19" s="1043" t="s">
        <v>443</v>
      </c>
      <c r="C19" s="1044" t="s">
        <v>443</v>
      </c>
      <c r="D19" s="1044" t="s">
        <v>426</v>
      </c>
      <c r="E19" s="1052">
        <f t="shared" ref="E19:E23" si="10">E31/E$37</f>
        <v>0.64791080315610339</v>
      </c>
      <c r="F19" s="1052">
        <f t="shared" si="6"/>
        <v>1.0856965759960384</v>
      </c>
      <c r="G19" s="1049">
        <f t="shared" si="9"/>
        <v>-0.43778577283993503</v>
      </c>
      <c r="H19" s="1052"/>
      <c r="I19" s="1049">
        <v>1.1319395041250686</v>
      </c>
      <c r="J19" s="1044"/>
      <c r="K19" s="1049">
        <f t="shared" si="7"/>
        <v>0.13080948894976774</v>
      </c>
      <c r="L19" s="1049">
        <f t="shared" si="8"/>
        <v>-0.56859526178970288</v>
      </c>
      <c r="N19" s="289">
        <f t="shared" si="5"/>
        <v>-0.40323031546664145</v>
      </c>
    </row>
    <row r="20" spans="1:16" hidden="1">
      <c r="A20" s="1043">
        <v>4</v>
      </c>
      <c r="B20" s="1043" t="s">
        <v>444</v>
      </c>
      <c r="C20" s="1044" t="s">
        <v>444</v>
      </c>
      <c r="D20" s="1044" t="s">
        <v>426</v>
      </c>
      <c r="E20" s="1052">
        <f t="shared" si="10"/>
        <v>0.91111535092519513</v>
      </c>
      <c r="F20" s="1052">
        <f t="shared" si="6"/>
        <v>1.0043486235017731</v>
      </c>
      <c r="G20" s="1049">
        <f t="shared" si="9"/>
        <v>-9.3233272576577986E-2</v>
      </c>
      <c r="H20" s="1052"/>
      <c r="I20" s="1049">
        <v>0.88504770037803593</v>
      </c>
      <c r="J20" s="1044"/>
      <c r="K20" s="1049">
        <f t="shared" si="7"/>
        <v>0.12100833057075877</v>
      </c>
      <c r="L20" s="1049">
        <f t="shared" si="8"/>
        <v>-0.21424160314733678</v>
      </c>
      <c r="N20" s="289">
        <f t="shared" si="5"/>
        <v>-9.2829591632743833E-2</v>
      </c>
    </row>
    <row r="21" spans="1:16" hidden="1">
      <c r="A21" s="1043">
        <v>5</v>
      </c>
      <c r="B21" s="1043" t="s">
        <v>445</v>
      </c>
      <c r="C21" s="1044" t="s">
        <v>445</v>
      </c>
      <c r="D21" s="1044" t="s">
        <v>426</v>
      </c>
      <c r="E21" s="1052">
        <f t="shared" si="10"/>
        <v>0.17225936790039134</v>
      </c>
      <c r="F21" s="1052">
        <f t="shared" si="6"/>
        <v>0.25359604392146062</v>
      </c>
      <c r="G21" s="1049">
        <f t="shared" si="9"/>
        <v>-8.1336676021069282E-2</v>
      </c>
      <c r="H21" s="1052"/>
      <c r="I21" s="1049">
        <v>0.28185147549829048</v>
      </c>
      <c r="J21" s="1044"/>
      <c r="K21" s="1049">
        <f t="shared" si="7"/>
        <v>3.0554364486795771E-2</v>
      </c>
      <c r="L21" s="1049">
        <f t="shared" si="8"/>
        <v>-0.11189104050786507</v>
      </c>
      <c r="N21" s="289">
        <f t="shared" si="5"/>
        <v>-0.32073322108391988</v>
      </c>
    </row>
    <row r="22" spans="1:16" hidden="1">
      <c r="A22" s="1043">
        <v>6</v>
      </c>
      <c r="B22" s="1043" t="s">
        <v>446</v>
      </c>
      <c r="C22" s="1044" t="s">
        <v>446</v>
      </c>
      <c r="D22" s="1044" t="s">
        <v>426</v>
      </c>
      <c r="E22" s="1052">
        <f t="shared" si="10"/>
        <v>0.28347409363433013</v>
      </c>
      <c r="F22" s="1052">
        <f t="shared" si="6"/>
        <v>0.30611705046950782</v>
      </c>
      <c r="G22" s="1049">
        <f t="shared" si="9"/>
        <v>-2.2642956835177697E-2</v>
      </c>
      <c r="H22" s="1052"/>
      <c r="I22" s="1049">
        <v>0.31128569990324767</v>
      </c>
      <c r="J22" s="1044"/>
      <c r="K22" s="1049">
        <f t="shared" si="7"/>
        <v>3.6882325887405809E-2</v>
      </c>
      <c r="L22" s="1049">
        <f t="shared" si="8"/>
        <v>-5.9525282722583527E-2</v>
      </c>
      <c r="N22" s="289">
        <f t="shared" si="5"/>
        <v>-7.3968296768994093E-2</v>
      </c>
    </row>
    <row r="23" spans="1:16" hidden="1">
      <c r="A23" s="1043">
        <v>7</v>
      </c>
      <c r="B23" s="1043" t="s">
        <v>447</v>
      </c>
      <c r="C23" s="1044" t="s">
        <v>447</v>
      </c>
      <c r="D23" s="1044" t="s">
        <v>426</v>
      </c>
      <c r="E23" s="1052">
        <f t="shared" si="10"/>
        <v>0.31066039939255502</v>
      </c>
      <c r="F23" s="1052">
        <f t="shared" si="6"/>
        <v>0.31349431329757194</v>
      </c>
      <c r="G23" s="1049">
        <f t="shared" si="9"/>
        <v>-2.833913905016916E-3</v>
      </c>
      <c r="H23" s="1052"/>
      <c r="I23" s="1049">
        <v>0.26304225089270827</v>
      </c>
      <c r="J23" s="1044"/>
      <c r="K23" s="1049">
        <f t="shared" si="7"/>
        <v>3.7771170894125905E-2</v>
      </c>
      <c r="L23" s="1049">
        <f t="shared" si="8"/>
        <v>-4.0605084799142835E-2</v>
      </c>
      <c r="N23" s="289">
        <f t="shared" si="5"/>
        <v>-9.0397617590177361E-3</v>
      </c>
    </row>
    <row r="24" spans="1:16" ht="15" hidden="1" thickBot="1">
      <c r="A24" s="1115"/>
      <c r="B24" s="1057"/>
      <c r="C24" s="1058"/>
      <c r="D24" s="1058"/>
      <c r="E24" s="1058"/>
      <c r="F24" s="1058"/>
      <c r="G24" s="1058"/>
      <c r="H24" s="1058"/>
      <c r="I24" s="1058"/>
      <c r="J24" s="1058"/>
      <c r="K24" s="1058"/>
      <c r="L24" s="1058"/>
      <c r="N24" s="294"/>
    </row>
    <row r="25" spans="1:16" ht="15" hidden="1" thickBot="1">
      <c r="C25" s="146" t="s">
        <v>338</v>
      </c>
      <c r="D25" s="146" t="s">
        <v>426</v>
      </c>
      <c r="E25" s="295">
        <f>E3+E16</f>
        <v>30.648168036270789</v>
      </c>
      <c r="F25" s="295">
        <f>F3+F16</f>
        <v>31.490636391395718</v>
      </c>
      <c r="G25" s="295">
        <f>G3+G16</f>
        <v>-0.84246835512492879</v>
      </c>
      <c r="H25" s="295"/>
      <c r="I25" s="295"/>
      <c r="J25" s="295"/>
      <c r="K25" s="295"/>
      <c r="L25" s="295"/>
      <c r="N25" s="288">
        <f>G25/F25</f>
        <v>-2.6752979668429915E-2</v>
      </c>
    </row>
    <row r="26" spans="1:16" s="147" customFormat="1" hidden="1">
      <c r="A26" s="1116"/>
      <c r="B26" s="296"/>
      <c r="C26" s="147" t="s">
        <v>340</v>
      </c>
      <c r="E26" s="297">
        <f>E25-'18 KMP- Tháng (Tâm)'!BR60</f>
        <v>0</v>
      </c>
      <c r="F26" s="297">
        <f>F25-'18 KMP- Tháng (Tâm)'!AQ60</f>
        <v>0</v>
      </c>
    </row>
    <row r="28" spans="1:16">
      <c r="C28" s="279" t="s">
        <v>440</v>
      </c>
      <c r="D28" s="279" t="s">
        <v>448</v>
      </c>
      <c r="E28" s="145">
        <f>SUM(E29:E35)</f>
        <v>31484.594773600002</v>
      </c>
      <c r="F28" s="145">
        <f>SUM(F29:F35)</f>
        <v>33953.260426166664</v>
      </c>
      <c r="G28" s="298">
        <f>E28-F28</f>
        <v>-2468.6656525666622</v>
      </c>
    </row>
    <row r="29" spans="1:16">
      <c r="C29" t="s">
        <v>441</v>
      </c>
      <c r="D29" t="s">
        <v>449</v>
      </c>
      <c r="E29" s="402">
        <f>INDEX('18 KMP- Tháng (Tâm)'!$BR$10:$BR$28,MATCH($C29,'18 KMP- Tháng (Tâm)'!$D$10:$D$28,0))</f>
        <v>9336.6666686000008</v>
      </c>
      <c r="F29" s="402">
        <f>INDEX('18 KMP- Tháng (Tâm)'!$AQ$10:$AQ$28,MATCH($C29,'18 KMP- Tháng (Tâm)'!$D$10:$D$28,0))</f>
        <v>8239.2333333333336</v>
      </c>
      <c r="G29" s="404">
        <f t="shared" ref="G29:G35" si="11">E29-F29</f>
        <v>1097.4333352666672</v>
      </c>
      <c r="O29" s="143"/>
      <c r="P29" s="143"/>
    </row>
    <row r="30" spans="1:16">
      <c r="C30" t="s">
        <v>442</v>
      </c>
      <c r="D30" t="s">
        <v>449</v>
      </c>
      <c r="E30" s="143">
        <f>INDEX('18 KMP- Tháng (Tâm)'!$BR$10:$BR$28,MATCH($C30,'18 KMP- Tháng (Tâm)'!$D$10:$D$28,0))</f>
        <v>14277.718168400001</v>
      </c>
      <c r="F30" s="143">
        <f>INDEX('18 KMP- Tháng (Tâm)'!$AQ$10:$AQ$28,MATCH($C30,'18 KMP- Tháng (Tâm)'!$D$10:$D$28,0))</f>
        <v>14476.793816416668</v>
      </c>
      <c r="G30" s="144">
        <f t="shared" si="11"/>
        <v>-199.0756480166674</v>
      </c>
      <c r="H30" s="144"/>
    </row>
    <row r="31" spans="1:16">
      <c r="C31" t="s">
        <v>443</v>
      </c>
      <c r="D31" t="s">
        <v>449</v>
      </c>
      <c r="E31" s="143">
        <f>INDEX('18 KMP- Tháng (Tâm)'!$BR$10:$BR$28,MATCH($C31,'18 KMP- Tháng (Tâm)'!$D$10:$D$28,0))</f>
        <v>2192.8056041999998</v>
      </c>
      <c r="F31" s="143">
        <f>INDEX('18 KMP- Tháng (Tâm)'!$AQ$10:$AQ$28,MATCH($C31,'18 KMP- Tháng (Tâm)'!$D$10:$D$28,0))</f>
        <v>4117.1736969999993</v>
      </c>
      <c r="G31" s="144">
        <f t="shared" si="11"/>
        <v>-1924.3680927999994</v>
      </c>
    </row>
    <row r="32" spans="1:16">
      <c r="C32" t="s">
        <v>444</v>
      </c>
      <c r="D32" t="s">
        <v>449</v>
      </c>
      <c r="E32" s="143">
        <f>INDEX('18 KMP- Tháng (Tâm)'!$BR$10:$BR$28,MATCH($C32,'18 KMP- Tháng (Tâm)'!$D$10:$D$28,0))</f>
        <v>3083.6016899999995</v>
      </c>
      <c r="F32" s="143">
        <f>INDEX('18 KMP- Tháng (Tâm)'!$AQ$10:$AQ$28,MATCH($C32,'18 KMP- Tháng (Tâm)'!$D$10:$D$28,0))</f>
        <v>3808.6863555833334</v>
      </c>
      <c r="G32" s="144">
        <f t="shared" si="11"/>
        <v>-725.08466558333384</v>
      </c>
    </row>
    <row r="33" spans="1:8">
      <c r="C33" t="s">
        <v>445</v>
      </c>
      <c r="D33" t="s">
        <v>449</v>
      </c>
      <c r="E33" s="143">
        <f>INDEX('18 KMP- Tháng (Tâm)'!$BR$10:$BR$28,MATCH($C33,'18 KMP- Tháng (Tâm)'!$D$10:$D$28,0))</f>
        <v>582.99893359999987</v>
      </c>
      <c r="F33" s="143">
        <f>INDEX('18 KMP- Tháng (Tâm)'!$AQ$10:$AQ$28,MATCH($C33,'18 KMP- Tháng (Tâm)'!$D$10:$D$28,0))</f>
        <v>961.68578291666643</v>
      </c>
      <c r="G33" s="144">
        <f>E33-F33</f>
        <v>-378.68684931666655</v>
      </c>
    </row>
    <row r="34" spans="1:8">
      <c r="C34" t="s">
        <v>446</v>
      </c>
      <c r="D34" t="s">
        <v>449</v>
      </c>
      <c r="E34" s="143">
        <f>INDEX('18 KMP- Tháng (Tâm)'!$BR$10:$BR$28,MATCH($C34,'18 KMP- Tháng (Tâm)'!$D$10:$D$28,0))</f>
        <v>959.39684620000003</v>
      </c>
      <c r="F34" s="143">
        <f>INDEX('18 KMP- Tháng (Tâm)'!$AQ$10:$AQ$28,MATCH($C34,'18 KMP- Tháng (Tâm)'!$D$10:$D$28,0))</f>
        <v>1160.8557089166666</v>
      </c>
      <c r="G34" s="144">
        <f t="shared" si="11"/>
        <v>-201.45886271666654</v>
      </c>
    </row>
    <row r="35" spans="1:8">
      <c r="C35" t="s">
        <v>447</v>
      </c>
      <c r="D35" t="s">
        <v>449</v>
      </c>
      <c r="E35" s="143">
        <f>INDEX('18 KMP- Tháng (Tâm)'!$BR$10:$BR$28,MATCH($C35,'18 KMP- Tháng (Tâm)'!$D$10:$D$28,0))</f>
        <v>1051.4068626000001</v>
      </c>
      <c r="F35" s="143">
        <f>INDEX('18 KMP- Tháng (Tâm)'!$AQ$10:$AQ$28,MATCH($C35,'18 KMP- Tháng (Tâm)'!$D$10:$D$28,0))</f>
        <v>1188.8317320000001</v>
      </c>
      <c r="G35" s="144">
        <f t="shared" si="11"/>
        <v>-137.42486940000003</v>
      </c>
    </row>
    <row r="36" spans="1:8">
      <c r="E36" s="143"/>
      <c r="F36" s="143"/>
      <c r="G36" s="144"/>
    </row>
    <row r="37" spans="1:8" s="279" customFormat="1">
      <c r="A37" s="1117"/>
      <c r="B37" s="287"/>
      <c r="C37" s="279" t="s">
        <v>450</v>
      </c>
      <c r="D37" s="279" t="s">
        <v>451</v>
      </c>
      <c r="E37" s="145">
        <f>'18 KMP- Tháng (Tâm)'!BR62</f>
        <v>3384.4251300000005</v>
      </c>
      <c r="F37" s="145">
        <f>'18 KMP- Tháng (Tâm)'!AQ31</f>
        <v>3792.1955249999996</v>
      </c>
      <c r="G37" s="145">
        <f>E37-F37</f>
        <v>-407.7703949999991</v>
      </c>
      <c r="H37" s="575">
        <f>G37/F37</f>
        <v>-0.10752884241115156</v>
      </c>
    </row>
    <row r="38" spans="1:8">
      <c r="E38" s="291">
        <f>$F$28/E37</f>
        <v>10.032209052344042</v>
      </c>
      <c r="F38" s="291">
        <f>$F$28/F37</f>
        <v>8.953457226118811</v>
      </c>
    </row>
    <row r="39" spans="1:8">
      <c r="E39" s="143"/>
      <c r="F39" s="143"/>
    </row>
    <row r="40" spans="1:8">
      <c r="F40" s="144"/>
    </row>
    <row r="41" spans="1:8">
      <c r="C41" s="292" t="s">
        <v>452</v>
      </c>
      <c r="D41" s="294"/>
      <c r="F41" s="1226"/>
    </row>
    <row r="42" spans="1:8">
      <c r="C42" s="294" t="s">
        <v>425</v>
      </c>
      <c r="D42" s="300">
        <f>E3-F3</f>
        <v>-1.1918006912618466</v>
      </c>
      <c r="E42" s="279"/>
      <c r="F42" s="279"/>
    </row>
    <row r="43" spans="1:8">
      <c r="C43" s="294" t="s">
        <v>453</v>
      </c>
      <c r="D43" s="301">
        <f>F28/E37-F28/F37</f>
        <v>1.0787518262252309</v>
      </c>
      <c r="E43" s="291">
        <f>SUM(D43:D44)</f>
        <v>0.34933233613692105</v>
      </c>
      <c r="F43" s="143"/>
    </row>
    <row r="44" spans="1:8" ht="15" thickBot="1">
      <c r="C44" s="294" t="s">
        <v>440</v>
      </c>
      <c r="D44" s="302">
        <f>G28/E37</f>
        <v>-0.72941949008830986</v>
      </c>
      <c r="E44" s="143"/>
      <c r="F44" s="143"/>
    </row>
    <row r="45" spans="1:8" ht="15" thickBot="1">
      <c r="C45" s="303" t="s">
        <v>454</v>
      </c>
      <c r="D45" s="304">
        <f>SUM(D42:D44)</f>
        <v>-0.84246835512492557</v>
      </c>
      <c r="E45" s="143"/>
      <c r="F45" s="143"/>
    </row>
    <row r="46" spans="1:8">
      <c r="C46" s="147" t="s">
        <v>340</v>
      </c>
      <c r="D46" s="297">
        <f>D45-G25</f>
        <v>3.219646771412954E-15</v>
      </c>
      <c r="E46" s="143"/>
      <c r="F46" s="143"/>
    </row>
    <row r="47" spans="1:8">
      <c r="E47" s="143"/>
      <c r="F47" s="143"/>
    </row>
    <row r="48" spans="1:8">
      <c r="B48" s="305" t="s">
        <v>869</v>
      </c>
      <c r="C48" s="292" t="s">
        <v>455</v>
      </c>
      <c r="D48" s="292"/>
      <c r="E48" s="306">
        <f>F25</f>
        <v>31.490636391395718</v>
      </c>
      <c r="F48" s="143"/>
    </row>
    <row r="49" spans="1:6">
      <c r="A49" s="1111" t="s">
        <v>923</v>
      </c>
      <c r="B49" s="307" t="s">
        <v>425</v>
      </c>
      <c r="C49" s="294" t="s">
        <v>923</v>
      </c>
      <c r="D49" s="294" t="s">
        <v>456</v>
      </c>
      <c r="E49" s="308">
        <f>H4</f>
        <v>-1.2337308782231169</v>
      </c>
    </row>
    <row r="50" spans="1:6">
      <c r="A50" s="1111" t="s">
        <v>923</v>
      </c>
      <c r="B50" s="307"/>
      <c r="C50" s="294"/>
      <c r="D50" s="294" t="s">
        <v>416</v>
      </c>
      <c r="E50" s="308">
        <f>I4</f>
        <v>-2.7009228250410189E-2</v>
      </c>
    </row>
    <row r="51" spans="1:6">
      <c r="A51" s="1111" t="s">
        <v>428</v>
      </c>
      <c r="B51" s="307"/>
      <c r="C51" s="294" t="s">
        <v>428</v>
      </c>
      <c r="D51" s="294"/>
      <c r="E51" s="308">
        <f>SUMIFS($G$4:$G$24,$B$4:$B$24,$C51)</f>
        <v>-0.12770813202061992</v>
      </c>
      <c r="F51" s="143"/>
    </row>
    <row r="52" spans="1:6">
      <c r="A52" s="1111" t="s">
        <v>429</v>
      </c>
      <c r="B52" s="307"/>
      <c r="C52" s="294" t="s">
        <v>429</v>
      </c>
      <c r="D52" s="294"/>
      <c r="E52" s="308">
        <f>SUMIFS($G$4:$G$24,$B$4:$B$24,$C52)</f>
        <v>0.15518502865089273</v>
      </c>
      <c r="F52" s="143"/>
    </row>
    <row r="53" spans="1:6">
      <c r="A53" s="1111" t="s">
        <v>430</v>
      </c>
      <c r="B53" s="307"/>
      <c r="C53" s="294" t="s">
        <v>430</v>
      </c>
      <c r="D53" s="294"/>
      <c r="E53" s="308">
        <f>SUMIFS($G$4:$G$24,$B$4:$B$24,$C53)</f>
        <v>-1.3921202578596165E-2</v>
      </c>
      <c r="F53" s="143"/>
    </row>
    <row r="54" spans="1:6">
      <c r="A54" s="1111" t="s">
        <v>432</v>
      </c>
      <c r="B54" s="307"/>
      <c r="C54" s="294" t="s">
        <v>432</v>
      </c>
      <c r="D54" s="294"/>
      <c r="E54" s="308">
        <f>SUMIFS($G$4:$G$24,$B$4:$B$24,$C54)</f>
        <v>5.5383721160002106E-2</v>
      </c>
      <c r="F54" s="143"/>
    </row>
    <row r="55" spans="1:6">
      <c r="A55" s="1111" t="s">
        <v>453</v>
      </c>
      <c r="B55" s="307" t="s">
        <v>453</v>
      </c>
      <c r="C55" s="294" t="s">
        <v>455</v>
      </c>
      <c r="D55" s="294"/>
      <c r="E55" s="300">
        <f>K16</f>
        <v>1.0787518262252311</v>
      </c>
    </row>
    <row r="56" spans="1:6">
      <c r="A56" s="1111" t="s">
        <v>441</v>
      </c>
      <c r="B56" s="307" t="s">
        <v>440</v>
      </c>
      <c r="C56" s="294" t="s">
        <v>441</v>
      </c>
      <c r="D56" s="294"/>
      <c r="E56" s="308">
        <f t="shared" ref="E56:E62" si="12">SUMIFS($L$4:$L$24,$B$4:$B$24,$C56)</f>
        <v>0.32425989440241126</v>
      </c>
    </row>
    <row r="57" spans="1:6">
      <c r="A57" s="1111" t="s">
        <v>442</v>
      </c>
      <c r="B57" s="309"/>
      <c r="C57" s="294" t="s">
        <v>442</v>
      </c>
      <c r="D57" s="294"/>
      <c r="E57" s="308">
        <f>SUMIFS($L$4:$L$24,$B$4:$B$24,$C57)</f>
        <v>-5.8821111524091349E-2</v>
      </c>
    </row>
    <row r="58" spans="1:6">
      <c r="A58" s="1111" t="s">
        <v>443</v>
      </c>
      <c r="B58" s="309"/>
      <c r="C58" s="294" t="s">
        <v>443</v>
      </c>
      <c r="D58" s="294"/>
      <c r="E58" s="308">
        <f t="shared" si="12"/>
        <v>-0.56859526178970288</v>
      </c>
    </row>
    <row r="59" spans="1:6">
      <c r="A59" s="1111" t="s">
        <v>444</v>
      </c>
      <c r="B59" s="309"/>
      <c r="C59" s="294" t="s">
        <v>444</v>
      </c>
      <c r="D59" s="294"/>
      <c r="E59" s="308">
        <f t="shared" si="12"/>
        <v>-0.21424160314733678</v>
      </c>
    </row>
    <row r="60" spans="1:6">
      <c r="A60" s="1111" t="s">
        <v>445</v>
      </c>
      <c r="B60" s="309"/>
      <c r="C60" s="294" t="s">
        <v>445</v>
      </c>
      <c r="D60" s="294"/>
      <c r="E60" s="308">
        <f t="shared" si="12"/>
        <v>-0.11189104050786507</v>
      </c>
    </row>
    <row r="61" spans="1:6">
      <c r="A61" s="1111" t="s">
        <v>446</v>
      </c>
      <c r="B61" s="309"/>
      <c r="C61" s="294" t="s">
        <v>446</v>
      </c>
      <c r="D61" s="294"/>
      <c r="E61" s="308">
        <f t="shared" si="12"/>
        <v>-5.9525282722583527E-2</v>
      </c>
    </row>
    <row r="62" spans="1:6">
      <c r="A62" s="1111" t="s">
        <v>447</v>
      </c>
      <c r="B62" s="309"/>
      <c r="C62" s="294" t="s">
        <v>447</v>
      </c>
      <c r="D62" s="294"/>
      <c r="E62" s="308">
        <f t="shared" si="12"/>
        <v>-4.0605084799142835E-2</v>
      </c>
    </row>
    <row r="63" spans="1:6">
      <c r="B63" s="292" t="str">
        <f>"Tháng "&amp;TEXT($E$1,"00")&amp;"/24"</f>
        <v>Tháng 05/24</v>
      </c>
      <c r="C63" s="292"/>
      <c r="D63" s="292"/>
      <c r="E63" s="306">
        <f>SUM(E48:E62)</f>
        <v>30.648168036270793</v>
      </c>
      <c r="F63" s="290">
        <f>E63-E25</f>
        <v>0</v>
      </c>
    </row>
    <row r="64" spans="1:6" ht="15" thickBot="1"/>
    <row r="65" spans="2:11">
      <c r="B65" s="354" t="s">
        <v>457</v>
      </c>
      <c r="C65" s="355"/>
      <c r="D65" s="355"/>
      <c r="E65" s="355"/>
      <c r="F65" s="355"/>
      <c r="G65" s="355"/>
      <c r="H65" s="355"/>
      <c r="I65" s="355"/>
      <c r="J65" s="355"/>
      <c r="K65" s="356"/>
    </row>
    <row r="66" spans="2:11" ht="43.5">
      <c r="B66" s="357"/>
      <c r="C66" s="358"/>
      <c r="D66" s="358"/>
      <c r="E66" s="359" t="s">
        <v>458</v>
      </c>
      <c r="F66" s="359" t="s">
        <v>459</v>
      </c>
      <c r="G66" s="360" t="s">
        <v>460</v>
      </c>
      <c r="H66" s="360" t="s">
        <v>461</v>
      </c>
      <c r="I66" s="359" t="s">
        <v>462</v>
      </c>
      <c r="J66" s="359"/>
      <c r="K66" s="361"/>
    </row>
    <row r="67" spans="2:11">
      <c r="B67" s="362" t="s">
        <v>1055</v>
      </c>
      <c r="C67" s="358"/>
      <c r="D67" s="358"/>
      <c r="E67" s="363">
        <f>E48</f>
        <v>31.490636391395718</v>
      </c>
      <c r="F67" s="358"/>
      <c r="G67" s="358"/>
      <c r="H67" s="358"/>
      <c r="I67" s="358"/>
      <c r="J67" s="358"/>
      <c r="K67" s="361"/>
    </row>
    <row r="68" spans="2:11">
      <c r="B68" s="362" t="s">
        <v>425</v>
      </c>
      <c r="C68" s="358" t="s">
        <v>923</v>
      </c>
      <c r="D68" s="358" t="s">
        <v>456</v>
      </c>
      <c r="E68" s="358"/>
      <c r="F68" s="363">
        <f>E67-H68</f>
        <v>30.256905513172601</v>
      </c>
      <c r="G68" s="364">
        <f>IF(K68&gt;0,K68,0)</f>
        <v>0</v>
      </c>
      <c r="H68" s="365">
        <f>IF(K68&lt;0,-K68,0)</f>
        <v>1.2337308782231169</v>
      </c>
      <c r="I68" s="358"/>
      <c r="J68" s="358"/>
      <c r="K68" s="366">
        <f t="shared" ref="K68:K82" si="13">E49</f>
        <v>-1.2337308782231169</v>
      </c>
    </row>
    <row r="69" spans="2:11">
      <c r="B69" s="362"/>
      <c r="C69" s="358"/>
      <c r="D69" s="358" t="s">
        <v>416</v>
      </c>
      <c r="E69" s="358"/>
      <c r="F69" s="363">
        <f>F68+G68-H69</f>
        <v>30.229896284922191</v>
      </c>
      <c r="G69" s="364">
        <f>IF(K69&gt;0,K69,0)</f>
        <v>0</v>
      </c>
      <c r="H69" s="365">
        <f>IF(K69&lt;0,-K69,0)</f>
        <v>2.7009228250410189E-2</v>
      </c>
      <c r="I69" s="358"/>
      <c r="J69" s="358"/>
      <c r="K69" s="366">
        <f t="shared" si="13"/>
        <v>-2.7009228250410189E-2</v>
      </c>
    </row>
    <row r="70" spans="2:11">
      <c r="B70" s="362"/>
      <c r="C70" s="358" t="s">
        <v>428</v>
      </c>
      <c r="D70" s="358"/>
      <c r="E70" s="358"/>
      <c r="F70" s="363">
        <f t="shared" ref="F70:F81" si="14">F69+G69-H70</f>
        <v>30.102188152901572</v>
      </c>
      <c r="G70" s="364">
        <f t="shared" ref="G70:G81" si="15">IF(K70&gt;0,K70,0)</f>
        <v>0</v>
      </c>
      <c r="H70" s="365">
        <f t="shared" ref="H70:H81" si="16">IF(K70&lt;0,-K70,0)</f>
        <v>0.12770813202061992</v>
      </c>
      <c r="I70" s="358"/>
      <c r="J70" s="358"/>
      <c r="K70" s="366">
        <f t="shared" si="13"/>
        <v>-0.12770813202061992</v>
      </c>
    </row>
    <row r="71" spans="2:11">
      <c r="B71" s="362"/>
      <c r="C71" s="358" t="s">
        <v>429</v>
      </c>
      <c r="D71" s="358"/>
      <c r="E71" s="358"/>
      <c r="F71" s="363">
        <f t="shared" si="14"/>
        <v>30.102188152901572</v>
      </c>
      <c r="G71" s="364">
        <f t="shared" si="15"/>
        <v>0.15518502865089273</v>
      </c>
      <c r="H71" s="365">
        <f t="shared" si="16"/>
        <v>0</v>
      </c>
      <c r="I71" s="358"/>
      <c r="J71" s="358"/>
      <c r="K71" s="366">
        <f t="shared" si="13"/>
        <v>0.15518502865089273</v>
      </c>
    </row>
    <row r="72" spans="2:11">
      <c r="B72" s="362"/>
      <c r="C72" s="358" t="s">
        <v>430</v>
      </c>
      <c r="D72" s="358"/>
      <c r="E72" s="358"/>
      <c r="F72" s="363">
        <f t="shared" si="14"/>
        <v>30.243451978973869</v>
      </c>
      <c r="G72" s="364">
        <f t="shared" si="15"/>
        <v>0</v>
      </c>
      <c r="H72" s="365">
        <f t="shared" si="16"/>
        <v>1.3921202578596165E-2</v>
      </c>
      <c r="I72" s="358"/>
      <c r="J72" s="358"/>
      <c r="K72" s="366">
        <f t="shared" si="13"/>
        <v>-1.3921202578596165E-2</v>
      </c>
    </row>
    <row r="73" spans="2:11">
      <c r="B73" s="362"/>
      <c r="C73" s="358" t="s">
        <v>432</v>
      </c>
      <c r="D73" s="358"/>
      <c r="E73" s="358"/>
      <c r="F73" s="363">
        <f t="shared" si="14"/>
        <v>30.243451978973869</v>
      </c>
      <c r="G73" s="364">
        <f t="shared" si="15"/>
        <v>5.5383721160002106E-2</v>
      </c>
      <c r="H73" s="365">
        <f t="shared" si="16"/>
        <v>0</v>
      </c>
      <c r="I73" s="358"/>
      <c r="J73" s="358"/>
      <c r="K73" s="366">
        <f t="shared" si="13"/>
        <v>5.5383721160002106E-2</v>
      </c>
    </row>
    <row r="74" spans="2:11" ht="29">
      <c r="B74" s="367" t="s">
        <v>463</v>
      </c>
      <c r="C74" s="358" t="s">
        <v>455</v>
      </c>
      <c r="D74" s="358"/>
      <c r="E74" s="358"/>
      <c r="F74" s="363">
        <f t="shared" si="14"/>
        <v>30.298835700133871</v>
      </c>
      <c r="G74" s="364">
        <f t="shared" si="15"/>
        <v>1.0787518262252311</v>
      </c>
      <c r="H74" s="365">
        <f t="shared" si="16"/>
        <v>0</v>
      </c>
      <c r="I74" s="358"/>
      <c r="J74" s="358"/>
      <c r="K74" s="366">
        <f t="shared" si="13"/>
        <v>1.0787518262252311</v>
      </c>
    </row>
    <row r="75" spans="2:11">
      <c r="B75" s="362" t="s">
        <v>440</v>
      </c>
      <c r="C75" s="358" t="s">
        <v>441</v>
      </c>
      <c r="D75" s="358"/>
      <c r="E75" s="358"/>
      <c r="F75" s="363">
        <f t="shared" si="14"/>
        <v>31.377587526359104</v>
      </c>
      <c r="G75" s="364">
        <f t="shared" si="15"/>
        <v>0.32425989440241126</v>
      </c>
      <c r="H75" s="365">
        <f t="shared" si="16"/>
        <v>0</v>
      </c>
      <c r="I75" s="358"/>
      <c r="J75" s="358"/>
      <c r="K75" s="366">
        <f t="shared" si="13"/>
        <v>0.32425989440241126</v>
      </c>
    </row>
    <row r="76" spans="2:11">
      <c r="B76" s="362"/>
      <c r="C76" s="358" t="s">
        <v>442</v>
      </c>
      <c r="D76" s="358"/>
      <c r="E76" s="358"/>
      <c r="F76" s="363">
        <f t="shared" si="14"/>
        <v>31.64302630923742</v>
      </c>
      <c r="G76" s="364">
        <f t="shared" si="15"/>
        <v>0</v>
      </c>
      <c r="H76" s="365">
        <f t="shared" si="16"/>
        <v>5.8821111524091349E-2</v>
      </c>
      <c r="I76" s="358"/>
      <c r="J76" s="358"/>
      <c r="K76" s="366">
        <f t="shared" si="13"/>
        <v>-5.8821111524091349E-2</v>
      </c>
    </row>
    <row r="77" spans="2:11" ht="14.25" customHeight="1">
      <c r="B77" s="362"/>
      <c r="C77" s="358" t="s">
        <v>443</v>
      </c>
      <c r="D77" s="358"/>
      <c r="E77" s="358"/>
      <c r="F77" s="363">
        <f t="shared" si="14"/>
        <v>31.074431047447717</v>
      </c>
      <c r="G77" s="364">
        <f t="shared" si="15"/>
        <v>0</v>
      </c>
      <c r="H77" s="365">
        <f t="shared" si="16"/>
        <v>0.56859526178970288</v>
      </c>
      <c r="I77" s="358"/>
      <c r="J77" s="358"/>
      <c r="K77" s="366">
        <f t="shared" si="13"/>
        <v>-0.56859526178970288</v>
      </c>
    </row>
    <row r="78" spans="2:11">
      <c r="B78" s="362"/>
      <c r="C78" s="358" t="s">
        <v>444</v>
      </c>
      <c r="D78" s="358"/>
      <c r="E78" s="358"/>
      <c r="F78" s="363">
        <f t="shared" si="14"/>
        <v>30.860189444300381</v>
      </c>
      <c r="G78" s="364">
        <f t="shared" si="15"/>
        <v>0</v>
      </c>
      <c r="H78" s="365">
        <f t="shared" si="16"/>
        <v>0.21424160314733678</v>
      </c>
      <c r="I78" s="358"/>
      <c r="J78" s="358"/>
      <c r="K78" s="366">
        <f t="shared" si="13"/>
        <v>-0.21424160314733678</v>
      </c>
    </row>
    <row r="79" spans="2:11">
      <c r="B79" s="362"/>
      <c r="C79" s="358" t="s">
        <v>445</v>
      </c>
      <c r="D79" s="358"/>
      <c r="E79" s="358"/>
      <c r="F79" s="363">
        <f t="shared" si="14"/>
        <v>30.748298403792518</v>
      </c>
      <c r="G79" s="364">
        <f t="shared" si="15"/>
        <v>0</v>
      </c>
      <c r="H79" s="365">
        <f t="shared" si="16"/>
        <v>0.11189104050786507</v>
      </c>
      <c r="I79" s="358"/>
      <c r="J79" s="358"/>
      <c r="K79" s="366">
        <f t="shared" si="13"/>
        <v>-0.11189104050786507</v>
      </c>
    </row>
    <row r="80" spans="2:11">
      <c r="B80" s="362"/>
      <c r="C80" s="358" t="s">
        <v>446</v>
      </c>
      <c r="D80" s="358"/>
      <c r="E80" s="358"/>
      <c r="F80" s="363">
        <f t="shared" si="14"/>
        <v>30.688773121069936</v>
      </c>
      <c r="G80" s="364">
        <f t="shared" si="15"/>
        <v>0</v>
      </c>
      <c r="H80" s="365">
        <f t="shared" si="16"/>
        <v>5.9525282722583527E-2</v>
      </c>
      <c r="I80" s="358"/>
      <c r="J80" s="358"/>
      <c r="K80" s="366">
        <f t="shared" si="13"/>
        <v>-5.9525282722583527E-2</v>
      </c>
    </row>
    <row r="81" spans="2:11">
      <c r="B81" s="362"/>
      <c r="C81" s="358" t="s">
        <v>447</v>
      </c>
      <c r="D81" s="358"/>
      <c r="E81" s="358"/>
      <c r="F81" s="363">
        <f t="shared" si="14"/>
        <v>30.648168036270793</v>
      </c>
      <c r="G81" s="364">
        <f t="shared" si="15"/>
        <v>0</v>
      </c>
      <c r="H81" s="365">
        <f t="shared" si="16"/>
        <v>4.0605084799142835E-2</v>
      </c>
      <c r="I81" s="358"/>
      <c r="J81" s="358"/>
      <c r="K81" s="366">
        <f t="shared" si="13"/>
        <v>-4.0605084799142835E-2</v>
      </c>
    </row>
    <row r="82" spans="2:11" ht="15" thickBot="1">
      <c r="B82" s="368" t="str">
        <f>"LK đến Tháng "&amp;TEXT($E$1,"00")&amp;"/26"</f>
        <v>LK đến Tháng 05/26</v>
      </c>
      <c r="C82" s="369"/>
      <c r="D82" s="369"/>
      <c r="E82" s="369"/>
      <c r="F82" s="369"/>
      <c r="G82" s="369"/>
      <c r="H82" s="369"/>
      <c r="I82" s="370">
        <f>F81+G81</f>
        <v>30.648168036270793</v>
      </c>
      <c r="J82" s="370"/>
      <c r="K82" s="371">
        <f t="shared" si="13"/>
        <v>30.648168036270793</v>
      </c>
    </row>
    <row r="83" spans="2:11">
      <c r="I83" s="290">
        <f>I82-E63</f>
        <v>0</v>
      </c>
      <c r="J83" s="290"/>
    </row>
    <row r="86" spans="2:11">
      <c r="B86" s="310" t="s">
        <v>464</v>
      </c>
    </row>
    <row r="87" spans="2:11">
      <c r="B87" t="str">
        <f>"CÁC NHÂN TỐ TÁC ĐỘNG ẢNH HƯỞNG ĐẾN CHI PHÍ / TẤN"&amp;"
"&amp;"BQ "&amp;"TT26"&amp;" sv "&amp;"BQ25"</f>
        <v>CÁC NHÂN TỐ TÁC ĐỘNG ẢNH HƯỞNG ĐẾN CHI PHÍ / TẤN
BQ TT26 sv BQ25</v>
      </c>
    </row>
  </sheetData>
  <autoFilter ref="A2:P26" xr:uid="{514C3811-6529-44D9-8DA1-66F8E1A57C96}">
    <filterColumn colId="1">
      <filters>
        <filter val="Phụ gia+Hóa chất theo BOM"/>
      </filters>
    </filterColumn>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24A6-09C4-40F2-AC92-B4DC23E207E1}">
  <sheetPr codeName="Sheet34"/>
  <dimension ref="A1:AD105"/>
  <sheetViews>
    <sheetView showGridLines="0" zoomScale="115" zoomScaleNormal="115" workbookViewId="0">
      <selection activeCell="B93" sqref="B93:C93"/>
    </sheetView>
  </sheetViews>
  <sheetFormatPr defaultColWidth="8.90625" defaultRowHeight="14.5"/>
  <cols>
    <col min="1" max="1" width="15" style="1403" customWidth="1"/>
    <col min="2" max="2" width="18" style="1403" customWidth="1"/>
    <col min="3" max="3" width="18.08984375" style="1403" customWidth="1"/>
    <col min="4" max="4" width="1" style="1403" customWidth="1"/>
    <col min="5" max="5" width="17.453125" style="1403" customWidth="1"/>
    <col min="6" max="6" width="19.90625" style="1403" bestFit="1" customWidth="1"/>
    <col min="7" max="7" width="1" style="1403" customWidth="1"/>
    <col min="8" max="8" width="15" style="1403" customWidth="1"/>
    <col min="9" max="9" width="14" style="1403" customWidth="1"/>
    <col min="10" max="10" width="2.90625" style="1403" customWidth="1"/>
    <col min="11" max="11" width="11.90625" style="1403" customWidth="1"/>
    <col min="12" max="12" width="10.453125" style="1403" customWidth="1"/>
    <col min="13" max="13" width="8.90625" style="1403"/>
    <col min="14" max="14" width="9.90625" style="1403" customWidth="1"/>
    <col min="15" max="15" width="8.90625" style="1403"/>
    <col min="16" max="17" width="10" style="1403" customWidth="1"/>
    <col min="18" max="19" width="8.90625" style="1403"/>
    <col min="20" max="20" width="10.54296875" style="1403" customWidth="1"/>
    <col min="21" max="21" width="10.453125" style="1403" customWidth="1"/>
    <col min="22" max="23" width="9.453125" style="1403" customWidth="1"/>
    <col min="24" max="25" width="10.453125" style="1403" customWidth="1"/>
    <col min="26" max="28" width="8.90625" style="1403"/>
    <col min="29" max="29" width="12.90625" style="1403" customWidth="1"/>
    <col min="30" max="30" width="16.54296875" style="1403" customWidth="1"/>
    <col min="31" max="16384" width="8.90625" style="1403"/>
  </cols>
  <sheetData>
    <row r="1" spans="1:30">
      <c r="A1" s="1402">
        <f>'Data-Vẽ-Tháng'!E1</f>
        <v>5</v>
      </c>
      <c r="B1" s="1403">
        <f>B5/B4</f>
        <v>0.43741075810575203</v>
      </c>
      <c r="C1" s="1403">
        <f>C5/C4</f>
        <v>0.50515463917525771</v>
      </c>
      <c r="K1" s="1403" t="s">
        <v>486</v>
      </c>
      <c r="N1" s="1403" t="s">
        <v>747</v>
      </c>
      <c r="Q1" s="1403" t="s">
        <v>894</v>
      </c>
    </row>
    <row r="2" spans="1:30">
      <c r="B2" s="1404" t="str">
        <f>"Tháng "&amp;TEXT($A$1,"00")&amp;".26"</f>
        <v>Tháng 05.26</v>
      </c>
      <c r="C2" s="1404" t="str">
        <f>"KH Tháng "&amp;TEXT($A$1,"00")&amp;".26"</f>
        <v>KH Tháng 05.26</v>
      </c>
      <c r="D2" s="1405"/>
      <c r="E2" s="1404" t="str">
        <f>"LK "&amp;A1&amp;"T.25"</f>
        <v>LK 5T.25</v>
      </c>
      <c r="F2" s="1404" t="str">
        <f>"LK KH "&amp;A1&amp;"T.25"</f>
        <v>LK KH 5T.25</v>
      </c>
      <c r="G2" s="1405"/>
      <c r="H2" s="1406" t="s">
        <v>778</v>
      </c>
      <c r="I2" s="1406" t="s">
        <v>779</v>
      </c>
      <c r="K2" s="1406" t="s">
        <v>778</v>
      </c>
      <c r="L2" s="1406" t="s">
        <v>779</v>
      </c>
      <c r="N2" s="1406" t="s">
        <v>778</v>
      </c>
      <c r="O2" s="1406" t="s">
        <v>779</v>
      </c>
      <c r="Q2" s="1406" t="s">
        <v>778</v>
      </c>
      <c r="R2" s="1406" t="s">
        <v>779</v>
      </c>
    </row>
    <row r="3" spans="1:30">
      <c r="C3" s="1407"/>
      <c r="D3" s="1407"/>
      <c r="E3" s="1408"/>
      <c r="I3" s="1408"/>
      <c r="L3" s="1408"/>
    </row>
    <row r="4" spans="1:30" s="1409" customFormat="1">
      <c r="A4" s="1409" t="s">
        <v>487</v>
      </c>
      <c r="B4" s="1410">
        <f>SUM(B5:B8)</f>
        <v>4891760.8</v>
      </c>
      <c r="C4" s="1410">
        <f>SUM(C5:C8)</f>
        <v>4850000</v>
      </c>
      <c r="D4" s="1411"/>
      <c r="E4" s="1412">
        <f>SUM(E5:E8)</f>
        <v>17758554.52</v>
      </c>
      <c r="F4" s="1412">
        <f>SUM(F5:F8)</f>
        <v>23350000</v>
      </c>
      <c r="G4" s="1411"/>
      <c r="H4" s="1410"/>
      <c r="I4" s="1412"/>
      <c r="J4" s="1410"/>
      <c r="K4" s="1410"/>
      <c r="L4" s="1412"/>
      <c r="M4" s="1410"/>
      <c r="N4" s="1410"/>
    </row>
    <row r="5" spans="1:30">
      <c r="A5" s="1403" t="s">
        <v>893</v>
      </c>
      <c r="B5" s="1394" cm="1">
        <f t="array" ref="B5">SUMPRODUCT('Tác động-GM-Data'!$BH10:$BS10*('Tác động-GM-Data'!$BH$7:$BS$7=$A$1))</f>
        <v>2139708.7999999998</v>
      </c>
      <c r="C5" s="1394" cm="1">
        <f t="array" ref="C5">SUMPRODUCT('Tác động-GM-Data'!$AT10:$BE10*('Tác động-GM-Data'!$R$7:$AC$7=$A$1))</f>
        <v>2450000</v>
      </c>
      <c r="D5" s="1395"/>
      <c r="E5" s="1396" cm="1">
        <f t="array" ref="E5">SUMPRODUCT('Tác động-GM-Data'!$BH10:$BS10*('Tác động-GM-Data'!$BH$7:$BS$7&lt;=$A$1))</f>
        <v>9004371.5199999996</v>
      </c>
      <c r="F5" s="1413" cm="1">
        <f t="array" ref="F5">SUMPRODUCT('Tác động-GM-Data'!$AT10:$BE10*('Tác động-GM-Data'!$R$7:$AC$7&lt;=$A$1))</f>
        <v>11750000</v>
      </c>
      <c r="G5" s="1414"/>
      <c r="H5" s="1413"/>
      <c r="I5" s="1415"/>
      <c r="J5" s="1413"/>
      <c r="K5" s="1413"/>
      <c r="L5" s="1415"/>
      <c r="M5" s="1413"/>
      <c r="N5" s="1413"/>
      <c r="T5" s="1436">
        <f>B5/B$4</f>
        <v>0.43741075810575203</v>
      </c>
      <c r="U5" s="1436">
        <f t="shared" ref="U5:U6" si="0">C5/C$4</f>
        <v>0.50515463917525771</v>
      </c>
    </row>
    <row r="6" spans="1:30">
      <c r="A6" s="1403" t="s">
        <v>892</v>
      </c>
      <c r="B6" s="1394" cm="1">
        <f t="array" ref="B6">SUMPRODUCT('Tác động-GM-Data'!$BH11:$BS11*('Tác động-GM-Data'!$BH$7:$BS$7=$A$1))</f>
        <v>2752052</v>
      </c>
      <c r="C6" s="1394" cm="1">
        <f t="array" ref="C6">SUMPRODUCT('Tác động-GM-Data'!$AT11:$BE11*('Tác động-GM-Data'!$R$7:$AC$7=$A$1))</f>
        <v>2400000</v>
      </c>
      <c r="D6" s="1395"/>
      <c r="E6" s="1396" cm="1">
        <f t="array" ref="E6">SUMPRODUCT('Tác động-GM-Data'!$BH11:$BS11*('Tác động-GM-Data'!$BH$7:$BS$7&lt;=$A$1))</f>
        <v>8754183</v>
      </c>
      <c r="F6" s="1413" cm="1">
        <f t="array" ref="F6">SUMPRODUCT('Tác động-GM-Data'!$AT11:$BE11*('Tác động-GM-Data'!$R$7:$AC$7&lt;=$A$1))</f>
        <v>11600000</v>
      </c>
      <c r="G6" s="1414"/>
      <c r="H6" s="1413"/>
      <c r="I6" s="1415"/>
      <c r="J6" s="1413"/>
      <c r="K6" s="1413"/>
      <c r="L6" s="1415"/>
      <c r="M6" s="1413"/>
      <c r="N6" s="1413"/>
      <c r="T6" s="1436">
        <f t="shared" ref="T6" si="1">B6/B$4</f>
        <v>0.56258924189424797</v>
      </c>
      <c r="U6" s="1436">
        <f t="shared" si="0"/>
        <v>0.49484536082474229</v>
      </c>
    </row>
    <row r="7" spans="1:30">
      <c r="A7" s="1403" t="s">
        <v>488</v>
      </c>
      <c r="B7" s="1394"/>
      <c r="C7" s="1394"/>
      <c r="D7" s="1395"/>
      <c r="E7" s="1396"/>
      <c r="F7" s="1413"/>
      <c r="G7" s="1414"/>
      <c r="H7" s="1413"/>
      <c r="I7" s="1415"/>
      <c r="J7" s="1413"/>
      <c r="K7" s="1413"/>
      <c r="L7" s="1415"/>
      <c r="M7" s="1413"/>
      <c r="N7" s="1413"/>
    </row>
    <row r="8" spans="1:30">
      <c r="A8" s="1403" t="s">
        <v>489</v>
      </c>
      <c r="B8" s="1394"/>
      <c r="C8" s="1394"/>
      <c r="D8" s="1395"/>
      <c r="E8" s="1396"/>
      <c r="F8" s="1413"/>
      <c r="G8" s="1414"/>
      <c r="H8" s="1413"/>
      <c r="I8" s="1415"/>
      <c r="J8" s="1413"/>
      <c r="K8" s="1413"/>
      <c r="L8" s="1415"/>
      <c r="M8" s="1413"/>
      <c r="N8" s="1413"/>
    </row>
    <row r="9" spans="1:30">
      <c r="B9" s="1413"/>
      <c r="C9" s="1413"/>
      <c r="D9" s="1414"/>
      <c r="E9" s="1415"/>
      <c r="F9" s="1413"/>
      <c r="G9" s="1414"/>
      <c r="H9" s="1413"/>
      <c r="I9" s="1415"/>
      <c r="J9" s="1413"/>
      <c r="K9" s="1413"/>
      <c r="L9" s="1415"/>
      <c r="M9" s="1413"/>
      <c r="N9" s="1413"/>
      <c r="Q9" s="1416">
        <f>Q10-(T10-U10)/10^3</f>
        <v>0</v>
      </c>
      <c r="R9" s="1416">
        <f>R10-(X10-Y10)/10^3</f>
        <v>-6.5503158452884236E-15</v>
      </c>
      <c r="AC9" s="1417">
        <v>4349540</v>
      </c>
      <c r="AD9" s="1417">
        <f>(B10-C10)/(1-C22)*AC9</f>
        <v>8302161775.827014</v>
      </c>
    </row>
    <row r="10" spans="1:30" s="1409" customFormat="1">
      <c r="A10" s="1409" t="s">
        <v>490</v>
      </c>
      <c r="B10" s="1410">
        <f t="shared" ref="B10:C14" si="2">IFERROR(B16/B4,0)</f>
        <v>16941.874369654379</v>
      </c>
      <c r="C10" s="1410">
        <f t="shared" si="2"/>
        <v>15383.505154639175</v>
      </c>
      <c r="D10" s="1411"/>
      <c r="E10" s="1412">
        <f t="shared" ref="E10:F14" si="3">IFERROR(E16/E4,0)</f>
        <v>15745.293460461218</v>
      </c>
      <c r="F10" s="1412">
        <f t="shared" si="3"/>
        <v>15390.192719486082</v>
      </c>
      <c r="G10" s="1411"/>
      <c r="H10" s="1410">
        <f>B10-C10</f>
        <v>1558.3692150152037</v>
      </c>
      <c r="I10" s="1412">
        <f>E10-F10</f>
        <v>355.10074097513643</v>
      </c>
      <c r="J10" s="1410"/>
      <c r="K10" s="1418">
        <f>H10/(1-B22)/10^3</f>
        <v>1.864218373963108</v>
      </c>
      <c r="L10" s="1418">
        <f>I10/(1-E22)/10^3</f>
        <v>0.42927421200974769</v>
      </c>
      <c r="M10" s="1410"/>
      <c r="N10" s="1526">
        <f>(1/(1-B22)-1/(1-C22))*C10/10^3</f>
        <v>-0.43954424238898049</v>
      </c>
      <c r="O10" s="1419">
        <f>(1/(1-E22)-1/(1-F22))*F10/10^3</f>
        <v>-0.13241591245758227</v>
      </c>
      <c r="Q10" s="1420">
        <f>K10+N10</f>
        <v>1.4246741315741276</v>
      </c>
      <c r="R10" s="1420">
        <f>L10+O10</f>
        <v>0.29685829955216542</v>
      </c>
      <c r="T10" s="1421">
        <f>B16/(B4*(1-B22))</f>
        <v>20266.925953729271</v>
      </c>
      <c r="U10" s="1421">
        <f>C16/(C4*(1-C22))</f>
        <v>18842.251822155144</v>
      </c>
      <c r="V10" s="1421">
        <f t="shared" ref="V10" si="4">T10-U10</f>
        <v>1424.6741315741274</v>
      </c>
      <c r="W10" s="1417">
        <f>V10-Q10*10^3</f>
        <v>0</v>
      </c>
      <c r="X10" s="1422">
        <f>E16/(E4*(1-E22))</f>
        <v>19034.171611528633</v>
      </c>
      <c r="Y10" s="1422">
        <f>F16/(F4*(1-F22))</f>
        <v>18737.313311976461</v>
      </c>
      <c r="Z10" s="1423"/>
    </row>
    <row r="11" spans="1:30">
      <c r="A11" s="1403" t="s">
        <v>893</v>
      </c>
      <c r="B11" s="1394">
        <f t="shared" si="2"/>
        <v>15418.064878734902</v>
      </c>
      <c r="C11" s="1394">
        <f t="shared" si="2"/>
        <v>14289.795918367347</v>
      </c>
      <c r="D11" s="1395"/>
      <c r="E11" s="1396">
        <f t="shared" si="3"/>
        <v>14640.87207843241</v>
      </c>
      <c r="F11" s="1396">
        <f t="shared" si="3"/>
        <v>14294.553191489362</v>
      </c>
      <c r="G11" s="1414"/>
      <c r="H11" s="1413">
        <f>B11-C11</f>
        <v>1128.2689603675553</v>
      </c>
      <c r="I11" s="1415">
        <f t="shared" ref="I11:I14" si="5">E11-F11</f>
        <v>346.31888694304871</v>
      </c>
      <c r="J11" s="1413"/>
      <c r="K11" s="1397">
        <f>H11/(1-B23)/10^3</f>
        <v>1.4653636356240252</v>
      </c>
      <c r="L11" s="1415"/>
      <c r="M11" s="1413"/>
      <c r="N11" s="1424">
        <f t="shared" ref="N11:N13" si="6">(1/(1-B23)-1/(1-C23))*C11/10^3</f>
        <v>-0.44703426152266851</v>
      </c>
      <c r="Q11" s="1425">
        <f t="shared" ref="Q11:Q13" si="7">K11+N11</f>
        <v>1.0183293741013566</v>
      </c>
      <c r="R11" s="1425">
        <f t="shared" ref="R11:R13" si="8">L11+O11</f>
        <v>0</v>
      </c>
      <c r="T11" s="1426">
        <f t="shared" ref="T11:U11" si="9">B17/(B5*(1-B23))</f>
        <v>20024.544145599768</v>
      </c>
      <c r="U11" s="1426">
        <f t="shared" si="9"/>
        <v>19006.214771498417</v>
      </c>
      <c r="V11" s="1426">
        <f>T11-U11</f>
        <v>1018.3293741013513</v>
      </c>
      <c r="W11" s="1417">
        <f t="shared" ref="W11:W13" si="10">V11-Q11*10^3</f>
        <v>-5.3432813729159534E-12</v>
      </c>
      <c r="X11" s="1427">
        <f t="shared" ref="X11:Y11" si="11">E17/(E5*(1-E23))</f>
        <v>18909.732944095093</v>
      </c>
      <c r="Y11" s="1427">
        <f t="shared" si="11"/>
        <v>19012.542206487709</v>
      </c>
      <c r="Z11" s="1428"/>
      <c r="AC11" s="1409"/>
    </row>
    <row r="12" spans="1:30">
      <c r="A12" s="1403" t="s">
        <v>892</v>
      </c>
      <c r="B12" s="1394">
        <f t="shared" si="2"/>
        <v>18126.629809320464</v>
      </c>
      <c r="C12" s="1394">
        <f t="shared" si="2"/>
        <v>16500</v>
      </c>
      <c r="D12" s="1395"/>
      <c r="E12" s="1396">
        <f t="shared" si="3"/>
        <v>16881.278444830317</v>
      </c>
      <c r="F12" s="1396">
        <f t="shared" si="3"/>
        <v>16500</v>
      </c>
      <c r="G12" s="1414"/>
      <c r="H12" s="1413">
        <f>B12-C12</f>
        <v>1626.6298093204641</v>
      </c>
      <c r="I12" s="1415">
        <f t="shared" ref="I12" si="12">E12-F12</f>
        <v>381.27844483031731</v>
      </c>
      <c r="J12" s="1413"/>
      <c r="K12" s="1397">
        <f>H12/(1-B24)/10^3</f>
        <v>1.8333692932878307</v>
      </c>
      <c r="L12" s="1415"/>
      <c r="M12" s="1413"/>
      <c r="N12" s="1424">
        <f t="shared" si="6"/>
        <v>-0.102534330231421</v>
      </c>
      <c r="Q12" s="1425">
        <f>K12+N12</f>
        <v>1.7308349630564097</v>
      </c>
      <c r="R12" s="1425">
        <f t="shared" si="8"/>
        <v>0</v>
      </c>
      <c r="T12" s="1426">
        <f t="shared" ref="T12:U12" si="13">B18/(B6*(1-B24))</f>
        <v>20430.466903276058</v>
      </c>
      <c r="U12" s="1426">
        <f t="shared" si="13"/>
        <v>18699.63194021965</v>
      </c>
      <c r="V12" s="1426">
        <f>T12-U12</f>
        <v>1730.834963056408</v>
      </c>
      <c r="W12" s="1417">
        <f t="shared" si="10"/>
        <v>0</v>
      </c>
      <c r="X12" s="1427">
        <f t="shared" ref="X12:Y12" si="14">E18/(E6*(1-E24))</f>
        <v>19304.866240451123</v>
      </c>
      <c r="Y12" s="1427">
        <f t="shared" si="14"/>
        <v>18699.63194021965</v>
      </c>
      <c r="Z12" s="1428"/>
    </row>
    <row r="13" spans="1:30">
      <c r="A13" s="1403" t="s">
        <v>488</v>
      </c>
      <c r="B13" s="1394">
        <f t="shared" si="2"/>
        <v>0</v>
      </c>
      <c r="C13" s="1394">
        <f t="shared" si="2"/>
        <v>0</v>
      </c>
      <c r="D13" s="1395"/>
      <c r="E13" s="1396">
        <f t="shared" si="3"/>
        <v>0</v>
      </c>
      <c r="F13" s="1396">
        <f t="shared" si="3"/>
        <v>0</v>
      </c>
      <c r="G13" s="1414"/>
      <c r="H13" s="1413">
        <f>B13-C13</f>
        <v>0</v>
      </c>
      <c r="I13" s="1415">
        <f t="shared" si="5"/>
        <v>0</v>
      </c>
      <c r="J13" s="1413"/>
      <c r="K13" s="1397">
        <f>H13/(1-B25)/10^3</f>
        <v>0</v>
      </c>
      <c r="L13" s="1415"/>
      <c r="M13" s="1413"/>
      <c r="N13" s="1424">
        <f t="shared" si="6"/>
        <v>0</v>
      </c>
      <c r="Q13" s="1425">
        <f t="shared" si="7"/>
        <v>0</v>
      </c>
      <c r="R13" s="1425">
        <f t="shared" si="8"/>
        <v>0</v>
      </c>
      <c r="T13" s="1426" t="e">
        <f t="shared" ref="T13:U13" si="15">B19/(B7*(1-B25))</f>
        <v>#DIV/0!</v>
      </c>
      <c r="U13" s="1426" t="e">
        <f t="shared" si="15"/>
        <v>#DIV/0!</v>
      </c>
      <c r="V13" s="1426" t="e">
        <f t="shared" ref="V13" si="16">T13-U13</f>
        <v>#DIV/0!</v>
      </c>
      <c r="W13" s="1417" t="e">
        <f t="shared" si="10"/>
        <v>#DIV/0!</v>
      </c>
      <c r="X13" s="1427" t="e">
        <f t="shared" ref="X13:Y13" si="17">E19/(E7*(1-E25))</f>
        <v>#DIV/0!</v>
      </c>
      <c r="Y13" s="1427" t="e">
        <f t="shared" si="17"/>
        <v>#DIV/0!</v>
      </c>
      <c r="Z13" s="1428"/>
    </row>
    <row r="14" spans="1:30">
      <c r="A14" s="1403" t="s">
        <v>489</v>
      </c>
      <c r="B14" s="1394">
        <f t="shared" si="2"/>
        <v>0</v>
      </c>
      <c r="C14" s="1394">
        <f t="shared" si="2"/>
        <v>0</v>
      </c>
      <c r="D14" s="1395"/>
      <c r="E14" s="1396">
        <f t="shared" si="3"/>
        <v>0</v>
      </c>
      <c r="F14" s="1396">
        <f t="shared" si="3"/>
        <v>0</v>
      </c>
      <c r="G14" s="1414"/>
      <c r="H14" s="1413">
        <f>B14-C14</f>
        <v>0</v>
      </c>
      <c r="I14" s="1415">
        <f t="shared" si="5"/>
        <v>0</v>
      </c>
      <c r="J14" s="1413"/>
      <c r="K14" s="1413"/>
      <c r="L14" s="1415"/>
      <c r="M14" s="1413"/>
      <c r="N14" s="1413"/>
    </row>
    <row r="15" spans="1:30">
      <c r="B15" s="1413"/>
      <c r="C15" s="1413"/>
      <c r="D15" s="1414"/>
      <c r="E15" s="1415"/>
      <c r="F15" s="1413"/>
      <c r="G15" s="1414"/>
      <c r="H15" s="1413"/>
      <c r="I15" s="1415"/>
      <c r="J15" s="1413"/>
      <c r="K15" s="1413"/>
      <c r="L15" s="1415"/>
      <c r="M15" s="1413"/>
      <c r="N15" s="1413"/>
      <c r="T15" s="1409" t="s">
        <v>933</v>
      </c>
      <c r="X15" s="1403" t="s">
        <v>935</v>
      </c>
    </row>
    <row r="16" spans="1:30" s="1409" customFormat="1">
      <c r="A16" s="1409" t="s">
        <v>491</v>
      </c>
      <c r="B16" s="1410">
        <f>SUM(B17:B20)</f>
        <v>82875596920</v>
      </c>
      <c r="C16" s="1410">
        <f>SUM(C17:C20)</f>
        <v>74610000000</v>
      </c>
      <c r="D16" s="1411"/>
      <c r="E16" s="1412">
        <f>SUM(E17:E20)</f>
        <v>279613652351</v>
      </c>
      <c r="F16" s="1412">
        <f>SUM(F17:F20)</f>
        <v>359361000000</v>
      </c>
      <c r="G16" s="1411"/>
      <c r="H16" s="1410"/>
      <c r="I16" s="1412"/>
      <c r="J16" s="1410"/>
      <c r="K16" s="1429">
        <f>SUM(K17:K20)</f>
        <v>1.6851046455074175</v>
      </c>
      <c r="L16" s="1412"/>
      <c r="M16" s="1410"/>
      <c r="N16" s="1429">
        <f>SUM(N17:N20)</f>
        <v>-0.11652645280784873</v>
      </c>
      <c r="Q16" s="1420" t="e">
        <f>V16/10^3</f>
        <v>#DIV/0!</v>
      </c>
      <c r="T16" s="1421" t="e">
        <f>SUM(T17:T19)</f>
        <v>#DIV/0!</v>
      </c>
      <c r="U16" s="1421" t="e">
        <f>SUM(U17:U19)</f>
        <v>#DIV/0!</v>
      </c>
      <c r="V16" s="1421" t="e">
        <f t="shared" ref="V16" si="18">T16-U16</f>
        <v>#DIV/0!</v>
      </c>
      <c r="X16" s="1420" t="e">
        <f>Q16-K16-N16</f>
        <v>#DIV/0!</v>
      </c>
    </row>
    <row r="17" spans="1:24">
      <c r="A17" s="1403" t="s">
        <v>893</v>
      </c>
      <c r="B17" s="1394" cm="1">
        <f t="array" ref="B17">SUMPRODUCT('Tác động-GM-Data'!$BH16:$BS16*('Tác động-GM-Data'!$BH$7:$BS$7=$A$1))</f>
        <v>32990169100</v>
      </c>
      <c r="C17" s="1394" cm="1">
        <f t="array" ref="C17">SUMPRODUCT('Tác động-GM-Data'!$AT16:$BE16*('Tác động-GM-Data'!$R$7:$AC$7=$A$1))</f>
        <v>35010000000</v>
      </c>
      <c r="D17" s="1395"/>
      <c r="E17" s="1396" cm="1">
        <f t="array" ref="E17">SUMPRODUCT('Tác động-GM-Data'!$BH16:$BS16*('Tác động-GM-Data'!$BH$7:$BS$7&lt;=$A$1))</f>
        <v>131831851571</v>
      </c>
      <c r="F17" s="1394" cm="1">
        <f t="array" ref="F17">SUMPRODUCT('Tác động-GM-Data'!$AT16:$BE16*('Tác động-GM-Data'!$R$7:$AC$7&lt;=$A$1))</f>
        <v>167961000000</v>
      </c>
      <c r="G17" s="1414"/>
      <c r="H17" s="1413"/>
      <c r="I17" s="1415"/>
      <c r="J17" s="1413"/>
      <c r="K17" s="1430">
        <f>K11*B29/B$28</f>
        <v>0.59037576945217163</v>
      </c>
      <c r="L17" s="1415"/>
      <c r="M17" s="1413"/>
      <c r="N17" s="1430">
        <f>N11*C29/C$28*B29/B$28</f>
        <v>-8.3783050011678559E-2</v>
      </c>
      <c r="Q17" s="1430">
        <f t="shared" ref="Q17:Q19" si="19">V17/10^3</f>
        <v>-0.77391322810909335</v>
      </c>
      <c r="T17" s="1426">
        <f>T11*B29/B$28</f>
        <v>8067.6259260746847</v>
      </c>
      <c r="U17" s="1426">
        <f>U11*C29/C$28</f>
        <v>8841.539154183778</v>
      </c>
      <c r="V17" s="1426">
        <f>T17-U17</f>
        <v>-773.91322810909332</v>
      </c>
      <c r="W17" s="1417"/>
      <c r="X17" s="1424">
        <f t="shared" ref="X17:X19" si="20">Q17-K17-N17</f>
        <v>-1.2805059475495864</v>
      </c>
    </row>
    <row r="18" spans="1:24">
      <c r="A18" s="1403" t="s">
        <v>892</v>
      </c>
      <c r="B18" s="1394" cm="1">
        <f t="array" ref="B18">SUMPRODUCT('Tác động-GM-Data'!$BH17:$BS17*('Tác động-GM-Data'!$BH$7:$BS$7=$A$1))</f>
        <v>49885427820</v>
      </c>
      <c r="C18" s="1394" cm="1">
        <f t="array" ref="C18">SUMPRODUCT('Tác động-GM-Data'!$AT17:$BE17*('Tác động-GM-Data'!$R$7:$AC$7=$A$1))</f>
        <v>39600000000</v>
      </c>
      <c r="D18" s="1395"/>
      <c r="E18" s="1396" cm="1">
        <f t="array" ref="E18">SUMPRODUCT('Tác động-GM-Data'!$BH17:$BS17*('Tác động-GM-Data'!$BH$7:$BS$7&lt;=$A$1))</f>
        <v>147781800780</v>
      </c>
      <c r="F18" s="1394" cm="1">
        <f t="array" ref="F18">SUMPRODUCT('Tác động-GM-Data'!$AT17:$BE17*('Tác động-GM-Data'!$R$7:$AC$7&lt;=$A$1))</f>
        <v>191400000000</v>
      </c>
      <c r="G18" s="1414"/>
      <c r="H18" s="1413"/>
      <c r="I18" s="1415"/>
      <c r="J18" s="1413"/>
      <c r="K18" s="1430">
        <f t="shared" ref="K18:K19" si="21">K12*B30/B$28</f>
        <v>1.0947288760552458</v>
      </c>
      <c r="L18" s="1415"/>
      <c r="M18" s="1413"/>
      <c r="N18" s="1430">
        <f t="shared" ref="N18:N19" si="22">N12*C30/C$28*B30/B$28</f>
        <v>-3.2743402796170169E-2</v>
      </c>
      <c r="Q18" s="1430">
        <f t="shared" si="19"/>
        <v>2.1985873596832151</v>
      </c>
      <c r="T18" s="1426">
        <f t="shared" ref="T18:U19" si="23">T12*B30/B$28</f>
        <v>12199.300027654583</v>
      </c>
      <c r="U18" s="1426">
        <f t="shared" si="23"/>
        <v>10000.712667971367</v>
      </c>
      <c r="V18" s="1426">
        <f>T18-U18</f>
        <v>2198.5873596832153</v>
      </c>
      <c r="W18" s="1417"/>
      <c r="X18" s="1424">
        <f t="shared" si="20"/>
        <v>1.1366018864241394</v>
      </c>
    </row>
    <row r="19" spans="1:24">
      <c r="A19" s="1403" t="s">
        <v>488</v>
      </c>
      <c r="B19" s="1394"/>
      <c r="C19" s="1394"/>
      <c r="D19" s="1395"/>
      <c r="E19" s="1396"/>
      <c r="F19" s="1394"/>
      <c r="G19" s="1414"/>
      <c r="H19" s="1413"/>
      <c r="I19" s="1415"/>
      <c r="J19" s="1413"/>
      <c r="K19" s="1430">
        <f t="shared" si="21"/>
        <v>0</v>
      </c>
      <c r="L19" s="1415"/>
      <c r="M19" s="1413"/>
      <c r="N19" s="1430">
        <f t="shared" si="22"/>
        <v>0</v>
      </c>
      <c r="Q19" s="1430" t="e">
        <f t="shared" si="19"/>
        <v>#DIV/0!</v>
      </c>
      <c r="T19" s="1426" t="e">
        <f t="shared" si="23"/>
        <v>#DIV/0!</v>
      </c>
      <c r="U19" s="1426" t="e">
        <f t="shared" si="23"/>
        <v>#DIV/0!</v>
      </c>
      <c r="V19" s="1426" t="e">
        <f t="shared" ref="V19" si="24">T19-U19</f>
        <v>#DIV/0!</v>
      </c>
      <c r="W19" s="1417"/>
      <c r="X19" s="1424" t="e">
        <f t="shared" si="20"/>
        <v>#DIV/0!</v>
      </c>
    </row>
    <row r="20" spans="1:24">
      <c r="A20" s="1403" t="s">
        <v>489</v>
      </c>
      <c r="B20" s="1394"/>
      <c r="C20" s="1394"/>
      <c r="D20" s="1395"/>
      <c r="E20" s="1396"/>
      <c r="F20" s="1413"/>
      <c r="G20" s="1414"/>
      <c r="H20" s="1413"/>
      <c r="I20" s="1415"/>
      <c r="J20" s="1413"/>
      <c r="K20" s="1413"/>
      <c r="L20" s="1415"/>
      <c r="M20" s="1413"/>
      <c r="N20" s="1413"/>
    </row>
    <row r="21" spans="1:24">
      <c r="E21" s="1408"/>
      <c r="I21" s="1408"/>
      <c r="L21" s="1408"/>
    </row>
    <row r="22" spans="1:24" s="1409" customFormat="1">
      <c r="A22" s="1409" t="s">
        <v>416</v>
      </c>
      <c r="B22" s="1431">
        <f>SUMPRODUCT(B23:B25,B5:B7)/B4</f>
        <v>0.1640629462833289</v>
      </c>
      <c r="C22" s="1431">
        <f>SUMPRODUCT(C23:C25,C5:C7)/C4</f>
        <v>0.18356333946503653</v>
      </c>
      <c r="D22" s="1431"/>
      <c r="E22" s="1432">
        <f>SUMPRODUCT(E23:E25,E17:E19)/E16</f>
        <v>0.17278808966266765</v>
      </c>
      <c r="F22" s="1431">
        <f>SUMPRODUCT(F23:F25,F17:F19)/F16</f>
        <v>0.17863396618078531</v>
      </c>
      <c r="H22" s="1420"/>
      <c r="I22" s="1433"/>
      <c r="L22" s="1433"/>
    </row>
    <row r="23" spans="1:24">
      <c r="A23" s="1403" t="s">
        <v>893</v>
      </c>
      <c r="B23" s="1434" cm="1">
        <f t="array" ref="B23">SUMPRODUCT('Tác động-GM-Data'!$BH28:$BS28*('Tác động-GM-Data'!$BH$7:$BS$7=$A$1))</f>
        <v>0.23004165455007897</v>
      </c>
      <c r="C23" s="1435">
        <v>0.24815140257195123</v>
      </c>
      <c r="D23" s="1436"/>
      <c r="E23" s="1434" cm="1">
        <f t="array" ref="E23">SUMPRODUCT('Tác động-GM-Data'!$BH34:$BS34*('Tác động-GM-Data'!$BH$7:$BS$7=$A$1))</f>
        <v>0.2257493999668414</v>
      </c>
      <c r="F23" s="1435">
        <v>0.24815140257195123</v>
      </c>
      <c r="H23" s="1437"/>
      <c r="I23" s="1408"/>
      <c r="L23" s="1408"/>
    </row>
    <row r="24" spans="1:24">
      <c r="A24" s="1403" t="s">
        <v>892</v>
      </c>
      <c r="B24" s="1434" cm="1">
        <f t="array" ref="B24">SUMPRODUCT('Tác động-GM-Data'!$BH29:$BS29*('Tác động-GM-Data'!$BH$7:$BS$7=$A$1))</f>
        <v>0.11276477942783425</v>
      </c>
      <c r="C24" s="1435">
        <v>0.1176296917100611</v>
      </c>
      <c r="D24" s="1436"/>
      <c r="E24" s="1434" cm="1">
        <f t="array" ref="E24">SUMPRODUCT('Tác động-GM-Data'!$BH35:$BS35*('Tác động-GM-Data'!$BH$7:$BS$7=$A$1))</f>
        <v>0.12554284321030196</v>
      </c>
      <c r="F24" s="1435">
        <v>0.1176296917100611</v>
      </c>
      <c r="H24" s="1437"/>
      <c r="I24" s="1408"/>
      <c r="L24" s="1408"/>
    </row>
    <row r="25" spans="1:24">
      <c r="A25" s="1403" t="s">
        <v>488</v>
      </c>
      <c r="B25" s="1434"/>
      <c r="C25" s="1435"/>
      <c r="D25" s="1436"/>
      <c r="E25" s="1434"/>
      <c r="F25" s="1435"/>
      <c r="H25" s="1437"/>
      <c r="I25" s="1408"/>
      <c r="L25" s="1408"/>
    </row>
    <row r="26" spans="1:24">
      <c r="A26" s="1403" t="s">
        <v>489</v>
      </c>
      <c r="B26" s="1438"/>
      <c r="E26" s="1438"/>
      <c r="I26" s="1408"/>
      <c r="L26" s="1408"/>
    </row>
    <row r="28" spans="1:24">
      <c r="A28" s="1409" t="s">
        <v>934</v>
      </c>
      <c r="B28" s="1439">
        <f>SUM(B29:B32)</f>
        <v>4089204.110638706</v>
      </c>
      <c r="C28" s="1439">
        <f>SUM(C29:C32)</f>
        <v>3959717.8035945725</v>
      </c>
      <c r="E28" s="1439">
        <f>B16/B28</f>
        <v>20266.925953729267</v>
      </c>
      <c r="F28" s="1439">
        <f>C16/C28</f>
        <v>18842.251822155144</v>
      </c>
    </row>
    <row r="29" spans="1:24">
      <c r="A29" s="1403" t="s">
        <v>893</v>
      </c>
      <c r="B29" s="1417">
        <f>B5*(1-B23)</f>
        <v>1647486.6473926359</v>
      </c>
      <c r="C29" s="1417">
        <f>C5*(1-C23)</f>
        <v>1842029.0636987195</v>
      </c>
      <c r="E29" s="1417">
        <f>B17/B29</f>
        <v>20024.544145599768</v>
      </c>
      <c r="F29" s="1417">
        <f>C17/C29</f>
        <v>19006.214771498417</v>
      </c>
      <c r="H29" s="1413"/>
    </row>
    <row r="30" spans="1:24">
      <c r="A30" s="1403" t="s">
        <v>892</v>
      </c>
      <c r="B30" s="1417">
        <f t="shared" ref="B30:C32" si="25">B6*(1-B24)</f>
        <v>2441717.4632460698</v>
      </c>
      <c r="C30" s="1417">
        <f t="shared" si="25"/>
        <v>2117688.7398958532</v>
      </c>
      <c r="E30" s="1417">
        <f t="shared" ref="E30:F30" si="26">B18/B30</f>
        <v>20430.466903276058</v>
      </c>
      <c r="F30" s="1417">
        <f t="shared" si="26"/>
        <v>18699.63194021965</v>
      </c>
      <c r="H30" s="1413"/>
    </row>
    <row r="31" spans="1:24">
      <c r="A31" s="1403" t="s">
        <v>488</v>
      </c>
      <c r="B31" s="1417">
        <f t="shared" si="25"/>
        <v>0</v>
      </c>
      <c r="C31" s="1417">
        <f t="shared" si="25"/>
        <v>0</v>
      </c>
      <c r="E31" s="1417" t="e">
        <f t="shared" ref="E31:F31" si="27">B19/B31</f>
        <v>#DIV/0!</v>
      </c>
      <c r="F31" s="1417" t="e">
        <f t="shared" si="27"/>
        <v>#DIV/0!</v>
      </c>
      <c r="H31" s="1413"/>
    </row>
    <row r="32" spans="1:24">
      <c r="A32" s="1403" t="s">
        <v>489</v>
      </c>
      <c r="B32" s="1417">
        <f t="shared" si="25"/>
        <v>0</v>
      </c>
      <c r="C32" s="1417">
        <f t="shared" si="25"/>
        <v>0</v>
      </c>
      <c r="E32" s="1417"/>
      <c r="F32" s="1417"/>
    </row>
    <row r="33" spans="1:19">
      <c r="B33" s="1417"/>
      <c r="C33" s="1417"/>
    </row>
    <row r="34" spans="1:19">
      <c r="A34" s="1403" t="s">
        <v>932</v>
      </c>
      <c r="B34" s="1436">
        <f>SUMPRODUCT(B5:B6,B23:B24)/SUM(B5:B6)</f>
        <v>0.1640629462833289</v>
      </c>
      <c r="C34" s="1436">
        <f>SUMPRODUCT(C5:C6,C23:C24)/SUM(C5:C6)</f>
        <v>0.18356333946503653</v>
      </c>
    </row>
    <row r="35" spans="1:19" ht="15" thickBot="1"/>
    <row r="36" spans="1:19" s="1440" customFormat="1" hidden="1"/>
    <row r="37" spans="1:19" s="1442" customFormat="1" hidden="1">
      <c r="A37" s="1441" t="s">
        <v>535</v>
      </c>
    </row>
    <row r="38" spans="1:19" hidden="1"/>
    <row r="39" spans="1:19" hidden="1">
      <c r="B39" s="1402">
        <f>'Data-Vẽ -MoM'!E1</f>
        <v>5</v>
      </c>
      <c r="C39" s="1402">
        <f>'Data-Vẽ -MoM'!F1</f>
        <v>4</v>
      </c>
      <c r="D39" s="1409"/>
      <c r="K39" s="1403" t="s">
        <v>486</v>
      </c>
      <c r="L39" s="1403" t="s">
        <v>747</v>
      </c>
    </row>
    <row r="40" spans="1:19" hidden="1">
      <c r="B40" s="1404" t="str">
        <f>"Tháng "&amp;TEXT(B39,"00")&amp;".26"</f>
        <v>Tháng 05.26</v>
      </c>
      <c r="C40" s="1404" t="str">
        <f>"Tháng "&amp;TEXT(C39,"00")&amp;".26"</f>
        <v>Tháng 04.26</v>
      </c>
      <c r="D40" s="1405"/>
      <c r="F40" s="1406" t="s">
        <v>538</v>
      </c>
      <c r="G40" s="1409"/>
      <c r="K40" s="1406" t="s">
        <v>538</v>
      </c>
      <c r="L40" s="1406" t="s">
        <v>538</v>
      </c>
    </row>
    <row r="41" spans="1:19" hidden="1"/>
    <row r="42" spans="1:19" hidden="1">
      <c r="A42" s="1409" t="s">
        <v>487</v>
      </c>
      <c r="B42" s="1443">
        <f>SUM(B43:B46)</f>
        <v>5007079</v>
      </c>
      <c r="C42" s="1443">
        <f>SUM(C43:C46)</f>
        <v>6538961</v>
      </c>
      <c r="D42" s="1444"/>
      <c r="F42" s="1409"/>
      <c r="G42" s="1409"/>
      <c r="I42" s="1409"/>
      <c r="K42" s="1409"/>
    </row>
    <row r="43" spans="1:19" hidden="1">
      <c r="A43" s="1403" t="s">
        <v>893</v>
      </c>
      <c r="B43" s="1398" cm="1">
        <f t="array" ref="B43">SUMPRODUCT('Tác động-GM-Data'!$AF10:$AQ10*('Tác động-GM-Data'!$AF$7:$AQ$7=$B$39))</f>
        <v>1950553</v>
      </c>
      <c r="C43" s="1398" cm="1">
        <f t="array" ref="C43">SUMPRODUCT('Tác động-GM-Data'!$AF10:$AQ10*('Tác động-GM-Data'!$AF$7:$AQ$7=$C$39))</f>
        <v>2555080</v>
      </c>
      <c r="D43" s="1399"/>
    </row>
    <row r="44" spans="1:19" hidden="1">
      <c r="A44" s="1403" t="s">
        <v>892</v>
      </c>
      <c r="B44" s="1398" cm="1">
        <f t="array" ref="B44">SUMPRODUCT('Tác động-GM-Data'!$AF11:$AQ11*('Tác động-GM-Data'!$AF$7:$AQ$7=$B$39))</f>
        <v>3056526</v>
      </c>
      <c r="C44" s="1398" cm="1">
        <f t="array" ref="C44">SUMPRODUCT('Tác động-GM-Data'!$AF11:$AQ11*('Tác động-GM-Data'!$AF$7:$AQ$7=$C$39))</f>
        <v>3983881</v>
      </c>
      <c r="D44" s="1399"/>
    </row>
    <row r="45" spans="1:19" hidden="1">
      <c r="A45" s="1403" t="s">
        <v>488</v>
      </c>
      <c r="B45" s="1398"/>
      <c r="C45" s="1398"/>
      <c r="D45" s="1399"/>
    </row>
    <row r="46" spans="1:19" hidden="1">
      <c r="A46" s="1403" t="s">
        <v>489</v>
      </c>
      <c r="B46" s="1398"/>
    </row>
    <row r="47" spans="1:19" hidden="1">
      <c r="N47" s="1445">
        <f>N48-(P48-Q48)/10^3</f>
        <v>6.7723604502134549E-15</v>
      </c>
    </row>
    <row r="48" spans="1:19" hidden="1">
      <c r="A48" s="1409" t="s">
        <v>490</v>
      </c>
      <c r="B48" s="1443">
        <f t="shared" ref="B48:C52" si="28">IFERROR(B54/B42,0)</f>
        <v>19057.6655912559</v>
      </c>
      <c r="C48" s="1443">
        <f t="shared" si="28"/>
        <v>19406.30626486379</v>
      </c>
      <c r="D48" s="1444"/>
      <c r="F48" s="1439">
        <f>B48-C48</f>
        <v>-348.64067360788977</v>
      </c>
      <c r="G48" s="1446"/>
      <c r="I48" s="1420"/>
      <c r="K48" s="1447">
        <f>F48/(1-B60)/10^3</f>
        <v>-0.4015795193477979</v>
      </c>
      <c r="L48" s="1447">
        <f>(1/(1-B60)-1/(1-C60))*C48/10^3</f>
        <v>-0.31465813044357815</v>
      </c>
      <c r="N48" s="1420">
        <f>K48+L48</f>
        <v>-0.71623764979137605</v>
      </c>
      <c r="P48" s="1417">
        <f>B54/(B42*(1-B60))</f>
        <v>21951.449636754081</v>
      </c>
      <c r="Q48" s="1417">
        <f>C54/(C42*(1-C60))</f>
        <v>22667.687286545464</v>
      </c>
      <c r="S48" s="1448"/>
    </row>
    <row r="49" spans="1:10" hidden="1">
      <c r="A49" s="1403" t="s">
        <v>893</v>
      </c>
      <c r="B49" s="1398">
        <f t="shared" si="28"/>
        <v>18274.395400176258</v>
      </c>
      <c r="C49" s="1398">
        <f t="shared" si="28"/>
        <v>18171.925074753042</v>
      </c>
      <c r="D49" s="1399"/>
      <c r="F49" s="1417">
        <f>B49-C49</f>
        <v>102.4703254232154</v>
      </c>
      <c r="G49" s="1449"/>
      <c r="J49" s="1400"/>
    </row>
    <row r="50" spans="1:10" hidden="1">
      <c r="A50" s="1403" t="s">
        <v>892</v>
      </c>
      <c r="B50" s="1398">
        <f t="shared" si="28"/>
        <v>19557.517390658544</v>
      </c>
      <c r="C50" s="1398">
        <f t="shared" si="28"/>
        <v>20197.982193745243</v>
      </c>
      <c r="D50" s="1399"/>
      <c r="F50" s="1417">
        <f>B50-C50</f>
        <v>-640.46480308669925</v>
      </c>
      <c r="G50" s="1449"/>
      <c r="J50" s="1400"/>
    </row>
    <row r="51" spans="1:10" hidden="1">
      <c r="A51" s="1403" t="s">
        <v>488</v>
      </c>
      <c r="B51" s="1398">
        <f t="shared" si="28"/>
        <v>0</v>
      </c>
      <c r="C51" s="1398">
        <f t="shared" si="28"/>
        <v>0</v>
      </c>
      <c r="D51" s="1399"/>
      <c r="F51" s="1417">
        <f>B51-C51</f>
        <v>0</v>
      </c>
      <c r="G51" s="1449"/>
      <c r="J51" s="1450"/>
    </row>
    <row r="52" spans="1:10" hidden="1">
      <c r="A52" s="1403" t="s">
        <v>489</v>
      </c>
      <c r="B52" s="1398">
        <f t="shared" si="28"/>
        <v>0</v>
      </c>
      <c r="C52" s="1398">
        <f t="shared" si="28"/>
        <v>0</v>
      </c>
      <c r="D52" s="1399"/>
      <c r="F52" s="1417">
        <f>B52-C52</f>
        <v>0</v>
      </c>
      <c r="G52" s="1449"/>
    </row>
    <row r="53" spans="1:10" hidden="1"/>
    <row r="54" spans="1:10" hidden="1">
      <c r="A54" s="1409" t="s">
        <v>491</v>
      </c>
      <c r="B54" s="1443">
        <f>SUM(B55:B58)</f>
        <v>95423237171</v>
      </c>
      <c r="C54" s="1443">
        <f>SUM(C55:C58)</f>
        <v>126897079820</v>
      </c>
      <c r="D54" s="1444"/>
    </row>
    <row r="55" spans="1:10" hidden="1">
      <c r="A55" s="1403" t="s">
        <v>893</v>
      </c>
      <c r="B55" s="1398" cm="1">
        <f t="array" ref="B55">SUMPRODUCT('Tác động-GM-Data'!$AF16:$AQ16*('Tác động-GM-Data'!$AF$7:$AQ$7=$B$39))</f>
        <v>35645176771</v>
      </c>
      <c r="C55" s="1417" cm="1">
        <f t="array" ref="C55">SUMPRODUCT('Tác động-GM-Data'!$AF16:$AQ16*('Tác động-GM-Data'!$AF$7:$AQ$7=$C$39))</f>
        <v>46430722320</v>
      </c>
      <c r="D55" s="1449"/>
    </row>
    <row r="56" spans="1:10" hidden="1">
      <c r="A56" s="1403" t="s">
        <v>892</v>
      </c>
      <c r="B56" s="1398" cm="1">
        <f t="array" ref="B56">SUMPRODUCT('Tác động-GM-Data'!$AF17:$AQ17*('Tác động-GM-Data'!$AF$7:$AQ$7=$B$39))</f>
        <v>59778060400</v>
      </c>
      <c r="C56" s="1417" cm="1">
        <f t="array" ref="C56">SUMPRODUCT('Tác động-GM-Data'!$AF17:$AQ17*('Tác động-GM-Data'!$AF$7:$AQ$7=$C$39))</f>
        <v>80466357500</v>
      </c>
      <c r="D56" s="1449"/>
    </row>
    <row r="57" spans="1:10" hidden="1">
      <c r="A57" s="1403" t="s">
        <v>488</v>
      </c>
      <c r="B57" s="1398"/>
      <c r="C57" s="1417"/>
      <c r="D57" s="1401"/>
    </row>
    <row r="58" spans="1:10" hidden="1">
      <c r="A58" s="1403" t="s">
        <v>489</v>
      </c>
      <c r="B58" s="1398"/>
    </row>
    <row r="59" spans="1:10" hidden="1"/>
    <row r="60" spans="1:10" hidden="1">
      <c r="A60" s="1409" t="s">
        <v>416</v>
      </c>
      <c r="B60" s="1451">
        <f>SUMPRODUCT(B61:B63,B55:B57)/B54</f>
        <v>0.13182655785306396</v>
      </c>
      <c r="C60" s="1451">
        <f>SUMPRODUCT(C61:C63,C55:C57)/C54</f>
        <v>0.14387797839515296</v>
      </c>
      <c r="D60" s="1451"/>
    </row>
    <row r="61" spans="1:10" hidden="1">
      <c r="A61" s="1403" t="s">
        <v>893</v>
      </c>
      <c r="B61" s="1452" cm="1">
        <f t="array" ref="B61">SUMPRODUCT('Tác động-GM-Data'!$AF28:$AQ28*('Tác động-GM-Data'!$AF$7:$AQ$7=$B$39))</f>
        <v>0.16562806193424584</v>
      </c>
      <c r="C61" s="1452" cm="1">
        <f t="array" ref="C61">SUMPRODUCT('Tác động-GM-Data'!$AF28:$AQ28*('Tác động-GM-Data'!$AF$7:$AQ$7=$C$39))</f>
        <v>0.20020100437485211</v>
      </c>
      <c r="D61" s="1450"/>
    </row>
    <row r="62" spans="1:10" hidden="1">
      <c r="A62" s="1403" t="s">
        <v>892</v>
      </c>
      <c r="B62" s="1452" cm="1">
        <f t="array" ref="B62">SUMPRODUCT('Tác động-GM-Data'!$AF29:$AQ29*('Tác động-GM-Data'!$AF$7:$AQ$7=$B$39))</f>
        <v>0.11167099275046311</v>
      </c>
      <c r="C62" s="1452" cm="1">
        <f t="array" ref="C62">SUMPRODUCT('Tác động-GM-Data'!$AF29:$AQ29*('Tác động-GM-Data'!$AF$7:$AQ$7=$C$39))</f>
        <v>0.11137844864465374</v>
      </c>
      <c r="D62" s="1450"/>
    </row>
    <row r="63" spans="1:10" hidden="1">
      <c r="A63" s="1403" t="s">
        <v>488</v>
      </c>
      <c r="B63" s="1452" cm="1">
        <f t="array" ref="B63">SUMPRODUCT('Tác động-GM-Data'!$AF30:$AQ30*('Tác động-GM-Data'!$AF$7:$AQ$7=$B$39))</f>
        <v>8.3891407055670775E-2</v>
      </c>
      <c r="C63" s="1452" cm="1">
        <f t="array" ref="C63">SUMPRODUCT('Tác động-GM-Data'!$AF30:$AQ30*('Tác động-GM-Data'!$AF$7:$AQ$7=$C$39))</f>
        <v>0.215294041888379</v>
      </c>
      <c r="D63" s="1450"/>
    </row>
    <row r="64" spans="1:10" hidden="1">
      <c r="A64" s="1403" t="s">
        <v>489</v>
      </c>
      <c r="B64" s="1438"/>
      <c r="C64" s="1438"/>
    </row>
    <row r="65" spans="1:14" hidden="1"/>
    <row r="66" spans="1:14" hidden="1"/>
    <row r="67" spans="1:14" ht="15" hidden="1" thickBot="1"/>
    <row r="68" spans="1:14" s="1440" customFormat="1"/>
    <row r="69" spans="1:14" s="1442" customFormat="1">
      <c r="A69" s="1441" t="s">
        <v>868</v>
      </c>
    </row>
    <row r="72" spans="1:14">
      <c r="B72" s="1402">
        <f>'Data-Vẽ -CYvsPY'!E1</f>
        <v>5</v>
      </c>
      <c r="C72" s="1402"/>
      <c r="D72" s="1409"/>
      <c r="K72" s="1403" t="s">
        <v>486</v>
      </c>
      <c r="L72" s="1403" t="s">
        <v>747</v>
      </c>
    </row>
    <row r="73" spans="1:14">
      <c r="B73" s="1404" t="s">
        <v>1053</v>
      </c>
      <c r="C73" s="1404" t="s">
        <v>1054</v>
      </c>
      <c r="D73" s="1405"/>
      <c r="F73" s="1406" t="s">
        <v>538</v>
      </c>
      <c r="G73" s="1409"/>
      <c r="K73" s="1406" t="s">
        <v>538</v>
      </c>
      <c r="L73" s="1406" t="s">
        <v>538</v>
      </c>
    </row>
    <row r="75" spans="1:14">
      <c r="A75" s="1409" t="s">
        <v>487</v>
      </c>
      <c r="B75" s="1443">
        <f>SUM(B76:B79)</f>
        <v>17758554.52</v>
      </c>
      <c r="C75" s="1443">
        <f>SUM(C76:C79)</f>
        <v>48334069.399999999</v>
      </c>
      <c r="D75" s="1444"/>
      <c r="F75" s="1409"/>
      <c r="G75" s="1409"/>
      <c r="I75" s="1409"/>
      <c r="K75" s="1409"/>
    </row>
    <row r="76" spans="1:14">
      <c r="A76" s="1403" t="s">
        <v>893</v>
      </c>
      <c r="B76" s="1398" cm="1">
        <f t="array" ref="B76">SUMPRODUCT('Tác động-GM-Data'!$BH10:$BS10*('Tác động-GM-Data'!$AF$7:$AQ$7&lt;=$B$72))</f>
        <v>9004371.5199999996</v>
      </c>
      <c r="C76" s="1398">
        <f>'Tác động-GM-Data'!AR10</f>
        <v>23770763.399999999</v>
      </c>
      <c r="D76" s="1399"/>
    </row>
    <row r="77" spans="1:14">
      <c r="A77" s="1403" t="s">
        <v>892</v>
      </c>
      <c r="B77" s="1398" cm="1">
        <f t="array" ref="B77">SUMPRODUCT('Tác động-GM-Data'!$BH11:$BS11*('Tác động-GM-Data'!$AF$7:$AQ$7&lt;=$B$72))</f>
        <v>8754183</v>
      </c>
      <c r="C77" s="1398">
        <f>'Tác động-GM-Data'!AR11</f>
        <v>24563306</v>
      </c>
      <c r="D77" s="1399"/>
    </row>
    <row r="78" spans="1:14">
      <c r="A78" s="1403" t="s">
        <v>488</v>
      </c>
      <c r="B78" s="1398"/>
      <c r="C78" s="1398"/>
      <c r="D78" s="1399"/>
    </row>
    <row r="79" spans="1:14">
      <c r="A79" s="1403" t="s">
        <v>489</v>
      </c>
      <c r="B79" s="1398"/>
    </row>
    <row r="80" spans="1:14">
      <c r="N80" s="1445">
        <f>N81-(P81-Q81)/10^3</f>
        <v>0</v>
      </c>
    </row>
    <row r="81" spans="1:17">
      <c r="A81" s="1409" t="s">
        <v>490</v>
      </c>
      <c r="B81" s="1443">
        <f t="shared" ref="B81:C85" si="29">IFERROR(B87/B75,0)</f>
        <v>15745.293460461218</v>
      </c>
      <c r="C81" s="1443">
        <f t="shared" si="29"/>
        <v>17927.759325309366</v>
      </c>
      <c r="D81" s="1444"/>
      <c r="F81" s="1439">
        <f>B81-C81</f>
        <v>-2182.4658648481472</v>
      </c>
      <c r="G81" s="1446"/>
      <c r="H81" s="1403">
        <f>F81/B81</f>
        <v>-0.13861068200022086</v>
      </c>
      <c r="I81" s="1420"/>
      <c r="K81" s="1447">
        <f>F81/(1-B93)/10^3</f>
        <v>-2.6497555359337377</v>
      </c>
      <c r="L81" s="1447">
        <f>(1/(1-B93)-1/(1-C93))*C81/10^3</f>
        <v>-5.800928982250822E-2</v>
      </c>
      <c r="N81" s="1420">
        <f>K81+L81</f>
        <v>-2.7077648257562461</v>
      </c>
      <c r="P81" s="1417">
        <f>B87/(B75*(1-B93))</f>
        <v>19116.531985099929</v>
      </c>
      <c r="Q81" s="1417">
        <f>C87/(C75*(1-C93))</f>
        <v>21824.296810856176</v>
      </c>
    </row>
    <row r="82" spans="1:17">
      <c r="A82" s="1403" t="s">
        <v>893</v>
      </c>
      <c r="B82" s="1398">
        <f t="shared" si="29"/>
        <v>14640.87207843241</v>
      </c>
      <c r="C82" s="1398">
        <f t="shared" si="29"/>
        <v>17042.391145292375</v>
      </c>
      <c r="D82" s="1399"/>
      <c r="F82" s="1417">
        <f>B82-C82</f>
        <v>-2401.5190668599644</v>
      </c>
      <c r="G82" s="1449"/>
      <c r="J82" s="1400"/>
    </row>
    <row r="83" spans="1:17">
      <c r="A83" s="1403" t="s">
        <v>892</v>
      </c>
      <c r="B83" s="1398">
        <f t="shared" si="29"/>
        <v>16881.278444830317</v>
      </c>
      <c r="C83" s="1398">
        <f t="shared" si="29"/>
        <v>18784.560829515376</v>
      </c>
      <c r="D83" s="1399"/>
      <c r="F83" s="1417">
        <f>B83-C83</f>
        <v>-1903.2823846850588</v>
      </c>
      <c r="G83" s="1449"/>
      <c r="J83" s="1400"/>
    </row>
    <row r="84" spans="1:17">
      <c r="A84" s="1403" t="s">
        <v>488</v>
      </c>
      <c r="B84" s="1398"/>
      <c r="C84" s="1398"/>
      <c r="D84" s="1399"/>
      <c r="F84" s="1417">
        <f>B84-C84</f>
        <v>0</v>
      </c>
      <c r="G84" s="1449"/>
      <c r="J84" s="1450"/>
    </row>
    <row r="85" spans="1:17">
      <c r="A85" s="1403" t="s">
        <v>489</v>
      </c>
      <c r="B85" s="1398">
        <f t="shared" si="29"/>
        <v>0</v>
      </c>
      <c r="C85" s="1398">
        <f t="shared" si="29"/>
        <v>0</v>
      </c>
      <c r="D85" s="1399"/>
      <c r="F85" s="1417">
        <f>B85-C85</f>
        <v>0</v>
      </c>
      <c r="G85" s="1449"/>
    </row>
    <row r="87" spans="1:17">
      <c r="A87" s="1409" t="s">
        <v>491</v>
      </c>
      <c r="B87" s="1443">
        <f>SUM(B88:B91)</f>
        <v>279613652351</v>
      </c>
      <c r="C87" s="1443">
        <f>SUM(C88:C91)</f>
        <v>866521563416</v>
      </c>
      <c r="D87" s="1444"/>
    </row>
    <row r="88" spans="1:17">
      <c r="A88" s="1403" t="s">
        <v>893</v>
      </c>
      <c r="B88" s="1398" cm="1">
        <f t="array" ref="B88">SUMPRODUCT('Tác động-GM-Data'!$BH16:$BS16*('Tác động-GM-Data'!$AF$7:$AQ$7&lt;=$B$72))</f>
        <v>131831851571</v>
      </c>
      <c r="C88" s="1417">
        <f>'Tác động-GM-Data'!AR16</f>
        <v>405110647685</v>
      </c>
      <c r="D88" s="1449"/>
    </row>
    <row r="89" spans="1:17">
      <c r="A89" s="1403" t="s">
        <v>892</v>
      </c>
      <c r="B89" s="1398" cm="1">
        <f t="array" ref="B89">SUMPRODUCT('Tác động-GM-Data'!$BH17:$BS17*('Tác động-GM-Data'!$AF$7:$AQ$7&lt;=$B$72))</f>
        <v>147781800780</v>
      </c>
      <c r="C89" s="1417">
        <f>'Tác động-GM-Data'!AR17</f>
        <v>461410915731</v>
      </c>
      <c r="D89" s="1449"/>
    </row>
    <row r="90" spans="1:17">
      <c r="A90" s="1403" t="s">
        <v>488</v>
      </c>
      <c r="B90" s="1398"/>
      <c r="C90" s="1417"/>
      <c r="D90" s="1401"/>
    </row>
    <row r="91" spans="1:17">
      <c r="A91" s="1403" t="s">
        <v>489</v>
      </c>
      <c r="B91" s="1398"/>
    </row>
    <row r="93" spans="1:17">
      <c r="A93" s="1409" t="s">
        <v>416</v>
      </c>
      <c r="B93" s="1431">
        <f>SUMPRODUCT(B94:B96,B76:B78)/B75</f>
        <v>0.17635199351359182</v>
      </c>
      <c r="C93" s="1431">
        <f>SUMPRODUCT(C94:C96,C76:C78)/C75</f>
        <v>0.17854126157267686</v>
      </c>
      <c r="D93" s="1451"/>
    </row>
    <row r="94" spans="1:17">
      <c r="A94" s="1403" t="s">
        <v>893</v>
      </c>
      <c r="B94" s="1452" cm="1">
        <f t="array" ref="B94">SUMPRODUCT('Tác động-GM-Data'!$BH34:$BS34*('Tác động-GM-Data'!$AF$7:$AQ$7=$B$72))</f>
        <v>0.2257493999668414</v>
      </c>
      <c r="C94" s="1452">
        <f>'Tác động-GM-Data'!AQ34</f>
        <v>0.23625237995565895</v>
      </c>
      <c r="D94" s="1450"/>
    </row>
    <row r="95" spans="1:17">
      <c r="A95" s="1403" t="s">
        <v>892</v>
      </c>
      <c r="B95" s="1452" cm="1">
        <f t="array" ref="B95">SUMPRODUCT('Tác động-GM-Data'!$BH35:$BS35*('Tác động-GM-Data'!$AF$7:$AQ$7=$B$72))</f>
        <v>0.12554284321030196</v>
      </c>
      <c r="C95" s="1452">
        <f>'Tác động-GM-Data'!AQ35</f>
        <v>0.12269221012043108</v>
      </c>
      <c r="D95" s="1450"/>
    </row>
    <row r="96" spans="1:17">
      <c r="A96" s="1403" t="s">
        <v>488</v>
      </c>
      <c r="B96" s="1452"/>
      <c r="C96" s="1452"/>
      <c r="D96" s="1450"/>
    </row>
    <row r="97" spans="1:3">
      <c r="A97" s="1403" t="s">
        <v>489</v>
      </c>
      <c r="B97" s="1438"/>
      <c r="C97" s="1438"/>
    </row>
    <row r="99" spans="1:3">
      <c r="A99" s="1409" t="s">
        <v>934</v>
      </c>
      <c r="B99" s="1439">
        <f>SUM(B100:B103)</f>
        <v>14626798.028478194</v>
      </c>
      <c r="C99" s="1439">
        <f>SUM(C100:C103)</f>
        <v>39704443.672382683</v>
      </c>
    </row>
    <row r="100" spans="1:3">
      <c r="A100" s="1403" t="s">
        <v>893</v>
      </c>
      <c r="B100" s="1417">
        <f>B76*(1-B94)</f>
        <v>6971640.052281484</v>
      </c>
      <c r="C100" s="1417">
        <f>C76*(1-C94)</f>
        <v>18154863.973387126</v>
      </c>
    </row>
    <row r="101" spans="1:3">
      <c r="A101" s="1403" t="s">
        <v>892</v>
      </c>
      <c r="B101" s="1417">
        <f t="shared" ref="B101:C101" si="30">B77*(1-B95)</f>
        <v>7655157.9761967091</v>
      </c>
      <c r="C101" s="1417">
        <f t="shared" si="30"/>
        <v>21549579.698995553</v>
      </c>
    </row>
    <row r="102" spans="1:3">
      <c r="A102" s="1403" t="s">
        <v>488</v>
      </c>
      <c r="B102" s="1417">
        <f t="shared" ref="B102:C102" si="31">B78*(1-B96)</f>
        <v>0</v>
      </c>
      <c r="C102" s="1417">
        <f t="shared" si="31"/>
        <v>0</v>
      </c>
    </row>
    <row r="103" spans="1:3">
      <c r="A103" s="1403" t="s">
        <v>489</v>
      </c>
      <c r="B103" s="1417">
        <f t="shared" ref="B103:C103" si="32">B79*(1-B97)</f>
        <v>0</v>
      </c>
      <c r="C103" s="1417">
        <f t="shared" si="32"/>
        <v>0</v>
      </c>
    </row>
    <row r="104" spans="1:3">
      <c r="B104" s="1417"/>
      <c r="C104" s="1417"/>
    </row>
    <row r="105" spans="1:3">
      <c r="A105" s="1403" t="s">
        <v>932</v>
      </c>
      <c r="B105" s="1436">
        <f>SUMPRODUCT(B76:B77,B94:B95)/SUM(B76:B77)</f>
        <v>0.17635199351359182</v>
      </c>
      <c r="C105" s="1436">
        <f>SUMPRODUCT(C76:C77,C94:C95)/SUM(C76:C77)</f>
        <v>0.17854126157267686</v>
      </c>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5C8C8-CFED-460B-999D-7689EBB51577}">
  <sheetPr codeName="Sheet35"/>
  <dimension ref="A1:Z100"/>
  <sheetViews>
    <sheetView showGridLines="0" zoomScaleNormal="100" workbookViewId="0">
      <selection activeCell="H29" sqref="H29"/>
    </sheetView>
  </sheetViews>
  <sheetFormatPr defaultColWidth="8.90625" defaultRowHeight="12.5"/>
  <cols>
    <col min="1" max="1" width="15" style="406" customWidth="1"/>
    <col min="2" max="2" width="18" style="406" customWidth="1"/>
    <col min="3" max="3" width="18.08984375" style="406" customWidth="1"/>
    <col min="4" max="4" width="1" style="406" customWidth="1"/>
    <col min="5" max="6" width="17.453125" style="406" customWidth="1"/>
    <col min="7" max="7" width="1" style="406" customWidth="1"/>
    <col min="8" max="8" width="15" style="406" customWidth="1"/>
    <col min="9" max="9" width="14" style="406" customWidth="1"/>
    <col min="10" max="10" width="2.90625" style="406" customWidth="1"/>
    <col min="11" max="11" width="11.90625" style="406" customWidth="1"/>
    <col min="12" max="12" width="10.453125" style="406" customWidth="1"/>
    <col min="13" max="13" width="8.90625" style="406"/>
    <col min="14" max="14" width="9.90625" style="406" customWidth="1"/>
    <col min="15" max="15" width="8.90625" style="406"/>
    <col min="16" max="17" width="10" style="406" customWidth="1"/>
    <col min="18" max="19" width="8.90625" style="406"/>
    <col min="20" max="20" width="10.54296875" style="406" customWidth="1"/>
    <col min="21" max="21" width="10.453125" style="406" customWidth="1"/>
    <col min="22" max="22" width="9.453125" style="406" customWidth="1"/>
    <col min="23" max="23" width="12.90625" style="406" customWidth="1"/>
    <col min="24" max="25" width="10.453125" style="406" customWidth="1"/>
    <col min="26" max="16384" width="8.90625" style="406"/>
  </cols>
  <sheetData>
    <row r="1" spans="1:26" ht="13">
      <c r="A1" s="405">
        <v>9</v>
      </c>
      <c r="C1" s="1312"/>
      <c r="K1" s="406" t="s">
        <v>486</v>
      </c>
      <c r="N1" s="406" t="s">
        <v>747</v>
      </c>
      <c r="Q1" s="406" t="s">
        <v>894</v>
      </c>
    </row>
    <row r="2" spans="1:26" ht="13">
      <c r="B2" s="1086" t="str">
        <f>"Tháng "&amp;TEXT($A$1,"00")&amp;".25"</f>
        <v>Tháng 09.25</v>
      </c>
      <c r="C2" s="1086" t="str">
        <f>"KH Tháng "&amp;TEXT($A$1,"00")&amp;".25"</f>
        <v>KH Tháng 09.25</v>
      </c>
      <c r="D2" s="1087"/>
      <c r="E2" s="1086" t="str">
        <f>"LK "&amp;A1&amp;"T.25"</f>
        <v>LK 9T.25</v>
      </c>
      <c r="F2" s="1086" t="str">
        <f>"LK KH "&amp;A1&amp;"T.25"</f>
        <v>LK KH 9T.25</v>
      </c>
      <c r="G2" s="1087"/>
      <c r="H2" s="1088" t="s">
        <v>778</v>
      </c>
      <c r="I2" s="1088" t="s">
        <v>779</v>
      </c>
      <c r="K2" s="1088" t="s">
        <v>778</v>
      </c>
      <c r="L2" s="1088" t="s">
        <v>779</v>
      </c>
      <c r="N2" s="1088" t="s">
        <v>778</v>
      </c>
      <c r="O2" s="1088" t="s">
        <v>779</v>
      </c>
      <c r="Q2" s="1088" t="s">
        <v>778</v>
      </c>
      <c r="R2" s="1088" t="s">
        <v>779</v>
      </c>
    </row>
    <row r="3" spans="1:26">
      <c r="C3" s="407"/>
      <c r="D3" s="407"/>
      <c r="E3" s="1059"/>
      <c r="I3" s="1059"/>
      <c r="L3" s="1059"/>
    </row>
    <row r="4" spans="1:26" s="408" customFormat="1" ht="13">
      <c r="A4" s="408" t="s">
        <v>487</v>
      </c>
      <c r="B4" s="1068">
        <f>SUM(B5:B8)</f>
        <v>200</v>
      </c>
      <c r="C4" s="1068">
        <f>SUM(C5:C8)</f>
        <v>194.73684210526318</v>
      </c>
      <c r="D4" s="1069"/>
      <c r="E4" s="1070">
        <f>SUM(E5:E8)</f>
        <v>40321324</v>
      </c>
      <c r="F4" s="1070">
        <f>SUM(F5:F8)</f>
        <v>45080000</v>
      </c>
      <c r="G4" s="1069"/>
      <c r="H4" s="1068"/>
      <c r="I4" s="1070"/>
      <c r="J4" s="1068"/>
      <c r="K4" s="1068"/>
      <c r="L4" s="1070"/>
      <c r="M4" s="1068"/>
      <c r="N4" s="1068"/>
    </row>
    <row r="5" spans="1:26" ht="14.5">
      <c r="A5" s="406" t="s">
        <v>893</v>
      </c>
      <c r="B5" s="1071">
        <v>100</v>
      </c>
      <c r="C5" s="1071">
        <v>100</v>
      </c>
      <c r="D5" s="1072"/>
      <c r="E5" s="1073" cm="1">
        <f t="array" ref="E5">SUMPRODUCT('Tác động-GM-Data'!$AF10:$AQ10*('Tác động-GM-Data'!$AF$7:$AQ$7&lt;=$A$1))</f>
        <v>18882751</v>
      </c>
      <c r="F5" s="1074" cm="1">
        <f t="array" ref="F5">SUMPRODUCT('Tác động-GM-Data'!$R10:$AC10*('Tác động-GM-Data'!$R$7:$AC$7&lt;=$A$1))</f>
        <v>18680000</v>
      </c>
      <c r="G5" s="1075"/>
      <c r="H5" s="1074"/>
      <c r="I5" s="1076"/>
      <c r="J5" s="1074"/>
      <c r="K5" s="1074"/>
      <c r="L5" s="1076"/>
      <c r="M5" s="1074"/>
      <c r="N5" s="1074"/>
    </row>
    <row r="6" spans="1:26" ht="14.5">
      <c r="A6" s="406" t="s">
        <v>892</v>
      </c>
      <c r="B6" s="1071">
        <v>100</v>
      </c>
      <c r="C6" s="1071">
        <f>B30/(1-C24)</f>
        <v>94.736842105263165</v>
      </c>
      <c r="D6" s="1072"/>
      <c r="E6" s="1073" cm="1">
        <f t="array" ref="E6">SUMPRODUCT('Tác động-GM-Data'!$AF11:$AQ11*('Tác động-GM-Data'!$AF$7:$AQ$7&lt;=$A$1))</f>
        <v>19375284</v>
      </c>
      <c r="F6" s="1074" cm="1">
        <f t="array" ref="F6">SUMPRODUCT('Tác động-GM-Data'!$R11:$AC11*('Tác động-GM-Data'!$R$7:$AC$7&lt;=$A$1))</f>
        <v>22200000</v>
      </c>
      <c r="G6" s="1075"/>
      <c r="H6" s="1074"/>
      <c r="I6" s="1076"/>
      <c r="J6" s="1074"/>
      <c r="K6" s="1074"/>
      <c r="L6" s="1076"/>
      <c r="M6" s="1074"/>
      <c r="N6" s="1074"/>
    </row>
    <row r="7" spans="1:26" ht="14.5">
      <c r="A7" s="406" t="s">
        <v>488</v>
      </c>
      <c r="B7" s="1071"/>
      <c r="C7" s="1071"/>
      <c r="D7" s="1072"/>
      <c r="E7" s="1073" cm="1">
        <f t="array" ref="E7">SUMPRODUCT('Tác động-GM-Data'!$AF12:$AQ12*('Tác động-GM-Data'!$AF$7:$AQ$7&lt;=$A$1))</f>
        <v>2063289</v>
      </c>
      <c r="F7" s="1074" cm="1">
        <f t="array" ref="F7">SUMPRODUCT('Tác động-GM-Data'!$R12:$AC12*('Tác động-GM-Data'!$R$7:$AC$7&lt;=$A$1))</f>
        <v>4200000</v>
      </c>
      <c r="G7" s="1075"/>
      <c r="H7" s="1074"/>
      <c r="I7" s="1076"/>
      <c r="J7" s="1074"/>
      <c r="K7" s="1074"/>
      <c r="L7" s="1076"/>
      <c r="M7" s="1074"/>
      <c r="N7" s="1074"/>
    </row>
    <row r="8" spans="1:26" ht="14.5">
      <c r="A8" s="406" t="s">
        <v>489</v>
      </c>
      <c r="B8" s="1071"/>
      <c r="C8" s="1071"/>
      <c r="D8" s="1072"/>
      <c r="E8" s="1073"/>
      <c r="F8" s="1074"/>
      <c r="G8" s="1075"/>
      <c r="H8" s="1074"/>
      <c r="I8" s="1076"/>
      <c r="J8" s="1074"/>
      <c r="K8" s="1074"/>
      <c r="L8" s="1076"/>
      <c r="M8" s="1074"/>
      <c r="N8" s="1074"/>
    </row>
    <row r="9" spans="1:26">
      <c r="B9" s="1074"/>
      <c r="C9" s="1074"/>
      <c r="D9" s="1075"/>
      <c r="E9" s="1076"/>
      <c r="F9" s="1074"/>
      <c r="G9" s="1075"/>
      <c r="H9" s="1074"/>
      <c r="I9" s="1076"/>
      <c r="J9" s="1074"/>
      <c r="K9" s="1074"/>
      <c r="L9" s="1076"/>
      <c r="M9" s="1074"/>
      <c r="N9" s="1074"/>
      <c r="Q9" s="1092">
        <f>Q10-(T10-U10)/10^3</f>
        <v>-5.2180482157382357E-15</v>
      </c>
      <c r="R9" s="1092">
        <f>R10-(X10-Y10)/10^3</f>
        <v>-1.7763568394002505E-15</v>
      </c>
    </row>
    <row r="10" spans="1:26" s="408" customFormat="1" ht="13">
      <c r="A10" s="408" t="s">
        <v>490</v>
      </c>
      <c r="B10" s="1068">
        <f t="shared" ref="B10:C10" si="0">IFERROR(B16/B4,0)</f>
        <v>19446.096831773462</v>
      </c>
      <c r="C10" s="1068">
        <f t="shared" si="0"/>
        <v>19428.325974792879</v>
      </c>
      <c r="D10" s="1069"/>
      <c r="E10" s="1070">
        <f t="shared" ref="E10:F14" si="1">IFERROR(E16/E4,0)</f>
        <v>18600.802558740383</v>
      </c>
      <c r="F10" s="1070">
        <f t="shared" si="1"/>
        <v>18205.778615794145</v>
      </c>
      <c r="G10" s="1069"/>
      <c r="H10" s="1068">
        <f>B10-C10</f>
        <v>17.770856980583631</v>
      </c>
      <c r="I10" s="1070">
        <f>E10-F10</f>
        <v>395.02394294623809</v>
      </c>
      <c r="J10" s="1068"/>
      <c r="K10" s="1244">
        <f>H10/(1-B22)/10^3</f>
        <v>1.9745396645092922E-2</v>
      </c>
      <c r="L10" s="1244">
        <f>I10/(1-E22)/10^3</f>
        <v>0.47030919197076781</v>
      </c>
      <c r="M10" s="1068"/>
      <c r="N10" s="1244">
        <f>(1/(1-B22)-1/(1-C22))*C10/10^3</f>
        <v>0.56807970686528775</v>
      </c>
      <c r="O10" s="1077">
        <f>(1/(1-E22)-1/(1-F22))*F10/10^3</f>
        <v>1.1154714412209541</v>
      </c>
      <c r="Q10" s="1089">
        <f>K10+N10</f>
        <v>0.58782510351038064</v>
      </c>
      <c r="R10" s="1089">
        <f>L10+O10</f>
        <v>1.5857806331917219</v>
      </c>
      <c r="T10" s="1248">
        <f>B16/(B4*(1-B22))</f>
        <v>21606.774257526071</v>
      </c>
      <c r="U10" s="1248">
        <f>C16/(C4*(1-C22))</f>
        <v>21018.949154015685</v>
      </c>
      <c r="V10" s="1248">
        <f t="shared" ref="V10" si="2">T10-U10</f>
        <v>587.82510351038582</v>
      </c>
      <c r="W10" s="1247">
        <f>V10-Q10*10^3</f>
        <v>5.2295945351943374E-12</v>
      </c>
      <c r="X10" s="1250">
        <f>E16/(E4*(1-E22))</f>
        <v>22145.81819056872</v>
      </c>
      <c r="Y10" s="1250">
        <f>F16/(F4*(1-F22))</f>
        <v>20560.037557376996</v>
      </c>
      <c r="Z10" s="1251"/>
    </row>
    <row r="11" spans="1:26" ht="14.5">
      <c r="A11" s="406" t="s">
        <v>893</v>
      </c>
      <c r="B11" s="1071">
        <v>18788.575123491893</v>
      </c>
      <c r="C11" s="1071">
        <v>18788.575123491893</v>
      </c>
      <c r="D11" s="1072"/>
      <c r="E11" s="1073">
        <f t="shared" si="1"/>
        <v>17799.155153028285</v>
      </c>
      <c r="F11" s="1073">
        <f t="shared" si="1"/>
        <v>16823.072805139185</v>
      </c>
      <c r="G11" s="1075"/>
      <c r="H11" s="1074">
        <f>B11-C11</f>
        <v>0</v>
      </c>
      <c r="I11" s="1076">
        <f t="shared" ref="I11:I14" si="3">E11-F11</f>
        <v>976.08234788909976</v>
      </c>
      <c r="J11" s="1074"/>
      <c r="K11" s="1245">
        <f>H11/(1-B23)/10^3</f>
        <v>0</v>
      </c>
      <c r="L11" s="1076"/>
      <c r="M11" s="1074"/>
      <c r="N11" s="1090">
        <f t="shared" ref="N11:N13" si="4">(1/(1-B23)-1/(1-C23))*C11/10^3</f>
        <v>0</v>
      </c>
      <c r="Q11" s="1254">
        <f t="shared" ref="Q11:R13" si="5">K11+N11</f>
        <v>0</v>
      </c>
      <c r="R11" s="1254">
        <f t="shared" si="5"/>
        <v>0</v>
      </c>
      <c r="T11" s="1249">
        <f t="shared" ref="T11:U12" si="6">B17/(B5*(1-B23))</f>
        <v>20876.194581657659</v>
      </c>
      <c r="U11" s="1249">
        <f t="shared" si="6"/>
        <v>20876.194581657659</v>
      </c>
      <c r="V11" s="1249">
        <f>T11-U11</f>
        <v>0</v>
      </c>
      <c r="W11" s="1247">
        <f t="shared" ref="W11:W13" si="7">V11-Q11*10^3</f>
        <v>0</v>
      </c>
      <c r="X11" s="1252">
        <f t="shared" ref="X11:Y13" si="8">E17/(E5*(1-E23))</f>
        <v>22646.192435257137</v>
      </c>
      <c r="Y11" s="1252">
        <f t="shared" si="8"/>
        <v>19998.897771206834</v>
      </c>
      <c r="Z11" s="1253"/>
    </row>
    <row r="12" spans="1:26" ht="14.5">
      <c r="A12" s="406" t="s">
        <v>892</v>
      </c>
      <c r="B12" s="1071">
        <v>20103.618540055035</v>
      </c>
      <c r="C12" s="1071">
        <v>20103.618540055035</v>
      </c>
      <c r="D12" s="1072"/>
      <c r="E12" s="1073">
        <f t="shared" si="1"/>
        <v>19541.332600750524</v>
      </c>
      <c r="F12" s="1073">
        <f t="shared" si="1"/>
        <v>19060.247747747748</v>
      </c>
      <c r="G12" s="1075"/>
      <c r="H12" s="1074">
        <f>B12-C12</f>
        <v>0</v>
      </c>
      <c r="I12" s="1076">
        <f t="shared" si="3"/>
        <v>481.08485300277607</v>
      </c>
      <c r="J12" s="1074"/>
      <c r="K12" s="1245">
        <f>H12/(1-B24)/10^3</f>
        <v>0</v>
      </c>
      <c r="L12" s="1076"/>
      <c r="M12" s="1074"/>
      <c r="N12" s="1090">
        <f t="shared" si="4"/>
        <v>1.1756502070207644</v>
      </c>
      <c r="Q12" s="1254">
        <f>K12+N12</f>
        <v>1.1756502070207644</v>
      </c>
      <c r="R12" s="1254">
        <f t="shared" si="5"/>
        <v>0</v>
      </c>
      <c r="T12" s="1249">
        <f t="shared" si="6"/>
        <v>22337.353933394483</v>
      </c>
      <c r="U12" s="1249">
        <f t="shared" si="6"/>
        <v>21161.703726373722</v>
      </c>
      <c r="V12" s="1249">
        <f>T12-U12</f>
        <v>1175.6502070207607</v>
      </c>
      <c r="W12" s="1247">
        <f t="shared" si="7"/>
        <v>-3.637978807091713E-12</v>
      </c>
      <c r="X12" s="1252">
        <f t="shared" si="8"/>
        <v>22185.39692698712</v>
      </c>
      <c r="Y12" s="1252">
        <f t="shared" si="8"/>
        <v>20621.278532670938</v>
      </c>
      <c r="Z12" s="1253"/>
    </row>
    <row r="13" spans="1:26" ht="14.5">
      <c r="A13" s="406" t="s">
        <v>488</v>
      </c>
      <c r="B13" s="1071">
        <v>16983.319732688331</v>
      </c>
      <c r="C13" s="1071">
        <v>16983.319732688331</v>
      </c>
      <c r="D13" s="1072"/>
      <c r="E13" s="1073">
        <f t="shared" si="1"/>
        <v>17105.26396835344</v>
      </c>
      <c r="F13" s="1073">
        <f t="shared" si="1"/>
        <v>19839.047619047618</v>
      </c>
      <c r="G13" s="1075"/>
      <c r="H13" s="1074">
        <f>B13-C13</f>
        <v>0</v>
      </c>
      <c r="I13" s="1076">
        <f t="shared" si="3"/>
        <v>-2733.7836506941785</v>
      </c>
      <c r="J13" s="1074"/>
      <c r="K13" s="1245">
        <f>H13/(1-B25)/10^3</f>
        <v>0</v>
      </c>
      <c r="L13" s="1076"/>
      <c r="M13" s="1074"/>
      <c r="N13" s="1090">
        <f t="shared" si="4"/>
        <v>0</v>
      </c>
      <c r="Q13" s="1254">
        <f t="shared" si="5"/>
        <v>0</v>
      </c>
      <c r="R13" s="1254">
        <f t="shared" si="5"/>
        <v>0</v>
      </c>
      <c r="T13" s="1249"/>
      <c r="U13" s="1249"/>
      <c r="V13" s="1249"/>
      <c r="W13" s="1247">
        <f t="shared" si="7"/>
        <v>0</v>
      </c>
      <c r="X13" s="1252">
        <f t="shared" si="8"/>
        <v>18693.531648489668</v>
      </c>
      <c r="Y13" s="1252">
        <f t="shared" si="8"/>
        <v>23190.618946152292</v>
      </c>
      <c r="Z13" s="1253"/>
    </row>
    <row r="14" spans="1:26" ht="14.5">
      <c r="A14" s="406" t="s">
        <v>489</v>
      </c>
      <c r="B14" s="1071">
        <v>0</v>
      </c>
      <c r="C14" s="1071">
        <v>0</v>
      </c>
      <c r="D14" s="1072"/>
      <c r="E14" s="1073">
        <f t="shared" si="1"/>
        <v>0</v>
      </c>
      <c r="F14" s="1073">
        <f t="shared" si="1"/>
        <v>0</v>
      </c>
      <c r="G14" s="1075"/>
      <c r="H14" s="1074">
        <f>B14-C14</f>
        <v>0</v>
      </c>
      <c r="I14" s="1076">
        <f t="shared" si="3"/>
        <v>0</v>
      </c>
      <c r="J14" s="1074"/>
      <c r="K14" s="1074"/>
      <c r="L14" s="1076"/>
      <c r="M14" s="1074"/>
      <c r="N14" s="1074"/>
    </row>
    <row r="15" spans="1:26" ht="13">
      <c r="B15" s="1074"/>
      <c r="C15" s="1074"/>
      <c r="D15" s="1075"/>
      <c r="E15" s="1076"/>
      <c r="F15" s="1074"/>
      <c r="G15" s="1075"/>
      <c r="H15" s="1074"/>
      <c r="I15" s="1076"/>
      <c r="J15" s="1074"/>
      <c r="K15" s="1074"/>
      <c r="L15" s="1076"/>
      <c r="M15" s="1074"/>
      <c r="N15" s="1074"/>
      <c r="T15" s="408" t="s">
        <v>933</v>
      </c>
    </row>
    <row r="16" spans="1:26" s="408" customFormat="1" ht="13">
      <c r="A16" s="408" t="s">
        <v>491</v>
      </c>
      <c r="B16" s="1068">
        <f>SUM(B17:B20)</f>
        <v>3889219.3663546927</v>
      </c>
      <c r="C16" s="1068">
        <f>SUM(C17:C20)</f>
        <v>3783410.8477228242</v>
      </c>
      <c r="D16" s="1069"/>
      <c r="E16" s="1070">
        <f>SUM(E17:E20)</f>
        <v>750008986631</v>
      </c>
      <c r="F16" s="1070">
        <f>SUM(F17:F20)</f>
        <v>820716500000</v>
      </c>
      <c r="G16" s="1069"/>
      <c r="H16" s="1068"/>
      <c r="I16" s="1070"/>
      <c r="J16" s="1068"/>
      <c r="K16" s="1068"/>
      <c r="L16" s="1070"/>
      <c r="M16" s="1068"/>
      <c r="N16" s="1317">
        <f>SUM(N17:N20)</f>
        <v>0.2939125517551911</v>
      </c>
      <c r="T16" s="1248">
        <f>SUM(T17:T19)</f>
        <v>21606.774257526071</v>
      </c>
      <c r="U16" s="1248">
        <f>SUM(U17:U19)</f>
        <v>21018.949154015689</v>
      </c>
      <c r="V16" s="1248">
        <f t="shared" ref="V16" si="9">T16-U16</f>
        <v>587.82510351038218</v>
      </c>
    </row>
    <row r="17" spans="1:25" ht="14.5">
      <c r="A17" s="406" t="s">
        <v>893</v>
      </c>
      <c r="B17" s="1071">
        <f>B5*B11</f>
        <v>1878857.5123491893</v>
      </c>
      <c r="C17" s="1071">
        <f t="shared" ref="C17:C19" si="10">C5*C11</f>
        <v>1878857.5123491893</v>
      </c>
      <c r="D17" s="1072"/>
      <c r="E17" s="1073" cm="1">
        <f t="array" ref="E17">SUMPRODUCT('Tác động-GM-Data'!$AF16:$AQ16*('Tác động-GM-Data'!$AF$7:$AQ$7&lt;=$A$1))</f>
        <v>336097014765</v>
      </c>
      <c r="F17" s="1071" cm="1">
        <f t="array" ref="F17">SUMPRODUCT('Tác động-GM-Data'!$R16:$AC16*('Tác động-GM-Data'!$R$7:$AC$7&lt;=$A$1))</f>
        <v>314255000000</v>
      </c>
      <c r="G17" s="1075"/>
      <c r="H17" s="1074"/>
      <c r="I17" s="1076"/>
      <c r="J17" s="1074"/>
      <c r="K17" s="1246"/>
      <c r="L17" s="1076"/>
      <c r="M17" s="1074"/>
      <c r="N17" s="1246">
        <f>N11*C29/C$28*B29/B$28</f>
        <v>0</v>
      </c>
      <c r="Q17" s="1246"/>
      <c r="T17" s="1249">
        <f>T11*B29/B$28</f>
        <v>10438.09729082883</v>
      </c>
      <c r="U17" s="1249">
        <f>U11*C29/C$28</f>
        <v>10438.09729082883</v>
      </c>
      <c r="V17" s="1249">
        <f>T17-U17</f>
        <v>0</v>
      </c>
      <c r="W17" s="1316" t="e">
        <f>V17/V11</f>
        <v>#DIV/0!</v>
      </c>
      <c r="X17" s="406">
        <f>B29/B28</f>
        <v>0.5</v>
      </c>
      <c r="Y17" s="406">
        <f>1-X17</f>
        <v>0.5</v>
      </c>
    </row>
    <row r="18" spans="1:25" ht="14.5">
      <c r="A18" s="406" t="s">
        <v>892</v>
      </c>
      <c r="B18" s="1071">
        <f t="shared" ref="B18" si="11">B6*B12</f>
        <v>2010361.8540055035</v>
      </c>
      <c r="C18" s="1071">
        <f t="shared" si="10"/>
        <v>1904553.3353736349</v>
      </c>
      <c r="D18" s="1072"/>
      <c r="E18" s="1073" cm="1">
        <f t="array" ref="E18">SUMPRODUCT('Tác động-GM-Data'!$AF17:$AQ17*('Tác động-GM-Data'!$AF$7:$AQ$7&lt;=$A$1))</f>
        <v>378618868878</v>
      </c>
      <c r="F18" s="1071" cm="1">
        <f t="array" ref="F18">SUMPRODUCT('Tác động-GM-Data'!$R17:$AC17*('Tác động-GM-Data'!$R$7:$AC$7&lt;=$A$1))</f>
        <v>423137500000</v>
      </c>
      <c r="G18" s="1075"/>
      <c r="H18" s="1074"/>
      <c r="I18" s="1076"/>
      <c r="J18" s="1074"/>
      <c r="K18" s="1246"/>
      <c r="L18" s="1076"/>
      <c r="M18" s="1074"/>
      <c r="N18" s="1246">
        <f>N12*C30/C$28*B30/B$28</f>
        <v>0.2939125517551911</v>
      </c>
      <c r="Q18" s="1246"/>
      <c r="T18" s="1249">
        <f t="shared" ref="T18:U18" si="12">T12*B30/B$28</f>
        <v>11168.676966697241</v>
      </c>
      <c r="U18" s="1249">
        <f t="shared" si="12"/>
        <v>10580.851863186861</v>
      </c>
      <c r="V18" s="1249">
        <f>T18-U18</f>
        <v>587.82510351038036</v>
      </c>
      <c r="W18" s="1314">
        <f>V18/V12</f>
        <v>0.5</v>
      </c>
    </row>
    <row r="19" spans="1:25" ht="14.5">
      <c r="A19" s="406" t="s">
        <v>488</v>
      </c>
      <c r="B19" s="1071">
        <f t="shared" ref="B19" si="13">B7*B13</f>
        <v>0</v>
      </c>
      <c r="C19" s="1071">
        <f t="shared" si="10"/>
        <v>0</v>
      </c>
      <c r="D19" s="1072"/>
      <c r="E19" s="1073" cm="1">
        <f t="array" ref="E19">SUMPRODUCT('Tác động-GM-Data'!$AF18:$AQ18*('Tác động-GM-Data'!$AF$7:$AQ$7&lt;=$A$1))</f>
        <v>35293102988</v>
      </c>
      <c r="F19" s="1071" cm="1">
        <f t="array" ref="F19">SUMPRODUCT('Tác động-GM-Data'!$R18:$AC18*('Tác động-GM-Data'!$R$7:$AC$7&lt;=$A$1))</f>
        <v>83324000000</v>
      </c>
      <c r="G19" s="1075"/>
      <c r="H19" s="1074"/>
      <c r="I19" s="1076"/>
      <c r="J19" s="1074"/>
      <c r="K19" s="1246"/>
      <c r="L19" s="1076"/>
      <c r="M19" s="1074"/>
      <c r="N19" s="1246"/>
      <c r="Q19" s="1246"/>
      <c r="T19" s="1249"/>
      <c r="U19" s="1249"/>
      <c r="V19" s="1249"/>
      <c r="W19" s="1247"/>
    </row>
    <row r="20" spans="1:25" ht="14.5">
      <c r="A20" s="406" t="s">
        <v>489</v>
      </c>
      <c r="B20" s="1071"/>
      <c r="C20" s="1071"/>
      <c r="D20" s="1072"/>
      <c r="E20" s="1073"/>
      <c r="F20" s="1074"/>
      <c r="G20" s="1075"/>
      <c r="H20" s="1074"/>
      <c r="I20" s="1076"/>
      <c r="J20" s="1074"/>
      <c r="K20" s="1074"/>
      <c r="L20" s="1076"/>
      <c r="M20" s="1074"/>
      <c r="N20" s="1074"/>
    </row>
    <row r="21" spans="1:25">
      <c r="E21" s="1059"/>
      <c r="I21" s="1059"/>
      <c r="L21" s="1059"/>
    </row>
    <row r="22" spans="1:25" s="408" customFormat="1" ht="13">
      <c r="A22" s="408" t="s">
        <v>416</v>
      </c>
      <c r="B22" s="989">
        <f>SUMPRODUCT(B23:B25,B5:B7)/B4</f>
        <v>0.1</v>
      </c>
      <c r="C22" s="989">
        <f>SUMPRODUCT(C23:C25,C5:C7)/C4</f>
        <v>7.5675675675675666E-2</v>
      </c>
      <c r="D22" s="989"/>
      <c r="E22" s="1060">
        <f>SUMPRODUCT(E23:E25,E17:E19)/E16</f>
        <v>0.1600760740164506</v>
      </c>
      <c r="F22" s="989">
        <f>SUMPRODUCT(F23:F25,F17:F19)/F16</f>
        <v>0.1145065486876088</v>
      </c>
      <c r="H22" s="1089"/>
      <c r="I22" s="1080"/>
      <c r="L22" s="1080"/>
    </row>
    <row r="23" spans="1:25">
      <c r="A23" s="406" t="s">
        <v>893</v>
      </c>
      <c r="B23" s="990">
        <v>0.1</v>
      </c>
      <c r="C23" s="991">
        <v>0.1</v>
      </c>
      <c r="D23" s="1061"/>
      <c r="E23" s="990" cm="1">
        <f t="array" ref="E23">SUMPRODUCT('Tác động-GM-Data'!$AF34:$AQ34*('Tác động-GM-Data'!$AF$7:$AQ$7=$A$1))</f>
        <v>0.2140332109287677</v>
      </c>
      <c r="F23" s="991">
        <v>0.1588</v>
      </c>
      <c r="H23" s="1312"/>
      <c r="I23" s="1059"/>
      <c r="L23" s="1059"/>
    </row>
    <row r="24" spans="1:25">
      <c r="A24" s="406" t="s">
        <v>892</v>
      </c>
      <c r="B24" s="990">
        <v>0.1</v>
      </c>
      <c r="C24" s="991">
        <v>0.05</v>
      </c>
      <c r="D24" s="1061"/>
      <c r="E24" s="990" cm="1">
        <f t="array" ref="E24">SUMPRODUCT('Tác động-GM-Data'!$AF35:$AQ35*('Tác động-GM-Data'!$AF$7:$AQ$7=$A$1))</f>
        <v>0.11918039307289841</v>
      </c>
      <c r="F24" s="991">
        <v>7.5700000000000003E-2</v>
      </c>
      <c r="H24" s="1312"/>
      <c r="I24" s="1059"/>
      <c r="L24" s="1059"/>
    </row>
    <row r="25" spans="1:25">
      <c r="A25" s="406" t="s">
        <v>488</v>
      </c>
      <c r="B25" s="990"/>
      <c r="C25" s="991"/>
      <c r="D25" s="1061"/>
      <c r="E25" s="990" cm="1">
        <f t="array" ref="E25">SUMPRODUCT('Tác động-GM-Data'!$AF36:$AQ36*('Tác động-GM-Data'!$AF$7:$AQ$7=$A$1))</f>
        <v>8.4963489510798351E-2</v>
      </c>
      <c r="F25" s="991">
        <v>0.14452271993631954</v>
      </c>
      <c r="H25" s="1312"/>
      <c r="I25" s="1059"/>
      <c r="L25" s="1059"/>
    </row>
    <row r="26" spans="1:25">
      <c r="A26" s="406" t="s">
        <v>489</v>
      </c>
      <c r="B26" s="409"/>
      <c r="E26" s="409"/>
      <c r="I26" s="1059"/>
      <c r="L26" s="1059"/>
    </row>
    <row r="27" spans="1:25" s="318" customFormat="1" ht="13"/>
    <row r="28" spans="1:25" s="318" customFormat="1" ht="13">
      <c r="B28" s="338">
        <f>SUM(B29:B32)</f>
        <v>180</v>
      </c>
      <c r="C28" s="338">
        <f>SUM(C29:C32)</f>
        <v>180</v>
      </c>
      <c r="E28" s="338">
        <f>B16/B28</f>
        <v>21606.774257526071</v>
      </c>
      <c r="F28" s="338">
        <f>C16/C28</f>
        <v>21018.949154015689</v>
      </c>
    </row>
    <row r="29" spans="1:25" s="318" customFormat="1" ht="13">
      <c r="B29" s="326">
        <f>B5*(1-B23)</f>
        <v>90</v>
      </c>
      <c r="C29" s="326">
        <f>C5*(1-C23)</f>
        <v>90</v>
      </c>
      <c r="E29" s="326">
        <f>B17/B29</f>
        <v>20876.194581657659</v>
      </c>
      <c r="F29" s="326">
        <f>C17/C29</f>
        <v>20876.194581657659</v>
      </c>
      <c r="H29" s="1074"/>
    </row>
    <row r="30" spans="1:25" s="318" customFormat="1" ht="13">
      <c r="B30" s="326">
        <f t="shared" ref="B30:C32" si="14">B6*(1-B24)</f>
        <v>90</v>
      </c>
      <c r="C30" s="326">
        <f t="shared" si="14"/>
        <v>90</v>
      </c>
      <c r="E30" s="326">
        <f t="shared" ref="E30:F31" si="15">B18/B30</f>
        <v>22337.353933394483</v>
      </c>
      <c r="F30" s="326">
        <f t="shared" si="15"/>
        <v>21161.703726373722</v>
      </c>
      <c r="H30" s="1074"/>
    </row>
    <row r="31" spans="1:25" s="318" customFormat="1" ht="13">
      <c r="B31" s="326">
        <f t="shared" si="14"/>
        <v>0</v>
      </c>
      <c r="C31" s="326">
        <f t="shared" si="14"/>
        <v>0</v>
      </c>
      <c r="E31" s="326" t="e">
        <f t="shared" si="15"/>
        <v>#DIV/0!</v>
      </c>
      <c r="F31" s="326" t="e">
        <f t="shared" si="15"/>
        <v>#DIV/0!</v>
      </c>
      <c r="H31" s="1074"/>
    </row>
    <row r="32" spans="1:25" s="318" customFormat="1" ht="13">
      <c r="B32" s="326">
        <f t="shared" si="14"/>
        <v>0</v>
      </c>
      <c r="C32" s="326">
        <f t="shared" si="14"/>
        <v>0</v>
      </c>
      <c r="E32" s="326"/>
      <c r="F32" s="326"/>
    </row>
    <row r="33" spans="1:12" s="318" customFormat="1" ht="13">
      <c r="B33" s="326"/>
      <c r="C33" s="326"/>
    </row>
    <row r="34" spans="1:12" s="318" customFormat="1" ht="13">
      <c r="B34" s="1315">
        <f>B29/B28</f>
        <v>0.5</v>
      </c>
      <c r="C34" s="1315">
        <f>C29/C28</f>
        <v>0.5</v>
      </c>
      <c r="E34" s="318">
        <f>C34/2</f>
        <v>0.25</v>
      </c>
    </row>
    <row r="35" spans="1:12" s="318" customFormat="1" ht="13">
      <c r="B35" s="326"/>
      <c r="C35" s="326"/>
    </row>
    <row r="36" spans="1:12" s="318" customFormat="1" ht="13">
      <c r="B36" s="326"/>
      <c r="C36" s="326"/>
    </row>
    <row r="37" spans="1:12" s="318" customFormat="1" ht="13">
      <c r="A37" s="318" t="s">
        <v>932</v>
      </c>
      <c r="B37" s="1313">
        <f>SUMPRODUCT(B5:B6,B23:B24)/SUM(B5:B6)</f>
        <v>0.1</v>
      </c>
      <c r="C37" s="1313">
        <f>SUMPRODUCT(C5:C6,C23:C24)/SUM(C5:C6)</f>
        <v>7.5675675675675666E-2</v>
      </c>
    </row>
    <row r="38" spans="1:12" s="318" customFormat="1" ht="13.5" thickBot="1"/>
    <row r="39" spans="1:12" s="332" customFormat="1" ht="13"/>
    <row r="40" spans="1:12" s="334" customFormat="1" ht="13">
      <c r="A40" s="333" t="s">
        <v>535</v>
      </c>
    </row>
    <row r="41" spans="1:12" s="318" customFormat="1" ht="13"/>
    <row r="42" spans="1:12" s="318" customFormat="1" ht="13">
      <c r="B42" s="317">
        <f>'Data-Vẽ -MoM'!E1</f>
        <v>5</v>
      </c>
      <c r="C42" s="317">
        <f>'Data-Vẽ -MoM'!F1</f>
        <v>4</v>
      </c>
      <c r="D42" s="321"/>
      <c r="K42" s="318" t="s">
        <v>486</v>
      </c>
      <c r="L42" s="406" t="s">
        <v>747</v>
      </c>
    </row>
    <row r="43" spans="1:12" s="318" customFormat="1" ht="13">
      <c r="B43" s="319" t="str">
        <f>"Tháng "&amp;TEXT(B42,"00")&amp;".25"</f>
        <v>Tháng 05.25</v>
      </c>
      <c r="C43" s="319" t="str">
        <f>"Tháng "&amp;TEXT(C42,"00")&amp;".25"</f>
        <v>Tháng 04.25</v>
      </c>
      <c r="D43" s="1062"/>
      <c r="F43" s="320" t="s">
        <v>538</v>
      </c>
      <c r="G43" s="321"/>
      <c r="K43" s="320" t="s">
        <v>538</v>
      </c>
      <c r="L43" s="320" t="s">
        <v>538</v>
      </c>
    </row>
    <row r="44" spans="1:12" s="318" customFormat="1" ht="13"/>
    <row r="45" spans="1:12" s="318" customFormat="1" ht="13">
      <c r="A45" s="321" t="s">
        <v>487</v>
      </c>
      <c r="B45" s="322">
        <f>SUM(B46:B49)</f>
        <v>5265140</v>
      </c>
      <c r="C45" s="322">
        <f>SUM(C46:C49)</f>
        <v>6827733</v>
      </c>
      <c r="D45" s="1063"/>
      <c r="F45" s="321"/>
      <c r="G45" s="321"/>
      <c r="I45" s="321"/>
      <c r="K45" s="321"/>
    </row>
    <row r="46" spans="1:12" s="318" customFormat="1" ht="14.5">
      <c r="A46" s="318" t="s">
        <v>893</v>
      </c>
      <c r="B46" s="323" cm="1">
        <f t="array" ref="B46">SUMPRODUCT('Tác động-GM-Data'!$AF10:$AQ10*('Tác động-GM-Data'!$AF$7:$AQ$7=$B$42))</f>
        <v>1950553</v>
      </c>
      <c r="C46" s="323" cm="1">
        <f t="array" ref="C46">SUMPRODUCT('Tác động-GM-Data'!$AF10:$AQ10*('Tác động-GM-Data'!$AF$7:$AQ$7=$C$42))</f>
        <v>2555080</v>
      </c>
      <c r="D46" s="1064"/>
    </row>
    <row r="47" spans="1:12" s="318" customFormat="1" ht="14.5">
      <c r="A47" s="318" t="s">
        <v>892</v>
      </c>
      <c r="B47" s="323" cm="1">
        <f t="array" ref="B47">SUMPRODUCT('Tác động-GM-Data'!$AF11:$AQ11*('Tác động-GM-Data'!$AF$7:$AQ$7=$B$42))</f>
        <v>3056526</v>
      </c>
      <c r="C47" s="323" cm="1">
        <f t="array" ref="C47">SUMPRODUCT('Tác động-GM-Data'!$AF11:$AQ11*('Tác động-GM-Data'!$AF$7:$AQ$7=$C$42))</f>
        <v>3983881</v>
      </c>
      <c r="D47" s="1064"/>
    </row>
    <row r="48" spans="1:12" s="318" customFormat="1" ht="14.5">
      <c r="A48" s="318" t="s">
        <v>488</v>
      </c>
      <c r="B48" s="323" cm="1">
        <f t="array" ref="B48">SUMPRODUCT('Tác động-GM-Data'!$AF12:$AQ12*('Tác động-GM-Data'!$AF$7:$AQ$7=$B$42))</f>
        <v>258061</v>
      </c>
      <c r="C48" s="323" cm="1">
        <f t="array" ref="C48">SUMPRODUCT('Tác động-GM-Data'!$AF12:$AQ12*('Tác động-GM-Data'!$AF$7:$AQ$7=$C$42))</f>
        <v>288772</v>
      </c>
      <c r="D48" s="1064"/>
    </row>
    <row r="49" spans="1:19" s="318" customFormat="1" ht="14.5">
      <c r="A49" s="318" t="s">
        <v>489</v>
      </c>
      <c r="B49" s="323"/>
    </row>
    <row r="50" spans="1:19" s="318" customFormat="1" ht="13">
      <c r="N50" s="1093">
        <f>N51-(P51-Q51)/10^3</f>
        <v>-6.6613381477509392E-15</v>
      </c>
    </row>
    <row r="51" spans="1:19" s="318" customFormat="1" ht="13">
      <c r="A51" s="321" t="s">
        <v>490</v>
      </c>
      <c r="B51" s="322">
        <f t="shared" ref="B51:C55" si="16">IFERROR(B57/B45,0)</f>
        <v>18981.620116654067</v>
      </c>
      <c r="C51" s="322">
        <f t="shared" si="16"/>
        <v>19258.503813784166</v>
      </c>
      <c r="D51" s="1063"/>
      <c r="F51" s="338">
        <f>B51-C51</f>
        <v>-276.88369713009888</v>
      </c>
      <c r="G51" s="1067"/>
      <c r="I51" s="324"/>
      <c r="K51" s="325">
        <f>F51/(1-B63)/10^3</f>
        <v>-0.31813269835518893</v>
      </c>
      <c r="L51" s="325">
        <f>(1/(1-B63)-1/(1-C63))*C51/10^3</f>
        <v>-0.4332522338021903</v>
      </c>
      <c r="N51" s="1089">
        <f>K51+L51</f>
        <v>-0.75138493215737923</v>
      </c>
      <c r="P51" s="326">
        <f>B57/(B45*(1-B63))</f>
        <v>21809.424279779512</v>
      </c>
      <c r="Q51" s="326">
        <f>C57/(C45*(1-C63))</f>
        <v>22560.809211936885</v>
      </c>
      <c r="S51" s="1091"/>
    </row>
    <row r="52" spans="1:19" s="318" customFormat="1" ht="14.5">
      <c r="A52" s="318" t="s">
        <v>893</v>
      </c>
      <c r="B52" s="323">
        <f t="shared" si="16"/>
        <v>18274.395400176258</v>
      </c>
      <c r="C52" s="323">
        <f t="shared" si="16"/>
        <v>18171.925074753042</v>
      </c>
      <c r="D52" s="1064"/>
      <c r="F52" s="326">
        <f>B52-C52</f>
        <v>102.4703254232154</v>
      </c>
      <c r="G52" s="1065"/>
      <c r="J52" s="327"/>
    </row>
    <row r="53" spans="1:19" s="318" customFormat="1" ht="14.5">
      <c r="A53" s="318" t="s">
        <v>892</v>
      </c>
      <c r="B53" s="323">
        <f t="shared" si="16"/>
        <v>19557.517390658544</v>
      </c>
      <c r="C53" s="323">
        <f t="shared" si="16"/>
        <v>20197.982193745243</v>
      </c>
      <c r="D53" s="1064"/>
      <c r="F53" s="326"/>
      <c r="G53" s="1065"/>
      <c r="J53" s="327"/>
    </row>
    <row r="54" spans="1:19" s="318" customFormat="1" ht="14.5">
      <c r="A54" s="318" t="s">
        <v>488</v>
      </c>
      <c r="B54" s="323">
        <f t="shared" si="16"/>
        <v>17506.13292981117</v>
      </c>
      <c r="C54" s="323">
        <f t="shared" si="16"/>
        <v>15911.661102877009</v>
      </c>
      <c r="D54" s="1064"/>
      <c r="F54" s="326">
        <f>B54-C54</f>
        <v>1594.4718269341611</v>
      </c>
      <c r="G54" s="1065"/>
      <c r="J54" s="328"/>
    </row>
    <row r="55" spans="1:19" s="318" customFormat="1" ht="14.5">
      <c r="A55" s="318" t="s">
        <v>489</v>
      </c>
      <c r="B55" s="323">
        <f t="shared" si="16"/>
        <v>0</v>
      </c>
      <c r="C55" s="323">
        <f t="shared" si="16"/>
        <v>0</v>
      </c>
      <c r="D55" s="1064"/>
      <c r="F55" s="326">
        <f>B55-C55</f>
        <v>0</v>
      </c>
      <c r="G55" s="1065"/>
    </row>
    <row r="56" spans="1:19" s="318" customFormat="1" ht="13"/>
    <row r="57" spans="1:19" s="318" customFormat="1" ht="13">
      <c r="A57" s="321" t="s">
        <v>491</v>
      </c>
      <c r="B57" s="322">
        <f>SUM(B58:B61)</f>
        <v>99940887341</v>
      </c>
      <c r="C57" s="322">
        <f>SUM(C58:C61)</f>
        <v>131491922020</v>
      </c>
      <c r="D57" s="1063"/>
    </row>
    <row r="58" spans="1:19" s="318" customFormat="1" ht="14.5">
      <c r="A58" s="318" t="s">
        <v>893</v>
      </c>
      <c r="B58" s="323" cm="1">
        <f t="array" ref="B58">SUMPRODUCT('Tác động-GM-Data'!$AF16:$AQ16*('Tác động-GM-Data'!$AF$7:$AQ$7=$B$42))</f>
        <v>35645176771</v>
      </c>
      <c r="C58" s="326" cm="1">
        <f t="array" ref="C58">SUMPRODUCT('Tác động-GM-Data'!$AF16:$AQ16*('Tác động-GM-Data'!$AF$7:$AQ$7=$C$42))</f>
        <v>46430722320</v>
      </c>
      <c r="D58" s="1065"/>
    </row>
    <row r="59" spans="1:19" s="318" customFormat="1" ht="14.5">
      <c r="A59" s="318" t="s">
        <v>892</v>
      </c>
      <c r="B59" s="323" cm="1">
        <f t="array" ref="B59">SUMPRODUCT('Tác động-GM-Data'!$AF17:$AQ17*('Tác động-GM-Data'!$AF$7:$AQ$7=$B$42))</f>
        <v>59778060400</v>
      </c>
      <c r="C59" s="326" cm="1">
        <f t="array" ref="C59">SUMPRODUCT('Tác động-GM-Data'!$AF17:$AQ17*('Tác động-GM-Data'!$AF$7:$AQ$7=$C$42))</f>
        <v>80466357500</v>
      </c>
      <c r="D59" s="1065"/>
    </row>
    <row r="60" spans="1:19" s="318" customFormat="1" ht="14.5">
      <c r="A60" s="318" t="s">
        <v>488</v>
      </c>
      <c r="B60" s="323" cm="1">
        <f t="array" ref="B60">SUMPRODUCT('Tác động-GM-Data'!$AF18:$AQ18*('Tác động-GM-Data'!$AF$7:$AQ$7=$B$42))</f>
        <v>4517650170</v>
      </c>
      <c r="C60" s="326" cm="1">
        <f t="array" ref="C60">SUMPRODUCT('Tác động-GM-Data'!$AF18:$AQ18*('Tác động-GM-Data'!$AF$7:$AQ$7=$C$42))</f>
        <v>4594842200</v>
      </c>
      <c r="D60" s="1066"/>
    </row>
    <row r="61" spans="1:19" s="318" customFormat="1" ht="14.5">
      <c r="A61" s="318" t="s">
        <v>489</v>
      </c>
      <c r="B61" s="323"/>
    </row>
    <row r="62" spans="1:19" s="318" customFormat="1" ht="13"/>
    <row r="63" spans="1:19" s="318" customFormat="1" ht="13">
      <c r="A63" s="321" t="s">
        <v>416</v>
      </c>
      <c r="B63" s="329">
        <f>SUMPRODUCT(B64:B66,B58:B60)/B57</f>
        <v>0.12965973456471419</v>
      </c>
      <c r="C63" s="329">
        <f>SUMPRODUCT(C64:C66,C58:C60)/C57</f>
        <v>0.14637353505943723</v>
      </c>
      <c r="D63" s="329"/>
    </row>
    <row r="64" spans="1:19" s="318" customFormat="1" ht="13">
      <c r="A64" s="318" t="s">
        <v>893</v>
      </c>
      <c r="B64" s="330" cm="1">
        <f t="array" ref="B64">SUMPRODUCT('Tác động-GM-Data'!$AF28:$AQ28*('Tác động-GM-Data'!$AF$7:$AQ$7=$B$42))</f>
        <v>0.16562806193424584</v>
      </c>
      <c r="C64" s="330" cm="1">
        <f t="array" ref="C64">SUMPRODUCT('Tác động-GM-Data'!$AF28:$AQ28*('Tác động-GM-Data'!$AF$7:$AQ$7=$C$42))</f>
        <v>0.20020100437485211</v>
      </c>
      <c r="D64" s="328"/>
    </row>
    <row r="65" spans="1:17" s="318" customFormat="1" ht="13">
      <c r="A65" s="318" t="s">
        <v>892</v>
      </c>
      <c r="B65" s="330" cm="1">
        <f t="array" ref="B65">SUMPRODUCT('Tác động-GM-Data'!$AF29:$AQ29*('Tác động-GM-Data'!$AF$7:$AQ$7=$B$42))</f>
        <v>0.11167099275046311</v>
      </c>
      <c r="C65" s="330" cm="1">
        <f t="array" ref="C65">SUMPRODUCT('Tác động-GM-Data'!$AF29:$AQ29*('Tác động-GM-Data'!$AF$7:$AQ$7=$C$42))</f>
        <v>0.11137844864465374</v>
      </c>
      <c r="D65" s="328"/>
    </row>
    <row r="66" spans="1:17" s="318" customFormat="1" ht="13">
      <c r="A66" s="318" t="s">
        <v>488</v>
      </c>
      <c r="B66" s="330" cm="1">
        <f t="array" ref="B66">SUMPRODUCT('Tác động-GM-Data'!$AF30:$AQ30*('Tác động-GM-Data'!$AF$7:$AQ$7=$B$42))</f>
        <v>8.3891407055670775E-2</v>
      </c>
      <c r="C66" s="330" cm="1">
        <f t="array" ref="C66">SUMPRODUCT('Tác động-GM-Data'!$AF30:$AQ30*('Tác động-GM-Data'!$AF$7:$AQ$7=$C$42))</f>
        <v>0.215294041888379</v>
      </c>
      <c r="D66" s="328"/>
    </row>
    <row r="67" spans="1:17" s="318" customFormat="1" ht="13">
      <c r="A67" s="318" t="s">
        <v>489</v>
      </c>
      <c r="B67" s="331"/>
      <c r="C67" s="331"/>
    </row>
    <row r="68" spans="1:17" s="318" customFormat="1" ht="13"/>
    <row r="69" spans="1:17" s="318" customFormat="1" ht="13"/>
    <row r="70" spans="1:17" s="318" customFormat="1" ht="13.5" thickBot="1"/>
    <row r="71" spans="1:17" s="332" customFormat="1" ht="13"/>
    <row r="72" spans="1:17" s="334" customFormat="1" ht="13">
      <c r="A72" s="333" t="s">
        <v>868</v>
      </c>
    </row>
    <row r="73" spans="1:17" s="318" customFormat="1" ht="13"/>
    <row r="75" spans="1:17" ht="13">
      <c r="A75" s="318"/>
      <c r="B75" s="317">
        <f>'Data-Vẽ -CYvsPY'!E1</f>
        <v>5</v>
      </c>
      <c r="C75" s="317"/>
      <c r="D75" s="321"/>
      <c r="E75" s="318"/>
      <c r="F75" s="318"/>
      <c r="G75" s="318"/>
      <c r="H75" s="318"/>
      <c r="I75" s="318"/>
      <c r="J75" s="318"/>
      <c r="K75" s="318" t="s">
        <v>486</v>
      </c>
      <c r="L75" s="406" t="s">
        <v>747</v>
      </c>
      <c r="M75" s="318"/>
      <c r="N75" s="318"/>
      <c r="O75" s="318"/>
      <c r="P75" s="318"/>
      <c r="Q75" s="318"/>
    </row>
    <row r="76" spans="1:17" ht="13">
      <c r="A76" s="318"/>
      <c r="B76" s="319" t="s">
        <v>870</v>
      </c>
      <c r="C76" s="319" t="s">
        <v>871</v>
      </c>
      <c r="D76" s="1062"/>
      <c r="E76" s="318"/>
      <c r="F76" s="320" t="s">
        <v>538</v>
      </c>
      <c r="G76" s="321"/>
      <c r="H76" s="318"/>
      <c r="I76" s="318"/>
      <c r="J76" s="318"/>
      <c r="K76" s="320" t="s">
        <v>538</v>
      </c>
      <c r="L76" s="320" t="s">
        <v>538</v>
      </c>
      <c r="M76" s="318"/>
      <c r="N76" s="318"/>
      <c r="O76" s="318"/>
      <c r="P76" s="318"/>
      <c r="Q76" s="318"/>
    </row>
    <row r="77" spans="1:17" ht="13">
      <c r="A77" s="318"/>
      <c r="B77" s="318"/>
      <c r="C77" s="318"/>
      <c r="D77" s="318"/>
      <c r="E77" s="318"/>
      <c r="F77" s="318"/>
      <c r="G77" s="318"/>
      <c r="H77" s="318"/>
      <c r="I77" s="318"/>
      <c r="J77" s="318"/>
      <c r="K77" s="318"/>
      <c r="L77" s="318"/>
      <c r="M77" s="318"/>
      <c r="N77" s="318"/>
      <c r="O77" s="318"/>
      <c r="P77" s="318"/>
      <c r="Q77" s="318"/>
    </row>
    <row r="78" spans="1:17" ht="13">
      <c r="A78" s="321" t="s">
        <v>487</v>
      </c>
      <c r="B78" s="322">
        <f>SUM(B79:B82)</f>
        <v>20596197.640000001</v>
      </c>
      <c r="C78" s="322">
        <f>SUM(C79:C82)</f>
        <v>47754363.439999998</v>
      </c>
      <c r="D78" s="1063"/>
      <c r="E78" s="318"/>
      <c r="F78" s="321"/>
      <c r="G78" s="321"/>
      <c r="H78" s="318"/>
      <c r="I78" s="321"/>
      <c r="J78" s="318"/>
      <c r="K78" s="321"/>
      <c r="L78" s="318"/>
      <c r="M78" s="318"/>
      <c r="N78" s="318"/>
      <c r="O78" s="318"/>
      <c r="P78" s="318"/>
      <c r="Q78" s="318"/>
    </row>
    <row r="79" spans="1:17" ht="14.5">
      <c r="A79" s="318" t="s">
        <v>893</v>
      </c>
      <c r="B79" s="323" cm="1">
        <f t="array" ref="B79">SUMPRODUCT('Tác động-GM-Data'!$AF10:$AQ10*('Tác động-GM-Data'!$AF$7:$AQ$7&lt;=$B$75))</f>
        <v>8443138.6400000006</v>
      </c>
      <c r="C79" s="323">
        <f>'Tác động-GM-Data'!P10</f>
        <v>13837296.440000001</v>
      </c>
      <c r="D79" s="1064"/>
      <c r="E79" s="318"/>
      <c r="F79" s="318"/>
      <c r="G79" s="318"/>
      <c r="H79" s="318"/>
      <c r="I79" s="318"/>
      <c r="J79" s="318"/>
      <c r="K79" s="318"/>
      <c r="L79" s="318"/>
      <c r="M79" s="318"/>
      <c r="N79" s="318"/>
      <c r="O79" s="318"/>
      <c r="P79" s="318"/>
      <c r="Q79" s="318"/>
    </row>
    <row r="80" spans="1:17" ht="14.5">
      <c r="A80" s="318" t="s">
        <v>892</v>
      </c>
      <c r="B80" s="323" cm="1">
        <f t="array" ref="B80">SUMPRODUCT('Tác động-GM-Data'!$AF11:$AQ11*('Tác động-GM-Data'!$AF$7:$AQ$7&lt;=$B$75))</f>
        <v>10641847</v>
      </c>
      <c r="C80" s="323">
        <f>'Tác động-GM-Data'!P11</f>
        <v>28977889</v>
      </c>
      <c r="D80" s="1064"/>
      <c r="E80" s="318"/>
      <c r="F80" s="318"/>
      <c r="G80" s="318"/>
      <c r="H80" s="318"/>
      <c r="I80" s="318"/>
      <c r="J80" s="318"/>
      <c r="K80" s="318"/>
      <c r="L80" s="318"/>
      <c r="M80" s="318"/>
      <c r="N80" s="318"/>
      <c r="O80" s="318"/>
      <c r="P80" s="318"/>
      <c r="Q80" s="318"/>
    </row>
    <row r="81" spans="1:17" ht="14.5">
      <c r="A81" s="318" t="s">
        <v>488</v>
      </c>
      <c r="B81" s="323" cm="1">
        <f t="array" ref="B81">SUMPRODUCT('Tác động-GM-Data'!$AF12:$AQ12*('Tác động-GM-Data'!$AF$7:$AQ$7&lt;=$B$75))</f>
        <v>1511212</v>
      </c>
      <c r="C81" s="323">
        <f>'Tác động-GM-Data'!P12</f>
        <v>4939178</v>
      </c>
      <c r="D81" s="1064"/>
      <c r="E81" s="318"/>
      <c r="F81" s="318"/>
      <c r="G81" s="318"/>
      <c r="H81" s="318"/>
      <c r="I81" s="318"/>
      <c r="J81" s="318"/>
      <c r="K81" s="318"/>
      <c r="L81" s="318"/>
      <c r="M81" s="318"/>
      <c r="N81" s="318"/>
      <c r="O81" s="318"/>
      <c r="P81" s="318"/>
      <c r="Q81" s="318"/>
    </row>
    <row r="82" spans="1:17" ht="14.5">
      <c r="A82" s="318" t="s">
        <v>489</v>
      </c>
      <c r="B82" s="323"/>
      <c r="C82" s="318"/>
      <c r="D82" s="318"/>
      <c r="E82" s="318"/>
      <c r="F82" s="318"/>
      <c r="G82" s="318"/>
      <c r="H82" s="318"/>
      <c r="I82" s="318"/>
      <c r="J82" s="318"/>
      <c r="K82" s="318"/>
      <c r="L82" s="318"/>
      <c r="M82" s="318"/>
      <c r="N82" s="318"/>
      <c r="O82" s="318"/>
      <c r="P82" s="318"/>
      <c r="Q82" s="318"/>
    </row>
    <row r="83" spans="1:17" ht="13">
      <c r="A83" s="318"/>
      <c r="B83" s="318"/>
      <c r="C83" s="318"/>
      <c r="D83" s="318"/>
      <c r="E83" s="318"/>
      <c r="F83" s="318"/>
      <c r="G83" s="318"/>
      <c r="H83" s="318"/>
      <c r="I83" s="318"/>
      <c r="J83" s="318"/>
      <c r="K83" s="318"/>
      <c r="L83" s="318"/>
      <c r="M83" s="318"/>
      <c r="N83" s="1093">
        <f>N84-(P84-Q84)/10^3</f>
        <v>5.773159728050814E-15</v>
      </c>
      <c r="O83" s="318"/>
      <c r="P83" s="318"/>
      <c r="Q83" s="318"/>
    </row>
    <row r="84" spans="1:17" ht="13">
      <c r="A84" s="321" t="s">
        <v>490</v>
      </c>
      <c r="B84" s="322">
        <f t="shared" ref="B84:C88" si="17">IFERROR(B90/B78,0)</f>
        <v>18693.913529079924</v>
      </c>
      <c r="C84" s="322">
        <f t="shared" si="17"/>
        <v>18006.097064792117</v>
      </c>
      <c r="D84" s="1063"/>
      <c r="E84" s="318"/>
      <c r="F84" s="338">
        <f>B84-C84</f>
        <v>687.81646428780732</v>
      </c>
      <c r="G84" s="1067"/>
      <c r="H84" s="318">
        <f>F84/B84</f>
        <v>3.679360467875558E-2</v>
      </c>
      <c r="I84" s="324"/>
      <c r="J84" s="318"/>
      <c r="K84" s="325">
        <f>F84/(1-B96)/10^3</f>
        <v>0.8077607985572024</v>
      </c>
      <c r="L84" s="325">
        <f>(1/(1-B96)-1/(1-C96))*C84/10^3</f>
        <v>0.82112241808367181</v>
      </c>
      <c r="M84" s="318"/>
      <c r="N84" s="1089">
        <f>K84+L84</f>
        <v>1.6288832166408742</v>
      </c>
      <c r="O84" s="318"/>
      <c r="P84" s="326">
        <f>B90/(B78*(1-B96))</f>
        <v>21953.836967314019</v>
      </c>
      <c r="Q84" s="326">
        <f>C90/(C78*(1-C96))</f>
        <v>20324.95375067315</v>
      </c>
    </row>
    <row r="85" spans="1:17" ht="14.5">
      <c r="A85" s="318" t="s">
        <v>893</v>
      </c>
      <c r="B85" s="323">
        <f t="shared" si="17"/>
        <v>17744.159562207544</v>
      </c>
      <c r="C85" s="323">
        <f t="shared" si="17"/>
        <v>15894.062707237916</v>
      </c>
      <c r="D85" s="1064"/>
      <c r="E85" s="318"/>
      <c r="F85" s="326">
        <f>B85-C85</f>
        <v>1850.0968549696281</v>
      </c>
      <c r="G85" s="1065"/>
      <c r="H85" s="318"/>
      <c r="I85" s="318"/>
      <c r="J85" s="327"/>
      <c r="K85" s="318"/>
      <c r="L85" s="318"/>
      <c r="M85" s="318"/>
      <c r="N85" s="318"/>
      <c r="O85" s="318"/>
      <c r="P85" s="318"/>
      <c r="Q85" s="318"/>
    </row>
    <row r="86" spans="1:17" ht="14.5">
      <c r="A86" s="318" t="s">
        <v>892</v>
      </c>
      <c r="B86" s="323">
        <f t="shared" si="17"/>
        <v>19673.417178991578</v>
      </c>
      <c r="C86" s="323">
        <f t="shared" si="17"/>
        <v>18807.80554408225</v>
      </c>
      <c r="D86" s="1064"/>
      <c r="E86" s="318"/>
      <c r="F86" s="326">
        <f>B86-C86</f>
        <v>865.61163490932813</v>
      </c>
      <c r="G86" s="1065"/>
      <c r="H86" s="318"/>
      <c r="I86" s="318"/>
      <c r="J86" s="327"/>
      <c r="K86" s="318"/>
      <c r="L86" s="318"/>
      <c r="M86" s="318"/>
      <c r="N86" s="318"/>
      <c r="O86" s="318"/>
      <c r="P86" s="318"/>
      <c r="Q86" s="318"/>
    </row>
    <row r="87" spans="1:17" ht="14.5">
      <c r="A87" s="318" t="s">
        <v>488</v>
      </c>
      <c r="B87" s="323">
        <f t="shared" si="17"/>
        <v>17102.592415888703</v>
      </c>
      <c r="C87" s="323">
        <f t="shared" si="17"/>
        <v>19219.462157873233</v>
      </c>
      <c r="D87" s="1064"/>
      <c r="E87" s="318"/>
      <c r="F87" s="326">
        <f>B87-C87</f>
        <v>-2116.8697419845303</v>
      </c>
      <c r="G87" s="1065"/>
      <c r="H87" s="318"/>
      <c r="I87" s="318"/>
      <c r="J87" s="328"/>
      <c r="K87" s="318"/>
      <c r="L87" s="318"/>
      <c r="M87" s="318"/>
      <c r="N87" s="318"/>
      <c r="O87" s="318"/>
      <c r="P87" s="318"/>
      <c r="Q87" s="318"/>
    </row>
    <row r="88" spans="1:17" ht="14.5">
      <c r="A88" s="318" t="s">
        <v>489</v>
      </c>
      <c r="B88" s="323">
        <f t="shared" si="17"/>
        <v>0</v>
      </c>
      <c r="C88" s="323">
        <f t="shared" si="17"/>
        <v>0</v>
      </c>
      <c r="D88" s="1064"/>
      <c r="E88" s="318"/>
      <c r="F88" s="326">
        <f>B88-C88</f>
        <v>0</v>
      </c>
      <c r="G88" s="1065"/>
      <c r="H88" s="318"/>
      <c r="I88" s="318"/>
      <c r="J88" s="318"/>
      <c r="K88" s="318"/>
      <c r="L88" s="318"/>
      <c r="M88" s="318"/>
      <c r="N88" s="318"/>
      <c r="O88" s="318"/>
      <c r="P88" s="318"/>
      <c r="Q88" s="318"/>
    </row>
    <row r="89" spans="1:17" ht="13">
      <c r="A89" s="318"/>
      <c r="B89" s="318"/>
      <c r="C89" s="318"/>
      <c r="D89" s="318"/>
      <c r="E89" s="318"/>
      <c r="F89" s="318"/>
      <c r="G89" s="318"/>
      <c r="H89" s="318"/>
      <c r="I89" s="318"/>
      <c r="J89" s="318"/>
      <c r="K89" s="318"/>
      <c r="L89" s="318"/>
      <c r="M89" s="318"/>
      <c r="N89" s="318"/>
      <c r="O89" s="318"/>
      <c r="P89" s="318"/>
      <c r="Q89" s="318"/>
    </row>
    <row r="90" spans="1:17" ht="13">
      <c r="A90" s="321" t="s">
        <v>491</v>
      </c>
      <c r="B90" s="322">
        <f>SUM(B91:B94)</f>
        <v>385023537710</v>
      </c>
      <c r="C90" s="322">
        <f>SUM(C91:C94)</f>
        <v>859869703368</v>
      </c>
      <c r="D90" s="1063"/>
      <c r="E90" s="318"/>
      <c r="F90" s="318"/>
      <c r="G90" s="318"/>
      <c r="H90" s="318"/>
      <c r="I90" s="318"/>
      <c r="J90" s="318"/>
      <c r="K90" s="318"/>
      <c r="L90" s="318"/>
      <c r="M90" s="318"/>
      <c r="N90" s="318"/>
      <c r="O90" s="318"/>
      <c r="P90" s="318"/>
      <c r="Q90" s="318"/>
    </row>
    <row r="91" spans="1:17" ht="14.5">
      <c r="A91" s="318" t="s">
        <v>893</v>
      </c>
      <c r="B91" s="323" cm="1">
        <f t="array" ref="B91">SUMPRODUCT('Tác động-GM-Data'!$AF16:$AQ16*('Tác động-GM-Data'!$AF$7:$AQ$7&lt;=$B$75))</f>
        <v>149816399234</v>
      </c>
      <c r="C91" s="326">
        <f>'Tác động-GM-Data'!P16</f>
        <v>219930857316</v>
      </c>
      <c r="D91" s="1065"/>
      <c r="E91" s="318"/>
      <c r="F91" s="318"/>
      <c r="G91" s="318"/>
      <c r="H91" s="318"/>
      <c r="I91" s="318"/>
      <c r="J91" s="318"/>
      <c r="K91" s="318"/>
      <c r="L91" s="318"/>
      <c r="M91" s="318"/>
      <c r="N91" s="318"/>
      <c r="O91" s="318"/>
      <c r="P91" s="318"/>
      <c r="Q91" s="318"/>
    </row>
    <row r="92" spans="1:17" ht="14.5">
      <c r="A92" s="318" t="s">
        <v>892</v>
      </c>
      <c r="B92" s="323" cm="1">
        <f t="array" ref="B92">SUMPRODUCT('Tác động-GM-Data'!$AF17:$AQ17*('Tác động-GM-Data'!$AF$7:$AQ$7&lt;=$B$75))</f>
        <v>209361495586</v>
      </c>
      <c r="C92" s="326">
        <f>'Tác động-GM-Data'!P17</f>
        <v>545010501390</v>
      </c>
      <c r="D92" s="1065"/>
      <c r="E92" s="318"/>
      <c r="F92" s="318"/>
      <c r="G92" s="318"/>
      <c r="H92" s="318"/>
      <c r="I92" s="318"/>
      <c r="J92" s="318"/>
      <c r="K92" s="318"/>
      <c r="L92" s="318"/>
      <c r="M92" s="318"/>
      <c r="N92" s="318"/>
      <c r="O92" s="318"/>
      <c r="P92" s="318"/>
      <c r="Q92" s="318"/>
    </row>
    <row r="93" spans="1:17" ht="14.5">
      <c r="A93" s="318" t="s">
        <v>488</v>
      </c>
      <c r="B93" s="323" cm="1">
        <f t="array" ref="B93">SUMPRODUCT('Tác động-GM-Data'!$AF18:$AQ18*('Tác động-GM-Data'!$AF$7:$AQ$7&lt;=$B$75))</f>
        <v>25845642890</v>
      </c>
      <c r="C93" s="326">
        <f>'Tác động-GM-Data'!P18</f>
        <v>94928344662</v>
      </c>
      <c r="D93" s="1066"/>
      <c r="E93" s="318"/>
      <c r="F93" s="318"/>
      <c r="G93" s="318"/>
      <c r="H93" s="318"/>
      <c r="I93" s="318"/>
      <c r="J93" s="318"/>
      <c r="K93" s="318"/>
      <c r="L93" s="318"/>
      <c r="M93" s="318"/>
      <c r="N93" s="318"/>
      <c r="O93" s="318"/>
      <c r="P93" s="318"/>
      <c r="Q93" s="318"/>
    </row>
    <row r="94" spans="1:17" ht="14.5">
      <c r="A94" s="318" t="s">
        <v>489</v>
      </c>
      <c r="B94" s="323"/>
      <c r="C94" s="318"/>
      <c r="D94" s="318"/>
      <c r="E94" s="318"/>
      <c r="F94" s="318"/>
      <c r="G94" s="318"/>
      <c r="H94" s="318"/>
      <c r="I94" s="318"/>
      <c r="J94" s="318"/>
      <c r="K94" s="318"/>
      <c r="L94" s="318"/>
      <c r="M94" s="318"/>
      <c r="N94" s="318"/>
      <c r="O94" s="318"/>
      <c r="P94" s="318"/>
      <c r="Q94" s="318"/>
    </row>
    <row r="95" spans="1:17" ht="13">
      <c r="A95" s="318"/>
      <c r="B95" s="318"/>
      <c r="C95" s="318"/>
      <c r="D95" s="318"/>
      <c r="E95" s="318"/>
      <c r="F95" s="318"/>
      <c r="G95" s="318"/>
      <c r="H95" s="318"/>
      <c r="I95" s="318"/>
      <c r="J95" s="318"/>
      <c r="K95" s="318"/>
      <c r="L95" s="318"/>
      <c r="M95" s="318"/>
      <c r="N95" s="318"/>
      <c r="O95" s="318"/>
      <c r="P95" s="318"/>
      <c r="Q95" s="318"/>
    </row>
    <row r="96" spans="1:17" ht="13">
      <c r="A96" s="321" t="s">
        <v>416</v>
      </c>
      <c r="B96" s="329">
        <f>SUMPRODUCT(B97:B99,B91:B93)/B90</f>
        <v>0.14848991741569531</v>
      </c>
      <c r="C96" s="329">
        <f>SUMPRODUCT(C97:C99,C91:C93)/C90</f>
        <v>0.11408914944292226</v>
      </c>
      <c r="D96" s="329"/>
      <c r="E96" s="318"/>
      <c r="F96" s="318"/>
      <c r="G96" s="318"/>
      <c r="H96" s="318"/>
      <c r="I96" s="318"/>
      <c r="J96" s="318"/>
      <c r="K96" s="318"/>
      <c r="L96" s="318"/>
      <c r="M96" s="318"/>
      <c r="N96" s="318"/>
      <c r="O96" s="318"/>
      <c r="P96" s="318"/>
      <c r="Q96" s="318"/>
    </row>
    <row r="97" spans="1:17" ht="13">
      <c r="A97" s="318" t="s">
        <v>893</v>
      </c>
      <c r="B97" s="330" cm="1">
        <f t="array" ref="B97">SUMPRODUCT('Tác động-GM-Data'!$AF34:$AQ34*('Tác động-GM-Data'!$AF$7:$AQ$7=$B$75))</f>
        <v>0.20542665426314544</v>
      </c>
      <c r="C97" s="330">
        <f>'Tác động-GM-Data'!O34</f>
        <v>0.15968000498207247</v>
      </c>
      <c r="D97" s="328"/>
      <c r="E97" s="318"/>
      <c r="F97" s="318"/>
      <c r="G97" s="318"/>
      <c r="H97" s="318"/>
      <c r="I97" s="318"/>
      <c r="J97" s="318"/>
      <c r="K97" s="318"/>
      <c r="L97" s="318"/>
      <c r="M97" s="318"/>
      <c r="N97" s="318"/>
      <c r="O97" s="318"/>
      <c r="P97" s="318"/>
      <c r="Q97" s="318"/>
    </row>
    <row r="98" spans="1:17" ht="13">
      <c r="A98" s="318" t="s">
        <v>892</v>
      </c>
      <c r="B98" s="330" cm="1">
        <f t="array" ref="B98">SUMPRODUCT('Tác động-GM-Data'!$AF35:$AQ35*('Tác động-GM-Data'!$AF$7:$AQ$7=$B$75))</f>
        <v>0.11373144878313557</v>
      </c>
      <c r="C98" s="330">
        <f>'Tác động-GM-Data'!O35</f>
        <v>8.5215111235449115E-2</v>
      </c>
      <c r="D98" s="328"/>
      <c r="E98" s="318"/>
      <c r="F98" s="318"/>
      <c r="G98" s="318"/>
      <c r="H98" s="318"/>
      <c r="I98" s="318"/>
      <c r="J98" s="318"/>
      <c r="K98" s="318"/>
      <c r="L98" s="318"/>
      <c r="M98" s="318"/>
      <c r="N98" s="318"/>
      <c r="O98" s="318"/>
      <c r="P98" s="318"/>
      <c r="Q98" s="318"/>
    </row>
    <row r="99" spans="1:17" ht="13">
      <c r="A99" s="318" t="s">
        <v>488</v>
      </c>
      <c r="B99" s="330" cm="1">
        <f t="array" ref="B99">SUMPRODUCT('Tác động-GM-Data'!$AF36:$AQ36*('Tác động-GM-Data'!$AF$7:$AQ$7=$B$75))</f>
        <v>0.10001087873363579</v>
      </c>
      <c r="C99" s="330">
        <f>'Tác động-GM-Data'!O36</f>
        <v>0.17423786599796176</v>
      </c>
      <c r="D99" s="328"/>
      <c r="E99" s="318"/>
      <c r="F99" s="318"/>
      <c r="G99" s="318"/>
      <c r="H99" s="318"/>
      <c r="I99" s="318"/>
      <c r="J99" s="318"/>
      <c r="K99" s="318"/>
      <c r="L99" s="318"/>
      <c r="M99" s="318"/>
      <c r="N99" s="318"/>
      <c r="O99" s="318"/>
      <c r="P99" s="318"/>
      <c r="Q99" s="318"/>
    </row>
    <row r="100" spans="1:17" ht="13">
      <c r="A100" s="318" t="s">
        <v>489</v>
      </c>
      <c r="B100" s="331"/>
      <c r="C100" s="331"/>
      <c r="D100" s="318"/>
      <c r="E100" s="318"/>
      <c r="F100" s="318"/>
      <c r="G100" s="318"/>
      <c r="H100" s="318"/>
      <c r="I100" s="318"/>
      <c r="J100" s="318"/>
      <c r="K100" s="318"/>
      <c r="L100" s="318"/>
      <c r="M100" s="318"/>
      <c r="N100" s="318"/>
      <c r="O100" s="318"/>
      <c r="P100" s="318"/>
      <c r="Q100" s="318"/>
    </row>
  </sheetData>
  <pageMargins left="0.7" right="0.7" top="0.75" bottom="0.75" header="0.3" footer="0.3"/>
  <pageSetup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BCD6-42EF-40BA-ACD8-A89547C84D91}">
  <sheetPr codeName="Sheet36"/>
  <dimension ref="A1:BX109"/>
  <sheetViews>
    <sheetView showGridLines="0" zoomScale="115" zoomScaleNormal="115" workbookViewId="0">
      <pane xSplit="3" ySplit="8" topLeftCell="AS30" activePane="bottomRight" state="frozen"/>
      <selection activeCell="AJ99" sqref="AJ99"/>
      <selection pane="topRight" activeCell="AJ99" sqref="AJ99"/>
      <selection pane="bottomLeft" activeCell="AJ99" sqref="AJ99"/>
      <selection pane="bottomRight" activeCell="AW10" sqref="AW10"/>
    </sheetView>
  </sheetViews>
  <sheetFormatPr defaultRowHeight="14.5" outlineLevelRow="1" outlineLevelCol="1"/>
  <cols>
    <col min="1" max="1" width="35.453125" customWidth="1"/>
    <col min="2" max="2" width="7.453125" customWidth="1"/>
    <col min="3" max="3" width="1" customWidth="1"/>
    <col min="4" max="4" width="16.453125" customWidth="1"/>
    <col min="5" max="14" width="16.453125" hidden="1" customWidth="1" outlineLevel="1"/>
    <col min="15" max="15" width="16.453125" customWidth="1" collapsed="1"/>
    <col min="16" max="16" width="17.453125" customWidth="1"/>
    <col min="17" max="17" width="2.08984375" customWidth="1"/>
    <col min="18" max="18" width="15.08984375" customWidth="1"/>
    <col min="19" max="26" width="15.08984375" hidden="1" customWidth="1" outlineLevel="1"/>
    <col min="27" max="28" width="16.08984375" hidden="1" customWidth="1" outlineLevel="1"/>
    <col min="29" max="29" width="16.08984375" customWidth="1" collapsed="1"/>
    <col min="30" max="30" width="18" customWidth="1"/>
    <col min="31" max="31" width="2.08984375" customWidth="1"/>
    <col min="32" max="32" width="16.453125" customWidth="1"/>
    <col min="33" max="42" width="16.453125" customWidth="1" outlineLevel="1"/>
    <col min="43" max="43" width="16.453125" customWidth="1"/>
    <col min="44" max="44" width="17.453125" customWidth="1"/>
    <col min="45" max="45" width="1.90625" customWidth="1"/>
    <col min="46" max="46" width="15.453125" bestFit="1" customWidth="1"/>
    <col min="47" max="56" width="15.453125" customWidth="1" outlineLevel="1"/>
    <col min="57" max="57" width="15.453125" bestFit="1" customWidth="1"/>
    <col min="58" max="58" width="16.453125" bestFit="1" customWidth="1"/>
    <col min="59" max="59" width="2.08984375" customWidth="1"/>
    <col min="60" max="64" width="16.453125" customWidth="1"/>
    <col min="65" max="70" width="16.453125" customWidth="1" outlineLevel="1"/>
    <col min="71" max="71" width="16.453125" customWidth="1"/>
    <col min="72" max="72" width="17.453125" customWidth="1"/>
    <col min="73" max="73" width="1.90625" customWidth="1"/>
    <col min="74" max="74" width="10.36328125" customWidth="1"/>
    <col min="75" max="76" width="22.54296875" bestFit="1" customWidth="1"/>
  </cols>
  <sheetData>
    <row r="1" spans="1:72" s="1517" customFormat="1">
      <c r="D1" s="1517">
        <v>2024</v>
      </c>
      <c r="E1" s="1517">
        <v>2024</v>
      </c>
      <c r="F1" s="1517">
        <v>2024</v>
      </c>
      <c r="G1" s="1517">
        <v>2024</v>
      </c>
      <c r="H1" s="1517">
        <v>2024</v>
      </c>
      <c r="I1" s="1517">
        <v>2024</v>
      </c>
      <c r="J1" s="1517">
        <v>2024</v>
      </c>
      <c r="K1" s="1517">
        <v>2024</v>
      </c>
      <c r="L1" s="1517">
        <v>2024</v>
      </c>
      <c r="M1" s="1517">
        <v>2024</v>
      </c>
      <c r="N1" s="1517">
        <v>2024</v>
      </c>
      <c r="O1" s="1517">
        <v>2024</v>
      </c>
      <c r="R1" s="1518"/>
      <c r="AF1" s="1517">
        <v>2025</v>
      </c>
      <c r="AG1" s="1517">
        <v>2025</v>
      </c>
      <c r="AH1" s="1517">
        <v>2025</v>
      </c>
      <c r="AI1" s="1517">
        <v>2025</v>
      </c>
      <c r="AJ1" s="1517">
        <v>2025</v>
      </c>
      <c r="AK1" s="1517">
        <v>2025</v>
      </c>
      <c r="AL1" s="1517">
        <v>2025</v>
      </c>
      <c r="AM1" s="1517">
        <v>2025</v>
      </c>
      <c r="AN1" s="1517">
        <v>2025</v>
      </c>
      <c r="AO1" s="1517">
        <v>2025</v>
      </c>
      <c r="AP1" s="1517">
        <v>2025</v>
      </c>
      <c r="AQ1" s="1517">
        <v>2025</v>
      </c>
      <c r="BH1" s="1517">
        <v>2026</v>
      </c>
      <c r="BI1" s="1517">
        <v>2026</v>
      </c>
      <c r="BJ1" s="1517">
        <v>2026</v>
      </c>
      <c r="BK1" s="1517">
        <v>2026</v>
      </c>
      <c r="BL1" s="1517">
        <v>2026</v>
      </c>
      <c r="BM1" s="1517">
        <v>2026</v>
      </c>
      <c r="BN1" s="1517">
        <v>2026</v>
      </c>
      <c r="BO1" s="1517">
        <v>2026</v>
      </c>
      <c r="BP1" s="1517">
        <v>2026</v>
      </c>
      <c r="BQ1" s="1517">
        <v>2026</v>
      </c>
      <c r="BR1" s="1517">
        <v>2026</v>
      </c>
      <c r="BS1" s="1517">
        <v>2026</v>
      </c>
    </row>
    <row r="2" spans="1:72" s="1517" customFormat="1">
      <c r="D2" s="1517">
        <v>1</v>
      </c>
      <c r="E2" s="1517">
        <v>2</v>
      </c>
      <c r="F2" s="1517">
        <v>3</v>
      </c>
      <c r="G2" s="1517">
        <v>4</v>
      </c>
      <c r="H2" s="1517">
        <v>5</v>
      </c>
      <c r="I2" s="1519">
        <v>6</v>
      </c>
      <c r="J2" s="1517">
        <v>7</v>
      </c>
      <c r="K2" s="1517">
        <v>8</v>
      </c>
      <c r="L2" s="1517">
        <v>9</v>
      </c>
      <c r="M2" s="1517">
        <v>10</v>
      </c>
      <c r="N2" s="1517">
        <v>11</v>
      </c>
      <c r="O2" s="1517">
        <v>12</v>
      </c>
      <c r="R2" s="1518"/>
      <c r="AF2" s="1517">
        <v>1</v>
      </c>
      <c r="AG2" s="1517">
        <v>2</v>
      </c>
      <c r="AH2" s="1517">
        <v>3</v>
      </c>
      <c r="AI2" s="1517">
        <v>4</v>
      </c>
      <c r="AJ2" s="1517">
        <v>5</v>
      </c>
      <c r="AK2" s="1519">
        <v>6</v>
      </c>
      <c r="AL2" s="1517">
        <v>7</v>
      </c>
      <c r="AM2" s="1517">
        <v>8</v>
      </c>
      <c r="AN2" s="1517">
        <v>9</v>
      </c>
      <c r="AO2" s="1517">
        <v>10</v>
      </c>
      <c r="AP2" s="1517">
        <v>11</v>
      </c>
      <c r="AQ2" s="1517">
        <v>12</v>
      </c>
      <c r="BH2" s="1517">
        <v>1</v>
      </c>
      <c r="BI2" s="1517">
        <v>2</v>
      </c>
      <c r="BJ2" s="1517">
        <v>3</v>
      </c>
      <c r="BK2" s="1517">
        <v>4</v>
      </c>
      <c r="BL2" s="1517">
        <v>5</v>
      </c>
      <c r="BM2" s="1519">
        <v>6</v>
      </c>
      <c r="BN2" s="1517">
        <v>7</v>
      </c>
      <c r="BO2" s="1517">
        <v>8</v>
      </c>
      <c r="BP2" s="1517">
        <v>9</v>
      </c>
      <c r="BQ2" s="1517">
        <v>10</v>
      </c>
      <c r="BR2" s="1517">
        <v>11</v>
      </c>
      <c r="BS2" s="1517">
        <v>12</v>
      </c>
    </row>
    <row r="3" spans="1:72">
      <c r="R3" s="981"/>
      <c r="AK3" s="290"/>
      <c r="BM3" s="290"/>
    </row>
    <row r="4" spans="1:72" s="313" customFormat="1" ht="19.5">
      <c r="A4" s="312" t="s">
        <v>492</v>
      </c>
      <c r="R4" s="980"/>
      <c r="AK4" s="290"/>
      <c r="BM4" s="290"/>
    </row>
    <row r="5" spans="1:72">
      <c r="R5" s="981"/>
      <c r="AF5" s="311">
        <f t="shared" ref="AF5:AR5" si="0">AF10/SUM(AF10:AF11)</f>
        <v>0.54337793800258294</v>
      </c>
      <c r="AG5" s="311">
        <f t="shared" si="0"/>
        <v>0.61106007619201774</v>
      </c>
      <c r="AH5" s="311">
        <f t="shared" si="0"/>
        <v>0.47068956229961856</v>
      </c>
      <c r="AI5" s="311">
        <f t="shared" si="0"/>
        <v>0.39074709269561325</v>
      </c>
      <c r="AJ5" s="311">
        <f t="shared" si="0"/>
        <v>0.3895590622796245</v>
      </c>
      <c r="AK5" s="311">
        <f t="shared" si="0"/>
        <v>0.51020536095955216</v>
      </c>
      <c r="AL5" s="311">
        <f t="shared" si="0"/>
        <v>0.57862228486772216</v>
      </c>
      <c r="AM5" s="311">
        <f t="shared" si="0"/>
        <v>0.48368178106207743</v>
      </c>
      <c r="AN5" s="311">
        <f t="shared" si="0"/>
        <v>0.651163433359084</v>
      </c>
      <c r="AO5" s="311">
        <f t="shared" si="0"/>
        <v>0.57845052245967687</v>
      </c>
      <c r="AP5" s="311">
        <f t="shared" si="0"/>
        <v>0.41491298922834458</v>
      </c>
      <c r="AQ5" s="311">
        <f t="shared" si="0"/>
        <v>0.46242414600078519</v>
      </c>
      <c r="AR5" s="311">
        <f t="shared" si="0"/>
        <v>0.49180140830434604</v>
      </c>
      <c r="AT5" s="311">
        <f t="shared" ref="AT5:AX5" si="1">AT10/SUM(AT10:AT11)</f>
        <v>0.50515463917525771</v>
      </c>
      <c r="AU5" s="311">
        <f t="shared" si="1"/>
        <v>0.49367088607594939</v>
      </c>
      <c r="AV5" s="311">
        <f t="shared" si="1"/>
        <v>0.50515463917525771</v>
      </c>
      <c r="AW5" s="311">
        <f t="shared" si="1"/>
        <v>0.50515463917525771</v>
      </c>
      <c r="AX5" s="311">
        <f t="shared" si="1"/>
        <v>0.50515463917525771</v>
      </c>
      <c r="BH5" s="311">
        <f t="shared" ref="BH5:BJ5" si="2">BH10/SUM(BH10:BH11)</f>
        <v>0.44990789414518439</v>
      </c>
      <c r="BI5" s="311">
        <f t="shared" si="2"/>
        <v>0.51382148094133362</v>
      </c>
      <c r="BJ5" s="311">
        <f t="shared" si="2"/>
        <v>0.57489661931798119</v>
      </c>
      <c r="BK5" s="311">
        <f>BK10/SUM(BK10:BK11)</f>
        <v>0.59999194363453046</v>
      </c>
      <c r="BT5" s="311">
        <f>BT10/SUM(BT10:BT11)</f>
        <v>0.50704416904310068</v>
      </c>
    </row>
    <row r="6" spans="1:72">
      <c r="D6" s="279">
        <v>2024</v>
      </c>
      <c r="R6" s="279" t="s">
        <v>743</v>
      </c>
      <c r="AF6" s="279">
        <v>2025</v>
      </c>
      <c r="AL6" s="144"/>
      <c r="AT6" s="279" t="s">
        <v>994</v>
      </c>
      <c r="BH6" s="279">
        <v>2026</v>
      </c>
      <c r="BN6" s="144"/>
    </row>
    <row r="7" spans="1:72" s="279" customFormat="1">
      <c r="A7" s="142" t="s">
        <v>493</v>
      </c>
      <c r="B7" s="142" t="s">
        <v>494</v>
      </c>
      <c r="D7" s="793">
        <v>1</v>
      </c>
      <c r="E7" s="793">
        <v>2</v>
      </c>
      <c r="F7" s="793">
        <v>3</v>
      </c>
      <c r="G7" s="793">
        <v>4</v>
      </c>
      <c r="H7" s="793">
        <v>5</v>
      </c>
      <c r="I7" s="793">
        <v>6</v>
      </c>
      <c r="J7" s="793">
        <v>7</v>
      </c>
      <c r="K7" s="793">
        <v>8</v>
      </c>
      <c r="L7" s="793">
        <v>9</v>
      </c>
      <c r="M7" s="793">
        <v>10</v>
      </c>
      <c r="N7" s="793">
        <v>11</v>
      </c>
      <c r="O7" s="793">
        <v>12</v>
      </c>
      <c r="P7" s="794" t="s">
        <v>338</v>
      </c>
      <c r="R7" s="978">
        <v>1</v>
      </c>
      <c r="S7" s="978">
        <v>2</v>
      </c>
      <c r="T7" s="978">
        <v>3</v>
      </c>
      <c r="U7" s="978">
        <v>4</v>
      </c>
      <c r="V7" s="978">
        <v>5</v>
      </c>
      <c r="W7" s="978">
        <v>6</v>
      </c>
      <c r="X7" s="978">
        <v>7</v>
      </c>
      <c r="Y7" s="978">
        <v>8</v>
      </c>
      <c r="Z7" s="978">
        <v>9</v>
      </c>
      <c r="AA7" s="978">
        <v>10</v>
      </c>
      <c r="AB7" s="978">
        <v>11</v>
      </c>
      <c r="AC7" s="978">
        <v>12</v>
      </c>
      <c r="AD7" s="979" t="s">
        <v>338</v>
      </c>
      <c r="AF7" s="793">
        <v>1</v>
      </c>
      <c r="AG7" s="793">
        <v>2</v>
      </c>
      <c r="AH7" s="793">
        <v>3</v>
      </c>
      <c r="AI7" s="793">
        <v>4</v>
      </c>
      <c r="AJ7" s="793">
        <v>5</v>
      </c>
      <c r="AK7" s="793">
        <v>6</v>
      </c>
      <c r="AL7" s="793">
        <v>7</v>
      </c>
      <c r="AM7" s="793">
        <v>8</v>
      </c>
      <c r="AN7" s="793">
        <v>9</v>
      </c>
      <c r="AO7" s="793">
        <v>10</v>
      </c>
      <c r="AP7" s="793">
        <v>11</v>
      </c>
      <c r="AQ7" s="793">
        <v>12</v>
      </c>
      <c r="AR7" s="794" t="s">
        <v>338</v>
      </c>
      <c r="AT7" s="978">
        <v>1</v>
      </c>
      <c r="AU7" s="978">
        <v>2</v>
      </c>
      <c r="AV7" s="978">
        <v>3</v>
      </c>
      <c r="AW7" s="978">
        <v>4</v>
      </c>
      <c r="AX7" s="978">
        <v>5</v>
      </c>
      <c r="AY7" s="978">
        <v>6</v>
      </c>
      <c r="AZ7" s="978">
        <v>7</v>
      </c>
      <c r="BA7" s="978">
        <v>8</v>
      </c>
      <c r="BB7" s="978">
        <v>9</v>
      </c>
      <c r="BC7" s="978">
        <v>10</v>
      </c>
      <c r="BD7" s="978">
        <v>11</v>
      </c>
      <c r="BE7" s="978">
        <v>12</v>
      </c>
      <c r="BF7" s="979" t="s">
        <v>338</v>
      </c>
      <c r="BH7" s="1465">
        <v>1</v>
      </c>
      <c r="BI7" s="1465">
        <v>2</v>
      </c>
      <c r="BJ7" s="1465">
        <v>3</v>
      </c>
      <c r="BK7" s="1465">
        <v>4</v>
      </c>
      <c r="BL7" s="1465">
        <v>5</v>
      </c>
      <c r="BM7" s="1465">
        <v>6</v>
      </c>
      <c r="BN7" s="1465">
        <v>7</v>
      </c>
      <c r="BO7" s="1465">
        <v>8</v>
      </c>
      <c r="BP7" s="1465">
        <v>9</v>
      </c>
      <c r="BQ7" s="1465">
        <v>10</v>
      </c>
      <c r="BR7" s="1465">
        <v>11</v>
      </c>
      <c r="BS7" s="1465">
        <v>12</v>
      </c>
      <c r="BT7" s="1466" t="s">
        <v>338</v>
      </c>
    </row>
    <row r="8" spans="1:72" ht="3" customHeight="1">
      <c r="D8" s="279"/>
      <c r="E8" s="279"/>
      <c r="F8" s="279"/>
      <c r="G8" s="279"/>
      <c r="H8" s="279"/>
      <c r="I8" s="279"/>
      <c r="J8" s="279"/>
      <c r="K8" s="279"/>
      <c r="L8" s="279"/>
      <c r="M8" s="279"/>
      <c r="N8" s="279"/>
      <c r="O8" s="279"/>
      <c r="P8" s="314"/>
      <c r="AF8" s="279"/>
      <c r="AG8" s="279"/>
      <c r="AH8" s="279"/>
      <c r="AI8" s="279"/>
      <c r="AJ8" s="279"/>
      <c r="AK8" s="279"/>
      <c r="AL8" s="279"/>
      <c r="AM8" s="279"/>
      <c r="AN8" s="279"/>
      <c r="AO8" s="279"/>
      <c r="AP8" s="279"/>
      <c r="AQ8" s="279"/>
      <c r="AR8" s="314"/>
      <c r="BH8" s="279"/>
      <c r="BI8" s="279"/>
      <c r="BJ8" s="279"/>
      <c r="BK8" s="279"/>
      <c r="BL8" s="279"/>
      <c r="BM8" s="279"/>
      <c r="BN8" s="279"/>
      <c r="BO8" s="279"/>
      <c r="BP8" s="279"/>
      <c r="BQ8" s="279"/>
      <c r="BR8" s="279"/>
      <c r="BS8" s="279"/>
      <c r="BT8" s="314"/>
    </row>
    <row r="9" spans="1:72" s="279" customFormat="1">
      <c r="A9" s="1266" t="s">
        <v>495</v>
      </c>
      <c r="B9" s="1266" t="s">
        <v>496</v>
      </c>
      <c r="D9" s="1267">
        <f>SUM(D10:D13)</f>
        <v>4104592.48</v>
      </c>
      <c r="E9" s="1267">
        <f t="shared" ref="E9:AD9" si="3">SUM(E10:E13)</f>
        <v>2382651.12</v>
      </c>
      <c r="F9" s="1267">
        <f t="shared" si="3"/>
        <v>5042694.76</v>
      </c>
      <c r="G9" s="1267">
        <f t="shared" si="3"/>
        <v>4387895.5600000005</v>
      </c>
      <c r="H9" s="1267">
        <f t="shared" si="3"/>
        <v>5331010.32</v>
      </c>
      <c r="I9" s="1267">
        <f t="shared" si="3"/>
        <v>4637671.08</v>
      </c>
      <c r="J9" s="1267">
        <f t="shared" si="3"/>
        <v>2546152.36</v>
      </c>
      <c r="K9" s="1267">
        <f t="shared" si="3"/>
        <v>2972537.4</v>
      </c>
      <c r="L9" s="1267">
        <f t="shared" si="3"/>
        <v>4928940.08</v>
      </c>
      <c r="M9" s="1267">
        <f t="shared" si="3"/>
        <v>4282104.8</v>
      </c>
      <c r="N9" s="1267">
        <f t="shared" si="3"/>
        <v>4185072.16</v>
      </c>
      <c r="O9" s="1267">
        <f t="shared" si="3"/>
        <v>3934551.32</v>
      </c>
      <c r="P9" s="1267">
        <f t="shared" si="3"/>
        <v>48735873.439999998</v>
      </c>
      <c r="R9" s="1267">
        <f t="shared" si="3"/>
        <v>4140000</v>
      </c>
      <c r="S9" s="1267">
        <f t="shared" si="3"/>
        <v>4290000</v>
      </c>
      <c r="T9" s="1267">
        <f t="shared" si="3"/>
        <v>5215000</v>
      </c>
      <c r="U9" s="1267">
        <f t="shared" si="3"/>
        <v>5155000</v>
      </c>
      <c r="V9" s="1267">
        <f t="shared" si="3"/>
        <v>5305000</v>
      </c>
      <c r="W9" s="1267">
        <f t="shared" si="3"/>
        <v>5265000</v>
      </c>
      <c r="X9" s="1267">
        <f t="shared" si="3"/>
        <v>5425000</v>
      </c>
      <c r="Y9" s="1267">
        <f t="shared" si="3"/>
        <v>5375000</v>
      </c>
      <c r="Z9" s="1267">
        <f t="shared" si="3"/>
        <v>5435000</v>
      </c>
      <c r="AA9" s="1267">
        <f t="shared" si="3"/>
        <v>5445000</v>
      </c>
      <c r="AB9" s="1267">
        <f t="shared" si="3"/>
        <v>5495000</v>
      </c>
      <c r="AC9" s="1267">
        <f t="shared" si="3"/>
        <v>5455000</v>
      </c>
      <c r="AD9" s="1267">
        <f t="shared" si="3"/>
        <v>62000000</v>
      </c>
      <c r="AF9" s="1267">
        <f>SUM(AF10:AF13)</f>
        <v>1725373</v>
      </c>
      <c r="AG9" s="1267">
        <f t="shared" ref="AG9:AR9" si="4">SUM(AG10:AG13)</f>
        <v>2432703.36</v>
      </c>
      <c r="AH9" s="1267">
        <f t="shared" si="4"/>
        <v>4401834.28</v>
      </c>
      <c r="AI9" s="1267">
        <f t="shared" si="4"/>
        <v>6853696</v>
      </c>
      <c r="AJ9" s="1267">
        <f t="shared" si="4"/>
        <v>5297102</v>
      </c>
      <c r="AK9" s="1267">
        <f t="shared" si="4"/>
        <v>4829869</v>
      </c>
      <c r="AL9" s="1267">
        <f t="shared" si="4"/>
        <v>4950858.040000001</v>
      </c>
      <c r="AM9" s="1267">
        <f t="shared" si="4"/>
        <v>6367826.2000000002</v>
      </c>
      <c r="AN9" s="1267">
        <f t="shared" si="4"/>
        <v>3608205.1199999996</v>
      </c>
      <c r="AO9" s="1267">
        <f t="shared" si="4"/>
        <v>3341959.12</v>
      </c>
      <c r="AP9" s="1267">
        <f t="shared" si="4"/>
        <v>3276042.68</v>
      </c>
      <c r="AQ9" s="1267">
        <f t="shared" si="4"/>
        <v>3643921</v>
      </c>
      <c r="AR9" s="1267">
        <f t="shared" si="4"/>
        <v>50729389.799999997</v>
      </c>
      <c r="AT9" s="1267">
        <f>SUM(AT10:AT13)</f>
        <v>5120000</v>
      </c>
      <c r="AU9" s="1267">
        <f t="shared" ref="AU9:BF9" si="5">SUM(AU10:AU13)</f>
        <v>4220000</v>
      </c>
      <c r="AV9" s="1267">
        <f t="shared" si="5"/>
        <v>5220000</v>
      </c>
      <c r="AW9" s="1267">
        <f t="shared" si="5"/>
        <v>5220000</v>
      </c>
      <c r="AX9" s="1267">
        <f t="shared" si="5"/>
        <v>5230000</v>
      </c>
      <c r="AY9" s="1267">
        <f t="shared" si="5"/>
        <v>5220000</v>
      </c>
      <c r="AZ9" s="1267">
        <f t="shared" si="5"/>
        <v>5300000</v>
      </c>
      <c r="BA9" s="1267">
        <f t="shared" si="5"/>
        <v>5300000</v>
      </c>
      <c r="BB9" s="1267">
        <f t="shared" si="5"/>
        <v>5300000</v>
      </c>
      <c r="BC9" s="1267">
        <f t="shared" si="5"/>
        <v>5280000</v>
      </c>
      <c r="BD9" s="1267">
        <f t="shared" si="5"/>
        <v>5310000</v>
      </c>
      <c r="BE9" s="1267">
        <f t="shared" si="5"/>
        <v>5280000</v>
      </c>
      <c r="BF9" s="1267">
        <f t="shared" si="5"/>
        <v>62000000</v>
      </c>
      <c r="BH9" s="1267">
        <f>SUM(BH10:BH13)</f>
        <v>3841962.4</v>
      </c>
      <c r="BI9" s="1267">
        <f t="shared" ref="BI9:BT9" si="6">SUM(BI10:BI13)</f>
        <v>2314417.7599999998</v>
      </c>
      <c r="BJ9" s="1267">
        <f t="shared" si="6"/>
        <v>3908294.12</v>
      </c>
      <c r="BK9" s="1267">
        <f t="shared" si="6"/>
        <v>3370798.24</v>
      </c>
      <c r="BL9" s="1267">
        <f t="shared" si="6"/>
        <v>5208861.8</v>
      </c>
      <c r="BM9" s="1267">
        <f t="shared" si="6"/>
        <v>0</v>
      </c>
      <c r="BN9" s="1267">
        <f t="shared" si="6"/>
        <v>0</v>
      </c>
      <c r="BO9" s="1267">
        <f t="shared" si="6"/>
        <v>0</v>
      </c>
      <c r="BP9" s="1267">
        <f t="shared" si="6"/>
        <v>0</v>
      </c>
      <c r="BQ9" s="1267">
        <f t="shared" si="6"/>
        <v>0</v>
      </c>
      <c r="BR9" s="1267">
        <f t="shared" si="6"/>
        <v>0</v>
      </c>
      <c r="BS9" s="1267">
        <f t="shared" si="6"/>
        <v>0</v>
      </c>
      <c r="BT9" s="1267">
        <f t="shared" si="6"/>
        <v>18644334.32</v>
      </c>
    </row>
    <row r="10" spans="1:72" outlineLevel="1">
      <c r="A10" s="1460" t="s">
        <v>893</v>
      </c>
      <c r="B10" s="1460" t="s">
        <v>496</v>
      </c>
      <c r="D10" s="1461">
        <v>1130320.48</v>
      </c>
      <c r="E10" s="1461">
        <v>894356.12</v>
      </c>
      <c r="F10" s="1461">
        <v>1153107.76</v>
      </c>
      <c r="G10" s="1461">
        <v>766060.56</v>
      </c>
      <c r="H10" s="1461">
        <v>1474445.32</v>
      </c>
      <c r="I10" s="1461">
        <v>1504974.08</v>
      </c>
      <c r="J10" s="1461">
        <v>651202.36</v>
      </c>
      <c r="K10" s="1461">
        <v>806250.4</v>
      </c>
      <c r="L10" s="1461">
        <v>1201896.08</v>
      </c>
      <c r="M10" s="1461">
        <v>1477979.8</v>
      </c>
      <c r="N10" s="1461">
        <v>1449388.1600000001</v>
      </c>
      <c r="O10" s="1461">
        <v>1327315.3199999998</v>
      </c>
      <c r="P10" s="1461">
        <f>SUM(D10:O10)</f>
        <v>13837296.440000001</v>
      </c>
      <c r="R10" s="1461">
        <v>1920000</v>
      </c>
      <c r="S10" s="1461">
        <v>1920000</v>
      </c>
      <c r="T10" s="1461">
        <v>2120000</v>
      </c>
      <c r="U10" s="1461">
        <v>2120000</v>
      </c>
      <c r="V10" s="1461">
        <v>2120000</v>
      </c>
      <c r="W10" s="1461">
        <v>2120000</v>
      </c>
      <c r="X10" s="1461">
        <v>2120000</v>
      </c>
      <c r="Y10" s="1461">
        <v>2120000</v>
      </c>
      <c r="Z10" s="1461">
        <v>2120000</v>
      </c>
      <c r="AA10" s="1461">
        <v>2120000</v>
      </c>
      <c r="AB10" s="1461">
        <v>2120000</v>
      </c>
      <c r="AC10" s="1461">
        <v>2120000</v>
      </c>
      <c r="AD10" s="1461">
        <f t="shared" ref="AD10:AD13" si="7">SUM(R10:AC10)</f>
        <v>25040000</v>
      </c>
      <c r="AF10" s="1461">
        <v>748508</v>
      </c>
      <c r="AG10" s="1461">
        <v>1257523.3599999999</v>
      </c>
      <c r="AH10" s="1461">
        <v>1931474.28</v>
      </c>
      <c r="AI10" s="1461">
        <v>2555080</v>
      </c>
      <c r="AJ10" s="1461">
        <v>1950553</v>
      </c>
      <c r="AK10" s="1461">
        <v>2384707</v>
      </c>
      <c r="AL10" s="1461">
        <v>2774975.64</v>
      </c>
      <c r="AM10" s="1461">
        <v>2998985.4</v>
      </c>
      <c r="AN10" s="1461">
        <v>2280944.3199999998</v>
      </c>
      <c r="AO10" s="1461">
        <v>1898788.32</v>
      </c>
      <c r="AP10" s="1461">
        <v>1329599.08</v>
      </c>
      <c r="AQ10" s="1461">
        <v>1659625</v>
      </c>
      <c r="AR10" s="1461">
        <f>SUM(AF10:AQ10)</f>
        <v>23770763.399999999</v>
      </c>
      <c r="AT10" s="1461">
        <v>2450000</v>
      </c>
      <c r="AU10" s="1461">
        <v>1950000</v>
      </c>
      <c r="AV10" s="1461">
        <v>2450000</v>
      </c>
      <c r="AW10" s="1461">
        <v>2450000</v>
      </c>
      <c r="AX10" s="1461">
        <v>2450000</v>
      </c>
      <c r="AY10" s="1461">
        <v>2450000</v>
      </c>
      <c r="AZ10" s="1461">
        <v>2450000</v>
      </c>
      <c r="BA10" s="1461">
        <v>2450000</v>
      </c>
      <c r="BB10" s="1461">
        <v>2450000</v>
      </c>
      <c r="BC10" s="1461">
        <v>2450000</v>
      </c>
      <c r="BD10" s="1461">
        <v>2450000</v>
      </c>
      <c r="BE10" s="1461">
        <v>2450000</v>
      </c>
      <c r="BF10" s="1461">
        <f t="shared" ref="BF10:BF13" si="8">SUM(AT10:BE10)</f>
        <v>28900000</v>
      </c>
      <c r="BH10" s="1461">
        <v>1692933.4</v>
      </c>
      <c r="BI10" s="1461">
        <v>1175081.96</v>
      </c>
      <c r="BJ10" s="1461">
        <v>2141940.12</v>
      </c>
      <c r="BK10" s="1461">
        <v>1854707.24</v>
      </c>
      <c r="BL10" s="1461">
        <v>2139708.7999999998</v>
      </c>
      <c r="BM10" s="1461"/>
      <c r="BN10" s="1461"/>
      <c r="BO10" s="1461"/>
      <c r="BP10" s="1461"/>
      <c r="BQ10" s="1461"/>
      <c r="BR10" s="1461"/>
      <c r="BS10" s="1461"/>
      <c r="BT10" s="1461">
        <f>SUM(BH10:BS10)</f>
        <v>9004371.5199999996</v>
      </c>
    </row>
    <row r="11" spans="1:72" outlineLevel="1">
      <c r="A11" s="1044" t="s">
        <v>892</v>
      </c>
      <c r="B11" s="1044" t="s">
        <v>496</v>
      </c>
      <c r="D11" s="1269">
        <v>2406798</v>
      </c>
      <c r="E11" s="1269">
        <v>1303717</v>
      </c>
      <c r="F11" s="1269">
        <v>3307461</v>
      </c>
      <c r="G11" s="1269">
        <v>3144028</v>
      </c>
      <c r="H11" s="1269">
        <v>3218486</v>
      </c>
      <c r="I11" s="1269">
        <v>2695529</v>
      </c>
      <c r="J11" s="1269">
        <v>1647620</v>
      </c>
      <c r="K11" s="1269">
        <v>1619300</v>
      </c>
      <c r="L11" s="1269">
        <v>3160262</v>
      </c>
      <c r="M11" s="1269">
        <v>2318284</v>
      </c>
      <c r="N11" s="1269">
        <v>2170935</v>
      </c>
      <c r="O11" s="1269">
        <v>1985469</v>
      </c>
      <c r="P11" s="1269">
        <f>SUM(D11:O11)</f>
        <v>28977889</v>
      </c>
      <c r="R11" s="1269">
        <v>1900000</v>
      </c>
      <c r="S11" s="1269">
        <v>2100000</v>
      </c>
      <c r="T11" s="1269">
        <v>2600000</v>
      </c>
      <c r="U11" s="1269">
        <v>2600000</v>
      </c>
      <c r="V11" s="1269">
        <v>2600000</v>
      </c>
      <c r="W11" s="1269">
        <v>2600000</v>
      </c>
      <c r="X11" s="1269">
        <v>2600000</v>
      </c>
      <c r="Y11" s="1269">
        <v>2600000</v>
      </c>
      <c r="Z11" s="1269">
        <v>2600000</v>
      </c>
      <c r="AA11" s="1269">
        <v>2600000</v>
      </c>
      <c r="AB11" s="1269">
        <v>2600000</v>
      </c>
      <c r="AC11" s="1269">
        <v>2600000</v>
      </c>
      <c r="AD11" s="1269">
        <f t="shared" si="7"/>
        <v>30000000</v>
      </c>
      <c r="AF11" s="1269">
        <v>629001</v>
      </c>
      <c r="AG11" s="1269">
        <v>800414</v>
      </c>
      <c r="AH11" s="1269">
        <v>2172025</v>
      </c>
      <c r="AI11" s="1269">
        <v>3983881</v>
      </c>
      <c r="AJ11" s="1269">
        <v>3056526</v>
      </c>
      <c r="AK11" s="1269">
        <v>2289307</v>
      </c>
      <c r="AL11" s="1269">
        <v>2020857</v>
      </c>
      <c r="AM11" s="1269">
        <v>3201342</v>
      </c>
      <c r="AN11" s="1269">
        <v>1221931</v>
      </c>
      <c r="AO11" s="1269">
        <v>1383754</v>
      </c>
      <c r="AP11" s="1269">
        <v>1874926</v>
      </c>
      <c r="AQ11" s="1269">
        <v>1929342</v>
      </c>
      <c r="AR11" s="1269">
        <f t="shared" ref="AR11:AR13" si="9">SUM(AF11:AQ11)</f>
        <v>24563306</v>
      </c>
      <c r="AT11" s="1269">
        <v>2400000</v>
      </c>
      <c r="AU11" s="1269">
        <v>2000000</v>
      </c>
      <c r="AV11" s="1269">
        <v>2400000</v>
      </c>
      <c r="AW11" s="1269">
        <v>2400000</v>
      </c>
      <c r="AX11" s="1269">
        <v>2400000</v>
      </c>
      <c r="AY11" s="1269">
        <v>2400000</v>
      </c>
      <c r="AZ11" s="1269">
        <v>2400000</v>
      </c>
      <c r="BA11" s="1269">
        <v>2400000</v>
      </c>
      <c r="BB11" s="1269">
        <v>2400000</v>
      </c>
      <c r="BC11" s="1269">
        <v>2400000</v>
      </c>
      <c r="BD11" s="1269">
        <v>2400000</v>
      </c>
      <c r="BE11" s="1269">
        <v>2400000</v>
      </c>
      <c r="BF11" s="1269">
        <f t="shared" si="8"/>
        <v>28400000</v>
      </c>
      <c r="BH11" s="1269">
        <v>2069911</v>
      </c>
      <c r="BI11" s="1269">
        <v>1111864</v>
      </c>
      <c r="BJ11" s="1269">
        <v>1583843</v>
      </c>
      <c r="BK11" s="1269">
        <v>1236513</v>
      </c>
      <c r="BL11" s="1269">
        <v>2752052</v>
      </c>
      <c r="BM11" s="1269"/>
      <c r="BN11" s="1269"/>
      <c r="BO11" s="1269"/>
      <c r="BP11" s="1269"/>
      <c r="BQ11" s="1269"/>
      <c r="BR11" s="1269"/>
      <c r="BS11" s="1269"/>
      <c r="BT11" s="1269">
        <f t="shared" ref="BT11:BT13" si="10">SUM(BH11:BS11)</f>
        <v>8754183</v>
      </c>
    </row>
    <row r="12" spans="1:72" outlineLevel="1">
      <c r="A12" s="1044" t="s">
        <v>488</v>
      </c>
      <c r="B12" s="1044" t="s">
        <v>496</v>
      </c>
      <c r="D12" s="1269">
        <v>478674</v>
      </c>
      <c r="E12" s="1269">
        <v>155046</v>
      </c>
      <c r="F12" s="1269">
        <v>338037</v>
      </c>
      <c r="G12" s="1269">
        <v>293798</v>
      </c>
      <c r="H12" s="1269">
        <v>473189</v>
      </c>
      <c r="I12" s="1269">
        <v>323705</v>
      </c>
      <c r="J12" s="1269">
        <v>215868</v>
      </c>
      <c r="K12" s="1269">
        <v>471680</v>
      </c>
      <c r="L12" s="1269">
        <v>562442</v>
      </c>
      <c r="M12" s="1269">
        <v>468395</v>
      </c>
      <c r="N12" s="1269">
        <v>554705</v>
      </c>
      <c r="O12" s="1269">
        <v>603639</v>
      </c>
      <c r="P12" s="1269">
        <f>SUM(D12:O12)</f>
        <v>4939178</v>
      </c>
      <c r="R12" s="1269">
        <v>270000</v>
      </c>
      <c r="S12" s="1269">
        <v>270000</v>
      </c>
      <c r="T12" s="1269">
        <v>400000</v>
      </c>
      <c r="U12" s="1269">
        <v>400000</v>
      </c>
      <c r="V12" s="1269">
        <v>500000</v>
      </c>
      <c r="W12" s="1269">
        <v>500000</v>
      </c>
      <c r="X12" s="1269">
        <v>620000</v>
      </c>
      <c r="Y12" s="1269">
        <v>620000</v>
      </c>
      <c r="Z12" s="1269">
        <v>620000</v>
      </c>
      <c r="AA12" s="1269">
        <v>670000</v>
      </c>
      <c r="AB12" s="1269">
        <v>670000</v>
      </c>
      <c r="AC12" s="1269">
        <v>670000</v>
      </c>
      <c r="AD12" s="1269">
        <f t="shared" si="7"/>
        <v>6210000</v>
      </c>
      <c r="AF12" s="1269">
        <v>347864</v>
      </c>
      <c r="AG12" s="1269">
        <v>361474</v>
      </c>
      <c r="AH12" s="1269">
        <v>255041</v>
      </c>
      <c r="AI12" s="1269">
        <v>288772</v>
      </c>
      <c r="AJ12" s="1269">
        <v>258061</v>
      </c>
      <c r="AK12" s="1269">
        <v>154365</v>
      </c>
      <c r="AL12" s="1269">
        <v>145777.4</v>
      </c>
      <c r="AM12" s="1269">
        <v>146604.79999999999</v>
      </c>
      <c r="AN12" s="1269">
        <v>105329.8</v>
      </c>
      <c r="AO12" s="1269">
        <v>59416.800000000003</v>
      </c>
      <c r="AP12" s="1269">
        <v>71517.600000000006</v>
      </c>
      <c r="AQ12" s="1269">
        <v>54954</v>
      </c>
      <c r="AR12" s="1269">
        <f t="shared" si="9"/>
        <v>2249177.4</v>
      </c>
      <c r="AT12" s="1269">
        <v>240000</v>
      </c>
      <c r="AU12" s="1269">
        <v>240000</v>
      </c>
      <c r="AV12" s="1269">
        <v>340000</v>
      </c>
      <c r="AW12" s="1269">
        <v>340000</v>
      </c>
      <c r="AX12" s="1269">
        <v>340000</v>
      </c>
      <c r="AY12" s="1269">
        <v>340000</v>
      </c>
      <c r="AZ12" s="1269">
        <v>420000</v>
      </c>
      <c r="BA12" s="1269">
        <v>420000</v>
      </c>
      <c r="BB12" s="1269">
        <v>420000</v>
      </c>
      <c r="BC12" s="1269">
        <v>420000</v>
      </c>
      <c r="BD12" s="1269">
        <v>420000</v>
      </c>
      <c r="BE12" s="1269">
        <v>420000</v>
      </c>
      <c r="BF12" s="1269">
        <f t="shared" si="8"/>
        <v>4360000</v>
      </c>
      <c r="BH12" s="1269">
        <v>40926</v>
      </c>
      <c r="BI12" s="1269">
        <v>27471.8</v>
      </c>
      <c r="BJ12" s="1269">
        <v>175755</v>
      </c>
      <c r="BK12" s="1269">
        <v>279578</v>
      </c>
      <c r="BL12" s="1269">
        <v>317101</v>
      </c>
      <c r="BM12" s="1269"/>
      <c r="BN12" s="1269"/>
      <c r="BO12" s="1269"/>
      <c r="BP12" s="1269"/>
      <c r="BQ12" s="1269"/>
      <c r="BR12" s="1269"/>
      <c r="BS12" s="1269"/>
      <c r="BT12" s="1269">
        <f t="shared" si="10"/>
        <v>840831.8</v>
      </c>
    </row>
    <row r="13" spans="1:72" outlineLevel="1">
      <c r="A13" s="1044" t="s">
        <v>489</v>
      </c>
      <c r="B13" s="1044" t="s">
        <v>496</v>
      </c>
      <c r="D13" s="1269">
        <v>88800</v>
      </c>
      <c r="E13" s="1269">
        <v>29532</v>
      </c>
      <c r="F13" s="1269">
        <v>244089</v>
      </c>
      <c r="G13" s="1269">
        <v>184009</v>
      </c>
      <c r="H13" s="1269">
        <v>164890</v>
      </c>
      <c r="I13" s="1269">
        <v>113463</v>
      </c>
      <c r="J13" s="1269">
        <v>31462</v>
      </c>
      <c r="K13" s="1269">
        <v>75307</v>
      </c>
      <c r="L13" s="1269">
        <v>4340</v>
      </c>
      <c r="M13" s="1269">
        <v>17446</v>
      </c>
      <c r="N13" s="1269">
        <v>10044</v>
      </c>
      <c r="O13" s="1269">
        <v>18128</v>
      </c>
      <c r="P13" s="1269">
        <f>SUM(D13:O13)</f>
        <v>981510</v>
      </c>
      <c r="R13" s="1269">
        <v>50000</v>
      </c>
      <c r="S13" s="1269">
        <v>0</v>
      </c>
      <c r="T13" s="1269">
        <v>95000</v>
      </c>
      <c r="U13" s="1269">
        <v>35000</v>
      </c>
      <c r="V13" s="1269">
        <v>85000</v>
      </c>
      <c r="W13" s="1269">
        <v>45000</v>
      </c>
      <c r="X13" s="1269">
        <v>85000</v>
      </c>
      <c r="Y13" s="1269">
        <v>35000</v>
      </c>
      <c r="Z13" s="1269">
        <v>95000</v>
      </c>
      <c r="AA13" s="1269">
        <v>55000</v>
      </c>
      <c r="AB13" s="1269">
        <v>105000</v>
      </c>
      <c r="AC13" s="1269">
        <v>65000</v>
      </c>
      <c r="AD13" s="1269">
        <f t="shared" si="7"/>
        <v>750000</v>
      </c>
      <c r="AF13" s="1269">
        <v>0</v>
      </c>
      <c r="AG13" s="1269">
        <v>13292</v>
      </c>
      <c r="AH13" s="1269">
        <v>43294</v>
      </c>
      <c r="AI13" s="1269">
        <v>25963</v>
      </c>
      <c r="AJ13" s="1269">
        <v>31962</v>
      </c>
      <c r="AK13" s="1269">
        <v>1490</v>
      </c>
      <c r="AL13" s="1269">
        <v>9248</v>
      </c>
      <c r="AM13" s="1269">
        <v>20894</v>
      </c>
      <c r="AN13" s="1269"/>
      <c r="AO13" s="1269"/>
      <c r="AP13" s="1269"/>
      <c r="AQ13" s="1269"/>
      <c r="AR13" s="1269">
        <f t="shared" si="9"/>
        <v>146143</v>
      </c>
      <c r="AT13" s="1269">
        <v>30000</v>
      </c>
      <c r="AU13" s="1269">
        <v>30000</v>
      </c>
      <c r="AV13" s="1269">
        <v>30000</v>
      </c>
      <c r="AW13" s="1269">
        <v>30000</v>
      </c>
      <c r="AX13" s="1269">
        <v>40000</v>
      </c>
      <c r="AY13" s="1269">
        <v>30000</v>
      </c>
      <c r="AZ13" s="1269">
        <v>30000</v>
      </c>
      <c r="BA13" s="1269">
        <v>30000</v>
      </c>
      <c r="BB13" s="1269">
        <v>30000</v>
      </c>
      <c r="BC13" s="1269">
        <v>10000</v>
      </c>
      <c r="BD13" s="1269">
        <v>40000</v>
      </c>
      <c r="BE13" s="1269">
        <v>10000</v>
      </c>
      <c r="BF13" s="1269">
        <f t="shared" si="8"/>
        <v>340000</v>
      </c>
      <c r="BH13" s="1269">
        <v>38192</v>
      </c>
      <c r="BI13" s="1269">
        <v>0</v>
      </c>
      <c r="BJ13" s="1269">
        <v>6756</v>
      </c>
      <c r="BK13" s="1269">
        <v>0</v>
      </c>
      <c r="BL13" s="1269"/>
      <c r="BM13" s="1269"/>
      <c r="BN13" s="1269"/>
      <c r="BO13" s="1269"/>
      <c r="BP13" s="1269"/>
      <c r="BQ13" s="1269"/>
      <c r="BR13" s="1269"/>
      <c r="BS13" s="1269"/>
      <c r="BT13" s="1269">
        <f t="shared" si="10"/>
        <v>44948</v>
      </c>
    </row>
    <row r="14" spans="1:72">
      <c r="D14" s="143"/>
      <c r="E14" s="143"/>
      <c r="F14" s="143"/>
      <c r="G14" s="143"/>
      <c r="H14" s="143"/>
      <c r="I14" s="143"/>
      <c r="J14" s="143"/>
      <c r="K14" s="143"/>
      <c r="L14" s="143"/>
      <c r="M14" s="143"/>
      <c r="N14" s="143"/>
      <c r="O14" s="143"/>
      <c r="P14" s="143"/>
      <c r="R14" s="143"/>
      <c r="S14" s="143"/>
      <c r="T14" s="143"/>
      <c r="U14" s="143"/>
      <c r="V14" s="143"/>
      <c r="W14" s="143"/>
      <c r="X14" s="143"/>
      <c r="Y14" s="143"/>
      <c r="Z14" s="143"/>
      <c r="AA14" s="143"/>
      <c r="AB14" s="143"/>
      <c r="AC14" s="143"/>
      <c r="AD14" s="143"/>
      <c r="AF14" s="143"/>
      <c r="AG14" s="143"/>
      <c r="AH14" s="143"/>
      <c r="AI14" s="143"/>
      <c r="AJ14" s="143"/>
      <c r="AK14" s="143"/>
      <c r="AL14" s="143"/>
      <c r="AM14" s="143"/>
      <c r="AN14" s="143"/>
      <c r="AO14" s="143"/>
      <c r="AP14" s="143"/>
      <c r="AQ14" s="143"/>
      <c r="AR14" s="143"/>
      <c r="AT14" s="143"/>
      <c r="AU14" s="143"/>
      <c r="AV14" s="143"/>
      <c r="AW14" s="143"/>
      <c r="AX14" s="143"/>
      <c r="AY14" s="143"/>
      <c r="AZ14" s="143"/>
      <c r="BA14" s="143"/>
      <c r="BB14" s="143"/>
      <c r="BC14" s="143"/>
      <c r="BD14" s="143"/>
      <c r="BE14" s="143"/>
      <c r="BF14" s="143"/>
      <c r="BH14" s="143"/>
      <c r="BI14" s="143"/>
      <c r="BJ14" s="143"/>
      <c r="BK14" s="143"/>
      <c r="BL14" s="143"/>
      <c r="BM14" s="143"/>
      <c r="BN14" s="143"/>
      <c r="BO14" s="143"/>
      <c r="BP14" s="143"/>
      <c r="BQ14" s="143"/>
      <c r="BR14" s="143"/>
      <c r="BS14" s="143"/>
      <c r="BT14" s="143"/>
    </row>
    <row r="15" spans="1:72" s="279" customFormat="1">
      <c r="A15" s="1266" t="s">
        <v>497</v>
      </c>
      <c r="B15" s="1266" t="s">
        <v>498</v>
      </c>
      <c r="D15" s="1267">
        <f t="shared" ref="D15:P15" si="11">SUM(D16:D19)</f>
        <v>71870705045</v>
      </c>
      <c r="E15" s="1267">
        <f t="shared" si="11"/>
        <v>41214346440</v>
      </c>
      <c r="F15" s="1267">
        <f t="shared" si="11"/>
        <v>92007933338</v>
      </c>
      <c r="G15" s="1267">
        <f t="shared" si="11"/>
        <v>82555109590</v>
      </c>
      <c r="H15" s="1267">
        <f t="shared" si="11"/>
        <v>99758591728</v>
      </c>
      <c r="I15" s="1267">
        <f t="shared" si="11"/>
        <v>86194886268</v>
      </c>
      <c r="J15" s="1267">
        <f t="shared" si="11"/>
        <v>44047603700</v>
      </c>
      <c r="K15" s="1267">
        <f t="shared" si="11"/>
        <v>52446322437</v>
      </c>
      <c r="L15" s="1267">
        <f t="shared" si="11"/>
        <v>88255608921</v>
      </c>
      <c r="M15" s="1267">
        <f t="shared" si="11"/>
        <v>74161357874</v>
      </c>
      <c r="N15" s="1267">
        <f t="shared" si="11"/>
        <v>74004880700</v>
      </c>
      <c r="O15" s="1267">
        <f t="shared" si="11"/>
        <v>69069258122</v>
      </c>
      <c r="P15" s="1267">
        <f t="shared" si="11"/>
        <v>875586604163</v>
      </c>
      <c r="R15" s="1267">
        <f t="shared" ref="R15:AD15" si="12">SUM(R16:R19)</f>
        <v>73393500000</v>
      </c>
      <c r="S15" s="1267">
        <f t="shared" si="12"/>
        <v>76203500000</v>
      </c>
      <c r="T15" s="1267">
        <f t="shared" si="12"/>
        <v>95762500000</v>
      </c>
      <c r="U15" s="1267">
        <f t="shared" si="12"/>
        <v>96947500000</v>
      </c>
      <c r="V15" s="1267">
        <f t="shared" si="12"/>
        <v>99997500000</v>
      </c>
      <c r="W15" s="1267">
        <f t="shared" si="12"/>
        <v>94617500000</v>
      </c>
      <c r="X15" s="1267">
        <f t="shared" si="12"/>
        <v>97911500000</v>
      </c>
      <c r="Y15" s="1267">
        <f t="shared" si="12"/>
        <v>96961500000</v>
      </c>
      <c r="Z15" s="1267">
        <f t="shared" si="12"/>
        <v>98071500000</v>
      </c>
      <c r="AA15" s="1267">
        <f t="shared" si="12"/>
        <v>100626500000</v>
      </c>
      <c r="AB15" s="1267">
        <f t="shared" si="12"/>
        <v>101576500000</v>
      </c>
      <c r="AC15" s="1267">
        <f t="shared" si="12"/>
        <v>100786500000</v>
      </c>
      <c r="AD15" s="1267">
        <f t="shared" si="12"/>
        <v>1132856000000</v>
      </c>
      <c r="AF15" s="1267">
        <f t="shared" ref="AF15:BF15" si="13">SUM(AF16:AF19)</f>
        <v>29738960416</v>
      </c>
      <c r="AG15" s="1267">
        <f t="shared" si="13"/>
        <v>43287397303</v>
      </c>
      <c r="AH15" s="1267">
        <f t="shared" si="13"/>
        <v>81632858630</v>
      </c>
      <c r="AI15" s="1267">
        <f t="shared" si="13"/>
        <v>131985219020</v>
      </c>
      <c r="AJ15" s="1267">
        <f t="shared" si="13"/>
        <v>100548165341</v>
      </c>
      <c r="AK15" s="1267">
        <f t="shared" si="13"/>
        <v>93038210406</v>
      </c>
      <c r="AL15" s="1267">
        <f t="shared" si="13"/>
        <v>95481966724</v>
      </c>
      <c r="AM15" s="1267">
        <f t="shared" si="13"/>
        <v>119693640757</v>
      </c>
      <c r="AN15" s="1267">
        <f t="shared" si="13"/>
        <v>57345519034</v>
      </c>
      <c r="AO15" s="1267">
        <f t="shared" si="13"/>
        <v>50092857620</v>
      </c>
      <c r="AP15" s="1267">
        <f t="shared" si="13"/>
        <v>49299122621</v>
      </c>
      <c r="AQ15" s="1267">
        <f t="shared" si="13"/>
        <v>54813546518</v>
      </c>
      <c r="AR15" s="1267">
        <f t="shared" si="13"/>
        <v>906957464390</v>
      </c>
      <c r="AT15" s="1267">
        <f t="shared" si="13"/>
        <v>79236500000</v>
      </c>
      <c r="AU15" s="1267">
        <f t="shared" si="13"/>
        <v>65607500000</v>
      </c>
      <c r="AV15" s="1267">
        <f t="shared" si="13"/>
        <v>81136500000</v>
      </c>
      <c r="AW15" s="1267">
        <f t="shared" si="13"/>
        <v>81196500000</v>
      </c>
      <c r="AX15" s="1267">
        <f t="shared" si="13"/>
        <v>81296500000</v>
      </c>
      <c r="AY15" s="1267">
        <f t="shared" si="13"/>
        <v>81196500000</v>
      </c>
      <c r="AZ15" s="1267">
        <f t="shared" si="13"/>
        <v>82626500000</v>
      </c>
      <c r="BA15" s="1267">
        <f t="shared" si="13"/>
        <v>82686500000</v>
      </c>
      <c r="BB15" s="1267">
        <f t="shared" si="13"/>
        <v>82626500000</v>
      </c>
      <c r="BC15" s="1267">
        <f t="shared" si="13"/>
        <v>82306500000</v>
      </c>
      <c r="BD15" s="1267">
        <f t="shared" si="13"/>
        <v>82786500000</v>
      </c>
      <c r="BE15" s="1267">
        <f t="shared" si="13"/>
        <v>82306500000</v>
      </c>
      <c r="BF15" s="1267">
        <f t="shared" si="13"/>
        <v>965009000000</v>
      </c>
      <c r="BH15" s="1267">
        <f t="shared" ref="BH15:BT15" si="14">SUM(BH16:BH19)</f>
        <v>58697550088</v>
      </c>
      <c r="BI15" s="1267">
        <f t="shared" si="14"/>
        <v>35050127534</v>
      </c>
      <c r="BJ15" s="1267">
        <f t="shared" si="14"/>
        <v>59293830159</v>
      </c>
      <c r="BK15" s="1267">
        <f t="shared" si="14"/>
        <v>53671090982</v>
      </c>
      <c r="BL15" s="1267">
        <f t="shared" si="14"/>
        <v>88878201012</v>
      </c>
      <c r="BM15" s="1267">
        <f t="shared" si="14"/>
        <v>0</v>
      </c>
      <c r="BN15" s="1267">
        <f t="shared" si="14"/>
        <v>0</v>
      </c>
      <c r="BO15" s="1267">
        <f t="shared" si="14"/>
        <v>0</v>
      </c>
      <c r="BP15" s="1267">
        <f t="shared" si="14"/>
        <v>0</v>
      </c>
      <c r="BQ15" s="1267">
        <f t="shared" si="14"/>
        <v>0</v>
      </c>
      <c r="BR15" s="1267">
        <f t="shared" si="14"/>
        <v>0</v>
      </c>
      <c r="BS15" s="1267">
        <f t="shared" si="14"/>
        <v>0</v>
      </c>
      <c r="BT15" s="1267">
        <f t="shared" si="14"/>
        <v>295590799775</v>
      </c>
    </row>
    <row r="16" spans="1:72" outlineLevel="1">
      <c r="A16" s="1460" t="s">
        <v>893</v>
      </c>
      <c r="B16" s="1460" t="s">
        <v>498</v>
      </c>
      <c r="D16" s="1461">
        <v>17459602730</v>
      </c>
      <c r="E16" s="1461">
        <v>13307434800</v>
      </c>
      <c r="F16" s="1461">
        <v>18081061500</v>
      </c>
      <c r="G16" s="1461">
        <v>12650582200</v>
      </c>
      <c r="H16" s="1461">
        <v>24340389781</v>
      </c>
      <c r="I16" s="1461">
        <v>25048210073</v>
      </c>
      <c r="J16" s="1461">
        <v>9714381900</v>
      </c>
      <c r="K16" s="1461">
        <v>12284328073</v>
      </c>
      <c r="L16" s="1461">
        <v>19265603049</v>
      </c>
      <c r="M16" s="1461">
        <v>23420907504</v>
      </c>
      <c r="N16" s="1461">
        <v>23194042320</v>
      </c>
      <c r="O16" s="1461">
        <v>21164313386</v>
      </c>
      <c r="P16" s="1461">
        <f>SUM(D16:O16)</f>
        <v>219930857316</v>
      </c>
      <c r="R16" s="1461">
        <v>31620000000</v>
      </c>
      <c r="S16" s="1461">
        <v>31620000000</v>
      </c>
      <c r="T16" s="1461">
        <v>36155000000</v>
      </c>
      <c r="U16" s="1461">
        <v>37190000000</v>
      </c>
      <c r="V16" s="1461">
        <v>37190000000</v>
      </c>
      <c r="W16" s="1461">
        <v>35120000000</v>
      </c>
      <c r="X16" s="1461">
        <v>35120000000</v>
      </c>
      <c r="Y16" s="1461">
        <v>35120000000</v>
      </c>
      <c r="Z16" s="1461">
        <v>35120000000</v>
      </c>
      <c r="AA16" s="1461">
        <v>36155000000</v>
      </c>
      <c r="AB16" s="1461">
        <v>36155000000</v>
      </c>
      <c r="AC16" s="1461">
        <v>36155000000</v>
      </c>
      <c r="AD16" s="1461">
        <f t="shared" ref="AD16:AD19" si="15">SUM(R16:AC16)</f>
        <v>422720000000</v>
      </c>
      <c r="AF16" s="1461">
        <v>12247618196</v>
      </c>
      <c r="AG16" s="1461">
        <v>21469070653</v>
      </c>
      <c r="AH16" s="1461">
        <v>34023811294</v>
      </c>
      <c r="AI16" s="1461">
        <v>46430722320</v>
      </c>
      <c r="AJ16" s="1461">
        <v>35645176771</v>
      </c>
      <c r="AK16" s="1461">
        <v>44304734906</v>
      </c>
      <c r="AL16" s="1461">
        <v>52137838278</v>
      </c>
      <c r="AM16" s="1461">
        <v>54902261317</v>
      </c>
      <c r="AN16" s="1461">
        <v>34935781030</v>
      </c>
      <c r="AO16" s="1461">
        <v>27040727900</v>
      </c>
      <c r="AP16" s="1461">
        <v>18701581900</v>
      </c>
      <c r="AQ16" s="1461">
        <v>23271323120</v>
      </c>
      <c r="AR16" s="1461">
        <f t="shared" ref="AR16:AR19" si="16">SUM(AF16:AQ16)</f>
        <v>405110647685</v>
      </c>
      <c r="AT16" s="1461">
        <v>35010000000</v>
      </c>
      <c r="AU16" s="1461">
        <v>27921000000</v>
      </c>
      <c r="AV16" s="1461">
        <v>35010000000</v>
      </c>
      <c r="AW16" s="1461">
        <v>35010000000</v>
      </c>
      <c r="AX16" s="1461">
        <v>35010000000</v>
      </c>
      <c r="AY16" s="1461">
        <v>35010000000</v>
      </c>
      <c r="AZ16" s="1461">
        <v>35010000000</v>
      </c>
      <c r="BA16" s="1461">
        <v>35010000000</v>
      </c>
      <c r="BB16" s="1461">
        <v>35010000000</v>
      </c>
      <c r="BC16" s="1461">
        <v>35010000000</v>
      </c>
      <c r="BD16" s="1461">
        <v>35010000000</v>
      </c>
      <c r="BE16" s="1461">
        <v>35010000000</v>
      </c>
      <c r="BF16" s="1461">
        <f t="shared" ref="BF16:BF19" si="17">SUM(AT16:BE16)</f>
        <v>413031000000</v>
      </c>
      <c r="BH16" s="1461">
        <v>24372430550</v>
      </c>
      <c r="BI16" s="1461">
        <v>16869494212</v>
      </c>
      <c r="BJ16" s="1461">
        <v>30579490685</v>
      </c>
      <c r="BK16" s="1461">
        <v>27020267024</v>
      </c>
      <c r="BL16" s="1461">
        <v>32990169100</v>
      </c>
      <c r="BM16" s="1461"/>
      <c r="BN16" s="1461"/>
      <c r="BO16" s="1461"/>
      <c r="BP16" s="1461"/>
      <c r="BQ16" s="1461"/>
      <c r="BR16" s="1461"/>
      <c r="BS16" s="1461"/>
      <c r="BT16" s="1461">
        <f t="shared" ref="BT16:BT19" si="18">SUM(BH16:BS16)</f>
        <v>131831851571</v>
      </c>
    </row>
    <row r="17" spans="1:72" outlineLevel="1">
      <c r="A17" s="1044" t="s">
        <v>892</v>
      </c>
      <c r="B17" s="1044" t="s">
        <v>498</v>
      </c>
      <c r="D17" s="1269">
        <v>43406566750</v>
      </c>
      <c r="E17" s="1269">
        <v>24285549450</v>
      </c>
      <c r="F17" s="1269">
        <v>63716122530</v>
      </c>
      <c r="G17" s="1269">
        <v>61318920650</v>
      </c>
      <c r="H17" s="1269">
        <v>63364330450</v>
      </c>
      <c r="I17" s="1269">
        <v>52862957460</v>
      </c>
      <c r="J17" s="1269">
        <v>29556228700</v>
      </c>
      <c r="K17" s="1269">
        <v>29070952100</v>
      </c>
      <c r="L17" s="1269">
        <v>58443797050</v>
      </c>
      <c r="M17" s="1269">
        <v>42218151250</v>
      </c>
      <c r="N17" s="1269">
        <v>40032992800</v>
      </c>
      <c r="O17" s="1269">
        <v>36733932200</v>
      </c>
      <c r="P17" s="1269">
        <f>SUM(D17:O17)</f>
        <v>545010501390</v>
      </c>
      <c r="R17" s="1269">
        <v>35667500000</v>
      </c>
      <c r="S17" s="1269">
        <v>39427500000</v>
      </c>
      <c r="T17" s="1269">
        <v>50077500000</v>
      </c>
      <c r="U17" s="1269">
        <v>51327500000</v>
      </c>
      <c r="V17" s="1269">
        <v>51327500000</v>
      </c>
      <c r="W17" s="1269">
        <v>48827500000</v>
      </c>
      <c r="X17" s="1269">
        <v>48827500000</v>
      </c>
      <c r="Y17" s="1269">
        <v>48827500000</v>
      </c>
      <c r="Z17" s="1269">
        <v>48827500000</v>
      </c>
      <c r="AA17" s="1269">
        <v>50077500000</v>
      </c>
      <c r="AB17" s="1269">
        <v>50077500000</v>
      </c>
      <c r="AC17" s="1269">
        <v>50077500000</v>
      </c>
      <c r="AD17" s="1269">
        <f t="shared" si="15"/>
        <v>573370000000</v>
      </c>
      <c r="AF17" s="1269">
        <v>11471760100</v>
      </c>
      <c r="AG17" s="1269">
        <v>15172044400</v>
      </c>
      <c r="AH17" s="1269">
        <v>42473273186</v>
      </c>
      <c r="AI17" s="1269">
        <v>80466357500</v>
      </c>
      <c r="AJ17" s="1269">
        <v>59778060400</v>
      </c>
      <c r="AK17" s="1269">
        <v>46054200400</v>
      </c>
      <c r="AL17" s="1269">
        <v>40626538252</v>
      </c>
      <c r="AM17" s="1269">
        <v>61907658960</v>
      </c>
      <c r="AN17" s="1269">
        <v>20668975680</v>
      </c>
      <c r="AO17" s="1269">
        <v>22240677800</v>
      </c>
      <c r="AP17" s="1269">
        <v>29609749655</v>
      </c>
      <c r="AQ17" s="1269">
        <v>30941619398</v>
      </c>
      <c r="AR17" s="1269">
        <f t="shared" si="16"/>
        <v>461410915731</v>
      </c>
      <c r="AT17" s="1269">
        <v>39600000000</v>
      </c>
      <c r="AU17" s="1269">
        <v>33000000000</v>
      </c>
      <c r="AV17" s="1269">
        <v>39600000000</v>
      </c>
      <c r="AW17" s="1269">
        <v>39600000000</v>
      </c>
      <c r="AX17" s="1269">
        <v>39600000000</v>
      </c>
      <c r="AY17" s="1269">
        <v>39600000000</v>
      </c>
      <c r="AZ17" s="1269">
        <v>39600000000</v>
      </c>
      <c r="BA17" s="1269">
        <v>39600000000</v>
      </c>
      <c r="BB17" s="1269">
        <v>39600000000</v>
      </c>
      <c r="BC17" s="1269">
        <v>39600000000</v>
      </c>
      <c r="BD17" s="1269">
        <v>39600000000</v>
      </c>
      <c r="BE17" s="1269">
        <v>39600000000</v>
      </c>
      <c r="BF17" s="1269">
        <f t="shared" si="17"/>
        <v>468600000000</v>
      </c>
      <c r="BH17" s="1269">
        <v>33238973880</v>
      </c>
      <c r="BI17" s="1269">
        <v>17886543800</v>
      </c>
      <c r="BJ17" s="1269">
        <v>25740599300</v>
      </c>
      <c r="BK17" s="1269">
        <v>21030255980</v>
      </c>
      <c r="BL17" s="1269">
        <v>49885427820</v>
      </c>
      <c r="BM17" s="1269"/>
      <c r="BN17" s="1269"/>
      <c r="BO17" s="1269"/>
      <c r="BP17" s="1269"/>
      <c r="BQ17" s="1269"/>
      <c r="BR17" s="1269"/>
      <c r="BS17" s="1269"/>
      <c r="BT17" s="1269">
        <f t="shared" si="18"/>
        <v>147781800780</v>
      </c>
    </row>
    <row r="18" spans="1:72" outlineLevel="1">
      <c r="A18" s="1044" t="s">
        <v>488</v>
      </c>
      <c r="B18" s="1044" t="s">
        <v>498</v>
      </c>
      <c r="D18" s="1269">
        <v>9625146650</v>
      </c>
      <c r="E18" s="1269">
        <v>3159232550</v>
      </c>
      <c r="F18" s="1269">
        <v>6446851400</v>
      </c>
      <c r="G18" s="1269">
        <v>5668508340</v>
      </c>
      <c r="H18" s="1269">
        <v>9446327925</v>
      </c>
      <c r="I18" s="1269">
        <v>6369208775</v>
      </c>
      <c r="J18" s="1269">
        <v>4280208100</v>
      </c>
      <c r="K18" s="1269">
        <v>9809437264</v>
      </c>
      <c r="L18" s="1269">
        <v>10461578822</v>
      </c>
      <c r="M18" s="1269">
        <v>8225717120</v>
      </c>
      <c r="N18" s="1269">
        <v>10595044780</v>
      </c>
      <c r="O18" s="1269">
        <v>10841082936</v>
      </c>
      <c r="P18" s="1269">
        <f>SUM(D18:O18)</f>
        <v>94928344662</v>
      </c>
      <c r="R18" s="1269">
        <v>5156000000</v>
      </c>
      <c r="S18" s="1269">
        <v>5156000000</v>
      </c>
      <c r="T18" s="1269">
        <v>7860000000</v>
      </c>
      <c r="U18" s="1269">
        <v>7870000000</v>
      </c>
      <c r="V18" s="1269">
        <v>9970000000</v>
      </c>
      <c r="W18" s="1269">
        <v>9950000000</v>
      </c>
      <c r="X18" s="1269">
        <v>12454000000</v>
      </c>
      <c r="Y18" s="1269">
        <v>12454000000</v>
      </c>
      <c r="Z18" s="1269">
        <v>12454000000</v>
      </c>
      <c r="AA18" s="1269">
        <v>13514000000</v>
      </c>
      <c r="AB18" s="1269">
        <v>13514000000</v>
      </c>
      <c r="AC18" s="1269">
        <v>13514000000</v>
      </c>
      <c r="AD18" s="1269">
        <f t="shared" si="15"/>
        <v>123866000000</v>
      </c>
      <c r="AF18" s="1269">
        <v>6019582120</v>
      </c>
      <c r="AG18" s="1269">
        <v>6400380250</v>
      </c>
      <c r="AH18" s="1269">
        <v>4313188150</v>
      </c>
      <c r="AI18" s="1269">
        <v>4594842200</v>
      </c>
      <c r="AJ18" s="1269">
        <v>4517650170</v>
      </c>
      <c r="AK18" s="1269">
        <v>2658117100</v>
      </c>
      <c r="AL18" s="1269">
        <v>2541878194</v>
      </c>
      <c r="AM18" s="1269">
        <v>2506702480</v>
      </c>
      <c r="AN18" s="1269">
        <v>1740762324</v>
      </c>
      <c r="AO18" s="1269">
        <v>811451920</v>
      </c>
      <c r="AP18" s="1269">
        <v>987791066</v>
      </c>
      <c r="AQ18" s="1269">
        <v>600604000</v>
      </c>
      <c r="AR18" s="1269">
        <f t="shared" si="16"/>
        <v>37692949974</v>
      </c>
      <c r="AT18" s="1269">
        <v>4116500000</v>
      </c>
      <c r="AU18" s="1269">
        <v>4116500000</v>
      </c>
      <c r="AV18" s="1269">
        <v>6016500000</v>
      </c>
      <c r="AW18" s="1269">
        <v>6016500000</v>
      </c>
      <c r="AX18" s="1269">
        <v>6016500000</v>
      </c>
      <c r="AY18" s="1269">
        <v>6016500000</v>
      </c>
      <c r="AZ18" s="1269">
        <v>7506500000</v>
      </c>
      <c r="BA18" s="1269">
        <v>7506500000</v>
      </c>
      <c r="BB18" s="1269">
        <v>7506500000</v>
      </c>
      <c r="BC18" s="1269">
        <v>7506500000</v>
      </c>
      <c r="BD18" s="1269">
        <v>7506500000</v>
      </c>
      <c r="BE18" s="1269">
        <v>7506500000</v>
      </c>
      <c r="BF18" s="1269">
        <f t="shared" si="17"/>
        <v>77338000000</v>
      </c>
      <c r="BH18" s="1269">
        <v>426441930</v>
      </c>
      <c r="BI18" s="1269">
        <v>294089522</v>
      </c>
      <c r="BJ18" s="1269">
        <v>2846609810</v>
      </c>
      <c r="BK18" s="1269">
        <v>5620567978</v>
      </c>
      <c r="BL18" s="1269">
        <v>6002604092</v>
      </c>
      <c r="BM18" s="1269"/>
      <c r="BN18" s="1269"/>
      <c r="BO18" s="1269"/>
      <c r="BP18" s="1269"/>
      <c r="BQ18" s="1269"/>
      <c r="BR18" s="1269"/>
      <c r="BS18" s="1269"/>
      <c r="BT18" s="1269">
        <f t="shared" si="18"/>
        <v>15190313332</v>
      </c>
    </row>
    <row r="19" spans="1:72" outlineLevel="1">
      <c r="A19" s="1044" t="s">
        <v>489</v>
      </c>
      <c r="B19" s="1044" t="s">
        <v>498</v>
      </c>
      <c r="D19" s="1269">
        <v>1379388915</v>
      </c>
      <c r="E19" s="1269">
        <v>462129640</v>
      </c>
      <c r="F19" s="1269">
        <v>3763897908</v>
      </c>
      <c r="G19" s="1269">
        <v>2917098400</v>
      </c>
      <c r="H19" s="1269">
        <v>2607543572</v>
      </c>
      <c r="I19" s="1269">
        <v>1914509960</v>
      </c>
      <c r="J19" s="1269">
        <v>496785000</v>
      </c>
      <c r="K19" s="1269">
        <v>1281605000</v>
      </c>
      <c r="L19" s="1269">
        <v>84630000</v>
      </c>
      <c r="M19" s="1269">
        <v>296582000</v>
      </c>
      <c r="N19" s="1269">
        <v>182800800</v>
      </c>
      <c r="O19" s="1269">
        <v>329929600</v>
      </c>
      <c r="P19" s="1269">
        <f>SUM(D19:O19)</f>
        <v>15716900795</v>
      </c>
      <c r="R19" s="1269">
        <v>950000000</v>
      </c>
      <c r="S19" s="1269">
        <v>0</v>
      </c>
      <c r="T19" s="1269">
        <v>1670000000</v>
      </c>
      <c r="U19" s="1269">
        <v>560000000</v>
      </c>
      <c r="V19" s="1269">
        <v>1510000000</v>
      </c>
      <c r="W19" s="1269">
        <v>720000000</v>
      </c>
      <c r="X19" s="1269">
        <v>1510000000</v>
      </c>
      <c r="Y19" s="1269">
        <v>560000000</v>
      </c>
      <c r="Z19" s="1269">
        <v>1670000000</v>
      </c>
      <c r="AA19" s="1269">
        <v>880000000</v>
      </c>
      <c r="AB19" s="1269">
        <v>1830000000</v>
      </c>
      <c r="AC19" s="1269">
        <v>1040000000</v>
      </c>
      <c r="AD19" s="1269">
        <f t="shared" si="15"/>
        <v>12900000000</v>
      </c>
      <c r="AF19" s="1269">
        <v>0</v>
      </c>
      <c r="AG19" s="1269">
        <v>245902000</v>
      </c>
      <c r="AH19" s="1269">
        <v>822586000</v>
      </c>
      <c r="AI19" s="1269">
        <v>493297000</v>
      </c>
      <c r="AJ19" s="1269">
        <v>607278000</v>
      </c>
      <c r="AK19" s="1269">
        <v>21158000</v>
      </c>
      <c r="AL19" s="1269">
        <v>175712000</v>
      </c>
      <c r="AM19" s="1269">
        <v>377018000</v>
      </c>
      <c r="AN19" s="1269"/>
      <c r="AO19" s="1269"/>
      <c r="AP19" s="1269"/>
      <c r="AQ19" s="1269"/>
      <c r="AR19" s="1269">
        <f t="shared" si="16"/>
        <v>2742951000</v>
      </c>
      <c r="AT19" s="1269">
        <v>510000000</v>
      </c>
      <c r="AU19" s="1269">
        <v>570000000</v>
      </c>
      <c r="AV19" s="1269">
        <v>510000000</v>
      </c>
      <c r="AW19" s="1269">
        <v>570000000</v>
      </c>
      <c r="AX19" s="1269">
        <v>670000000</v>
      </c>
      <c r="AY19" s="1269">
        <v>570000000</v>
      </c>
      <c r="AZ19" s="1269">
        <v>510000000</v>
      </c>
      <c r="BA19" s="1269">
        <v>570000000</v>
      </c>
      <c r="BB19" s="1269">
        <v>510000000</v>
      </c>
      <c r="BC19" s="1269">
        <v>190000000</v>
      </c>
      <c r="BD19" s="1269">
        <v>670000000</v>
      </c>
      <c r="BE19" s="1269">
        <v>190000000</v>
      </c>
      <c r="BF19" s="1269">
        <f t="shared" si="17"/>
        <v>6040000000</v>
      </c>
      <c r="BH19" s="1269">
        <v>659703728</v>
      </c>
      <c r="BI19" s="1269">
        <v>0</v>
      </c>
      <c r="BJ19" s="1269">
        <v>127130364</v>
      </c>
      <c r="BK19" s="1269">
        <v>0</v>
      </c>
      <c r="BL19" s="1269"/>
      <c r="BM19" s="1269"/>
      <c r="BN19" s="1269"/>
      <c r="BO19" s="1269"/>
      <c r="BP19" s="1269"/>
      <c r="BQ19" s="1269"/>
      <c r="BR19" s="1269"/>
      <c r="BS19" s="1269"/>
      <c r="BT19" s="1269">
        <f t="shared" si="18"/>
        <v>786834092</v>
      </c>
    </row>
    <row r="20" spans="1:72">
      <c r="D20" s="143"/>
      <c r="E20" s="143"/>
      <c r="F20" s="143"/>
      <c r="G20" s="143"/>
      <c r="H20" s="143"/>
      <c r="I20" s="143"/>
      <c r="J20" s="143"/>
      <c r="K20" s="143"/>
      <c r="L20" s="143"/>
      <c r="M20" s="143"/>
      <c r="N20" s="143"/>
      <c r="O20" s="143"/>
      <c r="P20" s="143"/>
      <c r="R20" s="143"/>
      <c r="S20" s="143"/>
      <c r="T20" s="143"/>
      <c r="U20" s="143"/>
      <c r="V20" s="143"/>
      <c r="W20" s="143"/>
      <c r="X20" s="143"/>
      <c r="Y20" s="143"/>
      <c r="Z20" s="143"/>
      <c r="AA20" s="143"/>
      <c r="AB20" s="143"/>
      <c r="AC20" s="143"/>
      <c r="AD20" s="143"/>
      <c r="AF20" s="143"/>
      <c r="AG20" s="143"/>
      <c r="AH20" s="143"/>
      <c r="AI20" s="143"/>
      <c r="AJ20" s="143"/>
      <c r="AK20" s="143"/>
      <c r="AL20" s="143"/>
      <c r="AM20" s="143"/>
      <c r="AN20" s="143"/>
      <c r="AO20" s="143"/>
      <c r="AP20" s="143"/>
      <c r="AQ20" s="143"/>
      <c r="AR20" s="143"/>
      <c r="AT20" s="299"/>
      <c r="AU20" s="299"/>
      <c r="AV20" s="299"/>
      <c r="AW20" s="299"/>
      <c r="AX20" s="299"/>
      <c r="AY20" s="299"/>
      <c r="AZ20" s="299"/>
      <c r="BA20" s="299"/>
      <c r="BB20" s="299"/>
      <c r="BC20" s="299"/>
      <c r="BD20" s="299"/>
      <c r="BE20" s="299"/>
      <c r="BF20" s="299"/>
      <c r="BH20" s="143"/>
      <c r="BI20" s="143"/>
      <c r="BJ20" s="143"/>
      <c r="BK20" s="143"/>
      <c r="BL20" s="143"/>
      <c r="BM20" s="143"/>
      <c r="BN20" s="143"/>
      <c r="BO20" s="143"/>
      <c r="BP20" s="143"/>
      <c r="BQ20" s="143"/>
      <c r="BR20" s="143"/>
      <c r="BS20" s="143"/>
      <c r="BT20" s="143"/>
    </row>
    <row r="21" spans="1:72" s="279" customFormat="1">
      <c r="A21" s="1266" t="s">
        <v>499</v>
      </c>
      <c r="B21" s="1266" t="s">
        <v>500</v>
      </c>
      <c r="D21" s="1267">
        <f>IFERROR(D15/D9,0)</f>
        <v>17509.827198484756</v>
      </c>
      <c r="E21" s="1267">
        <f t="shared" ref="E21:P21" si="19">IFERROR(E15/E9,0)</f>
        <v>17297.684119192407</v>
      </c>
      <c r="F21" s="1267">
        <f t="shared" si="19"/>
        <v>18245.786770167306</v>
      </c>
      <c r="G21" s="1267">
        <f t="shared" si="19"/>
        <v>18814.283170860155</v>
      </c>
      <c r="H21" s="1267">
        <f t="shared" si="19"/>
        <v>18712.886627463889</v>
      </c>
      <c r="I21" s="1267">
        <f t="shared" si="19"/>
        <v>18585.812745478277</v>
      </c>
      <c r="J21" s="1267">
        <f t="shared" si="19"/>
        <v>17299.673182165738</v>
      </c>
      <c r="K21" s="1267">
        <f t="shared" si="19"/>
        <v>17643.620711719221</v>
      </c>
      <c r="L21" s="1267">
        <f t="shared" si="19"/>
        <v>17905.595825583663</v>
      </c>
      <c r="M21" s="1267">
        <f t="shared" si="19"/>
        <v>17318.903048332679</v>
      </c>
      <c r="N21" s="1267">
        <f t="shared" si="19"/>
        <v>17683.059663181532</v>
      </c>
      <c r="O21" s="1267">
        <f t="shared" si="19"/>
        <v>17554.544979731007</v>
      </c>
      <c r="P21" s="1267">
        <f t="shared" si="19"/>
        <v>17965.956950396252</v>
      </c>
      <c r="R21" s="1267">
        <f>IFERROR(R15/R9,0)</f>
        <v>17727.898550724636</v>
      </c>
      <c r="S21" s="1267">
        <f t="shared" ref="S21:AD21" si="20">IFERROR(S15/S9,0)</f>
        <v>17763.053613053613</v>
      </c>
      <c r="T21" s="1267">
        <f t="shared" si="20"/>
        <v>18362.895493767977</v>
      </c>
      <c r="U21" s="1267">
        <f t="shared" si="20"/>
        <v>18806.498545101844</v>
      </c>
      <c r="V21" s="1267">
        <f t="shared" si="20"/>
        <v>18849.67012252592</v>
      </c>
      <c r="W21" s="1267">
        <f t="shared" si="20"/>
        <v>17971.035137701805</v>
      </c>
      <c r="X21" s="1267">
        <f t="shared" si="20"/>
        <v>18048.202764976959</v>
      </c>
      <c r="Y21" s="1267">
        <f t="shared" si="20"/>
        <v>18039.348837209302</v>
      </c>
      <c r="Z21" s="1267">
        <f t="shared" si="20"/>
        <v>18044.434222631095</v>
      </c>
      <c r="AA21" s="1267">
        <f t="shared" si="20"/>
        <v>18480.532598714417</v>
      </c>
      <c r="AB21" s="1267">
        <f t="shared" si="20"/>
        <v>18485.259326660602</v>
      </c>
      <c r="AC21" s="1267">
        <f t="shared" si="20"/>
        <v>18475.985334555455</v>
      </c>
      <c r="AD21" s="1267">
        <f t="shared" si="20"/>
        <v>18271.870967741936</v>
      </c>
      <c r="AF21" s="1267">
        <f>IFERROR(AF15/AF9,0)</f>
        <v>17236.250025936421</v>
      </c>
      <c r="AG21" s="1267">
        <f t="shared" ref="AG21:AQ21" si="21">IFERROR(AG15/AG9,0)</f>
        <v>17793.948088681063</v>
      </c>
      <c r="AH21" s="1267">
        <f t="shared" si="21"/>
        <v>18545.191262856901</v>
      </c>
      <c r="AI21" s="1267">
        <f t="shared" si="21"/>
        <v>19257.524556093529</v>
      </c>
      <c r="AJ21" s="1267">
        <f t="shared" si="21"/>
        <v>18981.731018394585</v>
      </c>
      <c r="AK21" s="1267">
        <f t="shared" si="21"/>
        <v>19263.091898765786</v>
      </c>
      <c r="AL21" s="1267">
        <f t="shared" si="21"/>
        <v>19285.943154209283</v>
      </c>
      <c r="AM21" s="1267">
        <f t="shared" si="21"/>
        <v>18796.624938821351</v>
      </c>
      <c r="AN21" s="1267">
        <f t="shared" si="21"/>
        <v>15893.087318162225</v>
      </c>
      <c r="AO21" s="1267">
        <f t="shared" si="21"/>
        <v>14989.069531167694</v>
      </c>
      <c r="AP21" s="1267">
        <f t="shared" si="21"/>
        <v>15048.376177138205</v>
      </c>
      <c r="AQ21" s="1267">
        <f t="shared" si="21"/>
        <v>15042.462917829447</v>
      </c>
      <c r="AR21" s="1267">
        <f t="shared" ref="AR21" si="22">IFERROR(AR15/AR9,0)</f>
        <v>17878.343657703528</v>
      </c>
      <c r="AT21" s="1267">
        <f>IFERROR(AT15/AT9,0)</f>
        <v>15475.87890625</v>
      </c>
      <c r="AU21" s="1267">
        <f t="shared" ref="AU21:BF21" si="23">IFERROR(AU15/AU9,0)</f>
        <v>15546.800947867299</v>
      </c>
      <c r="AV21" s="1267">
        <f t="shared" si="23"/>
        <v>15543.3908045977</v>
      </c>
      <c r="AW21" s="1267">
        <f t="shared" si="23"/>
        <v>15554.885057471265</v>
      </c>
      <c r="AX21" s="1267">
        <f t="shared" si="23"/>
        <v>15544.263862332697</v>
      </c>
      <c r="AY21" s="1267">
        <f t="shared" si="23"/>
        <v>15554.885057471265</v>
      </c>
      <c r="AZ21" s="1267">
        <f t="shared" si="23"/>
        <v>15589.905660377359</v>
      </c>
      <c r="BA21" s="1267">
        <f t="shared" si="23"/>
        <v>15601.226415094339</v>
      </c>
      <c r="BB21" s="1267">
        <f t="shared" si="23"/>
        <v>15589.905660377359</v>
      </c>
      <c r="BC21" s="1267">
        <f t="shared" si="23"/>
        <v>15588.352272727272</v>
      </c>
      <c r="BD21" s="1267">
        <f t="shared" si="23"/>
        <v>15590.677966101695</v>
      </c>
      <c r="BE21" s="1267">
        <f t="shared" si="23"/>
        <v>15588.352272727272</v>
      </c>
      <c r="BF21" s="1267">
        <f t="shared" si="23"/>
        <v>15564.661290322581</v>
      </c>
      <c r="BH21" s="1267">
        <f>IFERROR(BH15/BH9,0)</f>
        <v>15278.012634376641</v>
      </c>
      <c r="BI21" s="1267">
        <f t="shared" ref="BI21:BT22" si="24">IFERROR(BI15/BI9,0)</f>
        <v>15144.252753228096</v>
      </c>
      <c r="BJ21" s="1267">
        <f t="shared" si="24"/>
        <v>15171.281469215524</v>
      </c>
      <c r="BK21" s="1267">
        <f t="shared" si="24"/>
        <v>15922.368282119429</v>
      </c>
      <c r="BL21" s="1267">
        <f t="shared" si="24"/>
        <v>17062.883298612378</v>
      </c>
      <c r="BM21" s="1267">
        <f t="shared" si="24"/>
        <v>0</v>
      </c>
      <c r="BN21" s="1267">
        <f t="shared" si="24"/>
        <v>0</v>
      </c>
      <c r="BO21" s="1267">
        <f t="shared" si="24"/>
        <v>0</v>
      </c>
      <c r="BP21" s="1267">
        <f t="shared" si="24"/>
        <v>0</v>
      </c>
      <c r="BQ21" s="1267">
        <f t="shared" si="24"/>
        <v>0</v>
      </c>
      <c r="BR21" s="1267">
        <f t="shared" si="24"/>
        <v>0</v>
      </c>
      <c r="BS21" s="1267">
        <f t="shared" si="24"/>
        <v>0</v>
      </c>
      <c r="BT21" s="1267">
        <f t="shared" si="24"/>
        <v>15854.188983187038</v>
      </c>
    </row>
    <row r="22" spans="1:72" outlineLevel="1">
      <c r="A22" s="1460" t="s">
        <v>893</v>
      </c>
      <c r="B22" s="1460" t="s">
        <v>500</v>
      </c>
      <c r="D22" s="1461">
        <f>IFERROR(D16/D10,0)</f>
        <v>15446.595048866142</v>
      </c>
      <c r="E22" s="1461">
        <f t="shared" ref="E22:P22" si="25">IFERROR(E16/E10,0)</f>
        <v>14879.346719291192</v>
      </c>
      <c r="F22" s="1461">
        <f t="shared" si="25"/>
        <v>15680.28776425891</v>
      </c>
      <c r="G22" s="1461">
        <f t="shared" si="25"/>
        <v>16513.814782476205</v>
      </c>
      <c r="H22" s="1461">
        <f t="shared" si="25"/>
        <v>16508.167139762088</v>
      </c>
      <c r="I22" s="1461">
        <f t="shared" si="25"/>
        <v>16643.615598349705</v>
      </c>
      <c r="J22" s="1461">
        <f t="shared" si="25"/>
        <v>14917.608560263818</v>
      </c>
      <c r="K22" s="1461">
        <f t="shared" si="25"/>
        <v>15236.368345367642</v>
      </c>
      <c r="L22" s="1461">
        <f t="shared" si="25"/>
        <v>16029.341778866605</v>
      </c>
      <c r="M22" s="1461">
        <f t="shared" si="25"/>
        <v>15846.568068115681</v>
      </c>
      <c r="N22" s="1461">
        <f t="shared" si="25"/>
        <v>16002.643708639098</v>
      </c>
      <c r="O22" s="1461">
        <f t="shared" si="25"/>
        <v>15945.203876649297</v>
      </c>
      <c r="P22" s="1461">
        <f t="shared" si="25"/>
        <v>15894.062707237916</v>
      </c>
      <c r="R22" s="1461">
        <f t="shared" ref="R22:AD23" si="26">IFERROR(R16/R10,0)</f>
        <v>16468.75</v>
      </c>
      <c r="S22" s="1461">
        <f t="shared" si="26"/>
        <v>16468.75</v>
      </c>
      <c r="T22" s="1461">
        <f t="shared" si="26"/>
        <v>17054.245283018867</v>
      </c>
      <c r="U22" s="1461">
        <f t="shared" si="26"/>
        <v>17542.452830188678</v>
      </c>
      <c r="V22" s="1461">
        <f t="shared" si="26"/>
        <v>17542.452830188678</v>
      </c>
      <c r="W22" s="1461">
        <f t="shared" si="26"/>
        <v>16566.037735849055</v>
      </c>
      <c r="X22" s="1461">
        <f t="shared" si="26"/>
        <v>16566.037735849055</v>
      </c>
      <c r="Y22" s="1461">
        <f t="shared" si="26"/>
        <v>16566.037735849055</v>
      </c>
      <c r="Z22" s="1461">
        <f t="shared" si="26"/>
        <v>16566.037735849055</v>
      </c>
      <c r="AA22" s="1461">
        <f t="shared" si="26"/>
        <v>17054.245283018867</v>
      </c>
      <c r="AB22" s="1461">
        <f t="shared" si="26"/>
        <v>17054.245283018867</v>
      </c>
      <c r="AC22" s="1461">
        <f t="shared" si="26"/>
        <v>17054.245283018867</v>
      </c>
      <c r="AD22" s="1461">
        <f t="shared" si="26"/>
        <v>16881.78913738019</v>
      </c>
      <c r="AF22" s="1461">
        <f t="shared" ref="AF22:AR25" si="27">IFERROR(AF16/AF10,0)</f>
        <v>16362.708476061713</v>
      </c>
      <c r="AG22" s="1461">
        <f t="shared" si="27"/>
        <v>17072.502456733688</v>
      </c>
      <c r="AH22" s="1461">
        <f t="shared" si="27"/>
        <v>17615.461746661207</v>
      </c>
      <c r="AI22" s="1461">
        <f t="shared" si="27"/>
        <v>18171.925074753042</v>
      </c>
      <c r="AJ22" s="1461">
        <f t="shared" si="27"/>
        <v>18274.395400176258</v>
      </c>
      <c r="AK22" s="1461">
        <f t="shared" si="27"/>
        <v>18578.691179251789</v>
      </c>
      <c r="AL22" s="1461">
        <f t="shared" si="27"/>
        <v>18788.575123491893</v>
      </c>
      <c r="AM22" s="1461">
        <f t="shared" si="27"/>
        <v>18306.945181193612</v>
      </c>
      <c r="AN22" s="1461">
        <f t="shared" si="27"/>
        <v>15316.367314919815</v>
      </c>
      <c r="AO22" s="1461">
        <f t="shared" si="27"/>
        <v>14241.043941117143</v>
      </c>
      <c r="AP22" s="1461">
        <f t="shared" si="27"/>
        <v>14065.579753559998</v>
      </c>
      <c r="AQ22" s="1461">
        <f t="shared" si="27"/>
        <v>14022.036978233034</v>
      </c>
      <c r="AR22" s="1461">
        <f t="shared" ref="AR22" si="28">IFERROR(AR16/AR10,0)</f>
        <v>17042.391145292375</v>
      </c>
      <c r="AT22" s="1461">
        <f t="shared" ref="AT22:BF22" si="29">IFERROR(AT16/AT10,0)</f>
        <v>14289.795918367347</v>
      </c>
      <c r="AU22" s="1461">
        <f t="shared" si="29"/>
        <v>14318.461538461539</v>
      </c>
      <c r="AV22" s="1461">
        <f t="shared" si="29"/>
        <v>14289.795918367347</v>
      </c>
      <c r="AW22" s="1461">
        <f t="shared" si="29"/>
        <v>14289.795918367347</v>
      </c>
      <c r="AX22" s="1461">
        <f t="shared" si="29"/>
        <v>14289.795918367347</v>
      </c>
      <c r="AY22" s="1461">
        <f t="shared" si="29"/>
        <v>14289.795918367347</v>
      </c>
      <c r="AZ22" s="1461">
        <f t="shared" si="29"/>
        <v>14289.795918367347</v>
      </c>
      <c r="BA22" s="1461">
        <f t="shared" si="29"/>
        <v>14289.795918367347</v>
      </c>
      <c r="BB22" s="1461">
        <f t="shared" si="29"/>
        <v>14289.795918367347</v>
      </c>
      <c r="BC22" s="1461">
        <f t="shared" si="29"/>
        <v>14289.795918367347</v>
      </c>
      <c r="BD22" s="1461">
        <f t="shared" si="29"/>
        <v>14289.795918367347</v>
      </c>
      <c r="BE22" s="1461">
        <f t="shared" si="29"/>
        <v>14289.795918367347</v>
      </c>
      <c r="BF22" s="1461">
        <f t="shared" si="29"/>
        <v>14291.730103806229</v>
      </c>
      <c r="BH22" s="1461">
        <f t="shared" ref="BH22:BS22" si="30">IFERROR(BH16/BH10,0)</f>
        <v>14396.567844901638</v>
      </c>
      <c r="BI22" s="1461">
        <f t="shared" si="30"/>
        <v>14356.014972776878</v>
      </c>
      <c r="BJ22" s="1461">
        <f t="shared" si="30"/>
        <v>14276.538545344582</v>
      </c>
      <c r="BK22" s="1461">
        <f t="shared" si="30"/>
        <v>14568.480912383779</v>
      </c>
      <c r="BL22" s="1461">
        <f t="shared" si="30"/>
        <v>15418.064878734902</v>
      </c>
      <c r="BM22" s="1461">
        <f t="shared" si="30"/>
        <v>0</v>
      </c>
      <c r="BN22" s="1461">
        <f t="shared" si="30"/>
        <v>0</v>
      </c>
      <c r="BO22" s="1461">
        <f t="shared" si="30"/>
        <v>0</v>
      </c>
      <c r="BP22" s="1461">
        <f t="shared" si="30"/>
        <v>0</v>
      </c>
      <c r="BQ22" s="1461">
        <f t="shared" si="30"/>
        <v>0</v>
      </c>
      <c r="BR22" s="1461">
        <f t="shared" si="30"/>
        <v>0</v>
      </c>
      <c r="BS22" s="1461">
        <f t="shared" si="30"/>
        <v>0</v>
      </c>
      <c r="BT22" s="1461">
        <f t="shared" si="24"/>
        <v>14640.87207843241</v>
      </c>
    </row>
    <row r="23" spans="1:72" outlineLevel="1">
      <c r="A23" s="1044" t="s">
        <v>892</v>
      </c>
      <c r="B23" s="1044" t="s">
        <v>500</v>
      </c>
      <c r="D23" s="1269">
        <f>IFERROR(D17/D11,0)</f>
        <v>18034.985383069125</v>
      </c>
      <c r="E23" s="1269">
        <f t="shared" ref="E23:P23" si="31">IFERROR(E17/E11,0)</f>
        <v>18627.930333040069</v>
      </c>
      <c r="F23" s="1269">
        <f t="shared" si="31"/>
        <v>19264.360949380811</v>
      </c>
      <c r="G23" s="1269">
        <f t="shared" si="31"/>
        <v>19503.299795676121</v>
      </c>
      <c r="H23" s="1269">
        <f t="shared" si="31"/>
        <v>19687.620343851115</v>
      </c>
      <c r="I23" s="1269">
        <f t="shared" si="31"/>
        <v>19611.348073049852</v>
      </c>
      <c r="J23" s="1269">
        <f t="shared" si="31"/>
        <v>17938.741153906849</v>
      </c>
      <c r="K23" s="1269">
        <f t="shared" si="31"/>
        <v>17952.789538689558</v>
      </c>
      <c r="L23" s="1269">
        <f t="shared" si="31"/>
        <v>18493.339175675941</v>
      </c>
      <c r="M23" s="1269">
        <f t="shared" si="31"/>
        <v>18210.948809550511</v>
      </c>
      <c r="N23" s="1269">
        <f t="shared" si="31"/>
        <v>18440.438244350935</v>
      </c>
      <c r="O23" s="1269">
        <f t="shared" si="31"/>
        <v>18501.38793403473</v>
      </c>
      <c r="P23" s="1269">
        <f t="shared" si="31"/>
        <v>18807.80554408225</v>
      </c>
      <c r="R23" s="1269">
        <f t="shared" si="26"/>
        <v>18772.36842105263</v>
      </c>
      <c r="S23" s="1269">
        <f t="shared" si="26"/>
        <v>18775</v>
      </c>
      <c r="T23" s="1269">
        <f t="shared" si="26"/>
        <v>19260.576923076922</v>
      </c>
      <c r="U23" s="1269">
        <f t="shared" si="26"/>
        <v>19741.346153846152</v>
      </c>
      <c r="V23" s="1269">
        <f t="shared" si="26"/>
        <v>19741.346153846152</v>
      </c>
      <c r="W23" s="1269">
        <f t="shared" si="26"/>
        <v>18779.807692307691</v>
      </c>
      <c r="X23" s="1269">
        <f t="shared" si="26"/>
        <v>18779.807692307691</v>
      </c>
      <c r="Y23" s="1269">
        <f t="shared" si="26"/>
        <v>18779.807692307691</v>
      </c>
      <c r="Z23" s="1269">
        <f t="shared" si="26"/>
        <v>18779.807692307691</v>
      </c>
      <c r="AA23" s="1269">
        <f t="shared" si="26"/>
        <v>19260.576923076922</v>
      </c>
      <c r="AB23" s="1269">
        <f t="shared" si="26"/>
        <v>19260.576923076922</v>
      </c>
      <c r="AC23" s="1269">
        <f t="shared" si="26"/>
        <v>19260.576923076922</v>
      </c>
      <c r="AD23" s="1269">
        <f t="shared" si="26"/>
        <v>19112.333333333332</v>
      </c>
      <c r="AF23" s="1269">
        <f t="shared" si="27"/>
        <v>18238.06337350815</v>
      </c>
      <c r="AG23" s="1269">
        <f t="shared" si="27"/>
        <v>18955.246160112143</v>
      </c>
      <c r="AH23" s="1269">
        <f t="shared" si="27"/>
        <v>19554.688912880836</v>
      </c>
      <c r="AI23" s="1269">
        <f t="shared" si="27"/>
        <v>20197.982193745243</v>
      </c>
      <c r="AJ23" s="1269">
        <f t="shared" si="27"/>
        <v>19557.517390658544</v>
      </c>
      <c r="AK23" s="1269">
        <f t="shared" si="27"/>
        <v>20117.092377737019</v>
      </c>
      <c r="AL23" s="1269">
        <f t="shared" si="27"/>
        <v>20103.618540055035</v>
      </c>
      <c r="AM23" s="1269">
        <f t="shared" si="27"/>
        <v>19338.033537185343</v>
      </c>
      <c r="AN23" s="1269">
        <f t="shared" si="27"/>
        <v>16915.010487498887</v>
      </c>
      <c r="AO23" s="1269">
        <f t="shared" si="27"/>
        <v>16072.710756391671</v>
      </c>
      <c r="AP23" s="1269">
        <f t="shared" si="27"/>
        <v>15792.489759595845</v>
      </c>
      <c r="AQ23" s="1269">
        <f t="shared" si="27"/>
        <v>16037.394820617599</v>
      </c>
      <c r="AR23" s="1269">
        <f t="shared" si="27"/>
        <v>18784.560829515376</v>
      </c>
      <c r="AT23" s="1269">
        <f t="shared" ref="AT23:BF23" si="32">IFERROR(AT17/AT11,0)</f>
        <v>16500</v>
      </c>
      <c r="AU23" s="1269">
        <f t="shared" si="32"/>
        <v>16500</v>
      </c>
      <c r="AV23" s="1269">
        <f t="shared" si="32"/>
        <v>16500</v>
      </c>
      <c r="AW23" s="1269">
        <f t="shared" si="32"/>
        <v>16500</v>
      </c>
      <c r="AX23" s="1269">
        <f t="shared" si="32"/>
        <v>16500</v>
      </c>
      <c r="AY23" s="1269">
        <f t="shared" si="32"/>
        <v>16500</v>
      </c>
      <c r="AZ23" s="1269">
        <f t="shared" si="32"/>
        <v>16500</v>
      </c>
      <c r="BA23" s="1269">
        <f t="shared" si="32"/>
        <v>16500</v>
      </c>
      <c r="BB23" s="1269">
        <f t="shared" si="32"/>
        <v>16500</v>
      </c>
      <c r="BC23" s="1269">
        <f t="shared" si="32"/>
        <v>16500</v>
      </c>
      <c r="BD23" s="1269">
        <f t="shared" si="32"/>
        <v>16500</v>
      </c>
      <c r="BE23" s="1269">
        <f t="shared" si="32"/>
        <v>16500</v>
      </c>
      <c r="BF23" s="1269">
        <f t="shared" si="32"/>
        <v>16500</v>
      </c>
      <c r="BH23" s="1269">
        <f t="shared" ref="BH23:BT23" si="33">IFERROR(BH17/BH11,0)</f>
        <v>16058.165727898446</v>
      </c>
      <c r="BI23" s="1269">
        <f t="shared" si="33"/>
        <v>16086.988876337395</v>
      </c>
      <c r="BJ23" s="1269">
        <f t="shared" si="33"/>
        <v>16251.989180745819</v>
      </c>
      <c r="BK23" s="1269">
        <f t="shared" si="33"/>
        <v>17007.71118459733</v>
      </c>
      <c r="BL23" s="1269">
        <f t="shared" si="33"/>
        <v>18126.629809320464</v>
      </c>
      <c r="BM23" s="1269">
        <f t="shared" si="33"/>
        <v>0</v>
      </c>
      <c r="BN23" s="1269">
        <f t="shared" si="33"/>
        <v>0</v>
      </c>
      <c r="BO23" s="1269">
        <f t="shared" si="33"/>
        <v>0</v>
      </c>
      <c r="BP23" s="1269">
        <f t="shared" si="33"/>
        <v>0</v>
      </c>
      <c r="BQ23" s="1269">
        <f t="shared" si="33"/>
        <v>0</v>
      </c>
      <c r="BR23" s="1269">
        <f t="shared" si="33"/>
        <v>0</v>
      </c>
      <c r="BS23" s="1269">
        <f t="shared" si="33"/>
        <v>0</v>
      </c>
      <c r="BT23" s="1269">
        <f t="shared" si="33"/>
        <v>16881.278444830317</v>
      </c>
    </row>
    <row r="24" spans="1:72" outlineLevel="1">
      <c r="A24" s="1044" t="s">
        <v>488</v>
      </c>
      <c r="B24" s="1044" t="s">
        <v>500</v>
      </c>
      <c r="D24" s="1269">
        <f>IFERROR(D18/D12,0)</f>
        <v>20107.93703021263</v>
      </c>
      <c r="E24" s="1269">
        <f t="shared" ref="E24:P24" si="34">IFERROR(E18/E12,0)</f>
        <v>20376.098383705481</v>
      </c>
      <c r="F24" s="1269">
        <f t="shared" si="34"/>
        <v>19071.437150371112</v>
      </c>
      <c r="G24" s="1269">
        <f t="shared" si="34"/>
        <v>19293.896963219628</v>
      </c>
      <c r="H24" s="1269">
        <f t="shared" si="34"/>
        <v>19963.118172654056</v>
      </c>
      <c r="I24" s="1269">
        <f t="shared" si="34"/>
        <v>19675.96662084305</v>
      </c>
      <c r="J24" s="1269">
        <f t="shared" si="34"/>
        <v>19827.895287861102</v>
      </c>
      <c r="K24" s="1269">
        <f t="shared" si="34"/>
        <v>20796.805597014925</v>
      </c>
      <c r="L24" s="1269">
        <f t="shared" si="34"/>
        <v>18600.280245785343</v>
      </c>
      <c r="M24" s="1269">
        <f t="shared" si="34"/>
        <v>17561.496429295788</v>
      </c>
      <c r="N24" s="1269">
        <f t="shared" si="34"/>
        <v>19100.32319881739</v>
      </c>
      <c r="O24" s="1269">
        <f t="shared" si="34"/>
        <v>17959.546908002962</v>
      </c>
      <c r="P24" s="1269">
        <f t="shared" si="34"/>
        <v>19219.462157873233</v>
      </c>
      <c r="R24" s="1269">
        <f t="shared" ref="R24:AD24" si="35">IFERROR(R18/R12,0)</f>
        <v>19096.296296296296</v>
      </c>
      <c r="S24" s="1269">
        <f t="shared" si="35"/>
        <v>19096.296296296296</v>
      </c>
      <c r="T24" s="1269">
        <f t="shared" si="35"/>
        <v>19650</v>
      </c>
      <c r="U24" s="1269">
        <f t="shared" si="35"/>
        <v>19675</v>
      </c>
      <c r="V24" s="1269">
        <f t="shared" si="35"/>
        <v>19940</v>
      </c>
      <c r="W24" s="1269">
        <f t="shared" si="35"/>
        <v>19900</v>
      </c>
      <c r="X24" s="1269">
        <f t="shared" si="35"/>
        <v>20087.096774193549</v>
      </c>
      <c r="Y24" s="1269">
        <f t="shared" si="35"/>
        <v>20087.096774193549</v>
      </c>
      <c r="Z24" s="1269">
        <f t="shared" si="35"/>
        <v>20087.096774193549</v>
      </c>
      <c r="AA24" s="1269">
        <f t="shared" si="35"/>
        <v>20170.149253731342</v>
      </c>
      <c r="AB24" s="1269">
        <f t="shared" si="35"/>
        <v>20170.149253731342</v>
      </c>
      <c r="AC24" s="1269">
        <f t="shared" si="35"/>
        <v>20170.149253731342</v>
      </c>
      <c r="AD24" s="1269">
        <f t="shared" si="35"/>
        <v>19946.215780998391</v>
      </c>
      <c r="AF24" s="1269">
        <f t="shared" si="27"/>
        <v>17304.41241404687</v>
      </c>
      <c r="AG24" s="1269">
        <f t="shared" si="27"/>
        <v>17706.336417003713</v>
      </c>
      <c r="AH24" s="1269">
        <f t="shared" si="27"/>
        <v>16911.74419014982</v>
      </c>
      <c r="AI24" s="1269">
        <f t="shared" si="27"/>
        <v>15911.661102877009</v>
      </c>
      <c r="AJ24" s="1269">
        <f t="shared" si="27"/>
        <v>17506.13292981117</v>
      </c>
      <c r="AK24" s="1269">
        <f t="shared" si="27"/>
        <v>17219.687753052829</v>
      </c>
      <c r="AL24" s="1269">
        <f t="shared" si="27"/>
        <v>17436.709627143853</v>
      </c>
      <c r="AM24" s="1269">
        <f t="shared" si="27"/>
        <v>17098.365674248049</v>
      </c>
      <c r="AN24" s="1269">
        <f t="shared" si="27"/>
        <v>16526.778974231413</v>
      </c>
      <c r="AO24" s="1269">
        <f t="shared" si="27"/>
        <v>13656.944163940165</v>
      </c>
      <c r="AP24" s="1269">
        <f t="shared" si="27"/>
        <v>13811.85982191796</v>
      </c>
      <c r="AQ24" s="1269">
        <f t="shared" si="27"/>
        <v>10929.213524038287</v>
      </c>
      <c r="AR24" s="1269">
        <f t="shared" si="27"/>
        <v>16758.549136230875</v>
      </c>
      <c r="AT24" s="1269">
        <f t="shared" ref="AT24:BF24" si="36">IFERROR(AT18/AT12,0)</f>
        <v>17152.083333333332</v>
      </c>
      <c r="AU24" s="1269">
        <f t="shared" si="36"/>
        <v>17152.083333333332</v>
      </c>
      <c r="AV24" s="1269">
        <f t="shared" si="36"/>
        <v>17695.588235294119</v>
      </c>
      <c r="AW24" s="1269">
        <f t="shared" si="36"/>
        <v>17695.588235294119</v>
      </c>
      <c r="AX24" s="1269">
        <f t="shared" si="36"/>
        <v>17695.588235294119</v>
      </c>
      <c r="AY24" s="1269">
        <f t="shared" si="36"/>
        <v>17695.588235294119</v>
      </c>
      <c r="AZ24" s="1269">
        <f t="shared" si="36"/>
        <v>17872.619047619046</v>
      </c>
      <c r="BA24" s="1269">
        <f t="shared" si="36"/>
        <v>17872.619047619046</v>
      </c>
      <c r="BB24" s="1269">
        <f t="shared" si="36"/>
        <v>17872.619047619046</v>
      </c>
      <c r="BC24" s="1269">
        <f t="shared" si="36"/>
        <v>17872.619047619046</v>
      </c>
      <c r="BD24" s="1269">
        <f t="shared" si="36"/>
        <v>17872.619047619046</v>
      </c>
      <c r="BE24" s="1269">
        <f t="shared" si="36"/>
        <v>17872.619047619046</v>
      </c>
      <c r="BF24" s="1269">
        <f t="shared" si="36"/>
        <v>17738.073394495412</v>
      </c>
      <c r="BH24" s="1269">
        <f t="shared" ref="BH24:BT24" si="37">IFERROR(BH18/BH12,0)</f>
        <v>10419.829203929043</v>
      </c>
      <c r="BI24" s="1269">
        <f t="shared" si="37"/>
        <v>10705.142072962093</v>
      </c>
      <c r="BJ24" s="1269">
        <f t="shared" si="37"/>
        <v>16196.46559130608</v>
      </c>
      <c r="BK24" s="1269">
        <f t="shared" si="37"/>
        <v>20103.756296990465</v>
      </c>
      <c r="BL24" s="1269">
        <f t="shared" si="37"/>
        <v>18929.628389692873</v>
      </c>
      <c r="BM24" s="1269">
        <f t="shared" si="37"/>
        <v>0</v>
      </c>
      <c r="BN24" s="1269">
        <f t="shared" si="37"/>
        <v>0</v>
      </c>
      <c r="BO24" s="1269">
        <f t="shared" si="37"/>
        <v>0</v>
      </c>
      <c r="BP24" s="1269">
        <f t="shared" si="37"/>
        <v>0</v>
      </c>
      <c r="BQ24" s="1269">
        <f t="shared" si="37"/>
        <v>0</v>
      </c>
      <c r="BR24" s="1269">
        <f t="shared" si="37"/>
        <v>0</v>
      </c>
      <c r="BS24" s="1269">
        <f t="shared" si="37"/>
        <v>0</v>
      </c>
      <c r="BT24" s="1269">
        <f t="shared" si="37"/>
        <v>18065.816887515433</v>
      </c>
    </row>
    <row r="25" spans="1:72" outlineLevel="1">
      <c r="A25" s="1044" t="s">
        <v>489</v>
      </c>
      <c r="B25" s="1044" t="s">
        <v>500</v>
      </c>
      <c r="D25" s="1269">
        <f>IFERROR(D19/D13,0)</f>
        <v>15533.658952702703</v>
      </c>
      <c r="E25" s="1269">
        <f t="shared" ref="E25:P25" si="38">IFERROR(E19/E13,0)</f>
        <v>15648.436949749424</v>
      </c>
      <c r="F25" s="1269">
        <f t="shared" si="38"/>
        <v>15420.186522129223</v>
      </c>
      <c r="G25" s="1269">
        <f t="shared" si="38"/>
        <v>15853.020232706009</v>
      </c>
      <c r="H25" s="1269">
        <f t="shared" si="38"/>
        <v>15813.836933713384</v>
      </c>
      <c r="I25" s="1269">
        <f t="shared" si="38"/>
        <v>16873.429752430307</v>
      </c>
      <c r="J25" s="1269">
        <f t="shared" si="38"/>
        <v>15790.000635687496</v>
      </c>
      <c r="K25" s="1269">
        <f t="shared" si="38"/>
        <v>17018.40466357709</v>
      </c>
      <c r="L25" s="1269">
        <f t="shared" si="38"/>
        <v>19500</v>
      </c>
      <c r="M25" s="1269">
        <f t="shared" si="38"/>
        <v>17000</v>
      </c>
      <c r="N25" s="1269">
        <f t="shared" si="38"/>
        <v>18200</v>
      </c>
      <c r="O25" s="1269">
        <f t="shared" si="38"/>
        <v>18200</v>
      </c>
      <c r="P25" s="1269">
        <f t="shared" si="38"/>
        <v>16012.980810180232</v>
      </c>
      <c r="R25" s="1269">
        <f t="shared" ref="R25:AD25" si="39">IFERROR(R19/R13,0)</f>
        <v>19000</v>
      </c>
      <c r="S25" s="1269">
        <f t="shared" si="39"/>
        <v>0</v>
      </c>
      <c r="T25" s="1269">
        <f t="shared" si="39"/>
        <v>17578.947368421053</v>
      </c>
      <c r="U25" s="1269">
        <f t="shared" si="39"/>
        <v>16000</v>
      </c>
      <c r="V25" s="1269">
        <f t="shared" si="39"/>
        <v>17764.705882352941</v>
      </c>
      <c r="W25" s="1269">
        <f t="shared" si="39"/>
        <v>16000</v>
      </c>
      <c r="X25" s="1269">
        <f t="shared" si="39"/>
        <v>17764.705882352941</v>
      </c>
      <c r="Y25" s="1269">
        <f t="shared" si="39"/>
        <v>16000</v>
      </c>
      <c r="Z25" s="1269">
        <f t="shared" si="39"/>
        <v>17578.947368421053</v>
      </c>
      <c r="AA25" s="1269">
        <f t="shared" si="39"/>
        <v>16000</v>
      </c>
      <c r="AB25" s="1269">
        <f t="shared" si="39"/>
        <v>17428.571428571428</v>
      </c>
      <c r="AC25" s="1269">
        <f t="shared" si="39"/>
        <v>16000</v>
      </c>
      <c r="AD25" s="1269">
        <f t="shared" si="39"/>
        <v>17200</v>
      </c>
      <c r="AF25" s="1269">
        <f t="shared" si="27"/>
        <v>0</v>
      </c>
      <c r="AG25" s="1269">
        <f t="shared" si="27"/>
        <v>18500</v>
      </c>
      <c r="AH25" s="1269">
        <f t="shared" si="27"/>
        <v>19000</v>
      </c>
      <c r="AI25" s="1269">
        <f t="shared" si="27"/>
        <v>19000</v>
      </c>
      <c r="AJ25" s="1269">
        <f t="shared" si="27"/>
        <v>19000</v>
      </c>
      <c r="AK25" s="1269">
        <f t="shared" si="27"/>
        <v>14200</v>
      </c>
      <c r="AL25" s="1269">
        <f t="shared" si="27"/>
        <v>19000</v>
      </c>
      <c r="AM25" s="1269">
        <f t="shared" si="27"/>
        <v>18044.318943237293</v>
      </c>
      <c r="AN25" s="1269">
        <f t="shared" si="27"/>
        <v>0</v>
      </c>
      <c r="AO25" s="1269">
        <f t="shared" si="27"/>
        <v>0</v>
      </c>
      <c r="AP25" s="1269">
        <f t="shared" si="27"/>
        <v>0</v>
      </c>
      <c r="AQ25" s="1269">
        <f t="shared" si="27"/>
        <v>0</v>
      </c>
      <c r="AR25" s="1269">
        <f t="shared" si="27"/>
        <v>18768.952327514831</v>
      </c>
      <c r="AT25" s="1269">
        <f t="shared" ref="AT25:BF25" si="40">IFERROR(AT19/AT13,0)</f>
        <v>17000</v>
      </c>
      <c r="AU25" s="1269">
        <f t="shared" si="40"/>
        <v>19000</v>
      </c>
      <c r="AV25" s="1269">
        <f t="shared" si="40"/>
        <v>17000</v>
      </c>
      <c r="AW25" s="1269">
        <f t="shared" si="40"/>
        <v>19000</v>
      </c>
      <c r="AX25" s="1269">
        <f t="shared" si="40"/>
        <v>16750</v>
      </c>
      <c r="AY25" s="1269">
        <f t="shared" si="40"/>
        <v>19000</v>
      </c>
      <c r="AZ25" s="1269">
        <f t="shared" si="40"/>
        <v>17000</v>
      </c>
      <c r="BA25" s="1269">
        <f t="shared" si="40"/>
        <v>19000</v>
      </c>
      <c r="BB25" s="1269">
        <f t="shared" si="40"/>
        <v>17000</v>
      </c>
      <c r="BC25" s="1269">
        <f t="shared" si="40"/>
        <v>19000</v>
      </c>
      <c r="BD25" s="1269">
        <f t="shared" si="40"/>
        <v>16750</v>
      </c>
      <c r="BE25" s="1269">
        <f t="shared" si="40"/>
        <v>19000</v>
      </c>
      <c r="BF25" s="1269">
        <f t="shared" si="40"/>
        <v>17764.705882352941</v>
      </c>
      <c r="BH25" s="1269">
        <f t="shared" ref="BH25:BT25" si="41">IFERROR(BH19/BH13,0)</f>
        <v>17273.348554671134</v>
      </c>
      <c r="BI25" s="1269">
        <f t="shared" si="41"/>
        <v>0</v>
      </c>
      <c r="BJ25" s="1269">
        <f t="shared" si="41"/>
        <v>18817.401420959148</v>
      </c>
      <c r="BK25" s="1269">
        <f t="shared" si="41"/>
        <v>0</v>
      </c>
      <c r="BL25" s="1269">
        <f t="shared" si="41"/>
        <v>0</v>
      </c>
      <c r="BM25" s="1269">
        <f t="shared" si="41"/>
        <v>0</v>
      </c>
      <c r="BN25" s="1269">
        <f t="shared" si="41"/>
        <v>0</v>
      </c>
      <c r="BO25" s="1269">
        <f t="shared" si="41"/>
        <v>0</v>
      </c>
      <c r="BP25" s="1269">
        <f t="shared" si="41"/>
        <v>0</v>
      </c>
      <c r="BQ25" s="1269">
        <f t="shared" si="41"/>
        <v>0</v>
      </c>
      <c r="BR25" s="1269">
        <f t="shared" si="41"/>
        <v>0</v>
      </c>
      <c r="BS25" s="1269">
        <f t="shared" si="41"/>
        <v>0</v>
      </c>
      <c r="BT25" s="1269">
        <f t="shared" si="41"/>
        <v>17505.430541959598</v>
      </c>
    </row>
    <row r="27" spans="1:72" s="279" customFormat="1">
      <c r="A27" s="1266" t="s">
        <v>501</v>
      </c>
      <c r="B27" s="1266"/>
      <c r="D27" s="1267"/>
      <c r="E27" s="1267"/>
      <c r="F27" s="1267"/>
      <c r="G27" s="1267"/>
      <c r="H27" s="1267"/>
      <c r="I27" s="1267"/>
      <c r="J27" s="1267"/>
      <c r="K27" s="1267"/>
      <c r="L27" s="1267"/>
      <c r="M27" s="1267"/>
      <c r="N27" s="1267"/>
      <c r="O27" s="1267"/>
      <c r="P27" s="1267"/>
      <c r="R27" s="1267"/>
      <c r="S27" s="1267"/>
      <c r="T27" s="1267"/>
      <c r="U27" s="1267"/>
      <c r="V27" s="1267"/>
      <c r="W27" s="1267"/>
      <c r="X27" s="1267"/>
      <c r="Y27" s="1267"/>
      <c r="Z27" s="1267"/>
      <c r="AA27" s="1267"/>
      <c r="AB27" s="1267"/>
      <c r="AC27" s="1267"/>
      <c r="AD27" s="1267"/>
      <c r="AF27" s="1267"/>
      <c r="AG27" s="1267"/>
      <c r="AH27" s="1267"/>
      <c r="AI27" s="1267"/>
      <c r="AJ27" s="1267"/>
      <c r="AK27" s="1267"/>
      <c r="AL27" s="1267"/>
      <c r="AM27" s="1267"/>
      <c r="AN27" s="1267"/>
      <c r="AO27" s="1267"/>
      <c r="AP27" s="1267"/>
      <c r="AQ27" s="1267"/>
      <c r="AR27" s="1267"/>
      <c r="AT27" s="1454"/>
      <c r="AU27" s="1454"/>
      <c r="AV27" s="1454"/>
      <c r="AW27" s="1454"/>
      <c r="AX27" s="1454"/>
      <c r="AY27" s="1454"/>
      <c r="AZ27" s="1454"/>
      <c r="BA27" s="1454"/>
      <c r="BB27" s="1454"/>
      <c r="BC27" s="1454"/>
      <c r="BD27" s="1454"/>
      <c r="BE27" s="1454"/>
      <c r="BF27" s="1454"/>
      <c r="BH27" s="1267"/>
      <c r="BI27" s="1267"/>
      <c r="BJ27" s="1267"/>
      <c r="BK27" s="1267"/>
      <c r="BL27" s="1267"/>
      <c r="BM27" s="1267"/>
      <c r="BN27" s="1267"/>
      <c r="BO27" s="1267"/>
      <c r="BP27" s="1267"/>
      <c r="BQ27" s="1267"/>
      <c r="BR27" s="1267"/>
      <c r="BS27" s="1267"/>
      <c r="BT27" s="1267"/>
    </row>
    <row r="28" spans="1:72">
      <c r="A28" s="1460" t="s">
        <v>893</v>
      </c>
      <c r="D28" s="1462">
        <f>1-
(
(IFERROR(D47/(D47+D49)*D53/D47*D54/D48,0)+IFERROR(D49/(D47+D49)*D55/D49,0))
* D56/D50
)</f>
        <v>0.19829489987578175</v>
      </c>
      <c r="E28" s="1462">
        <f t="shared" ref="E28:O28" si="42">1-
(
(IFERROR(E47/(E47+E49)*E53/E47*E54/E48,0)+IFERROR(E49/(E47+E49)*E55/E49,0))
* E56/E50
)</f>
        <v>0.18728847346574218</v>
      </c>
      <c r="F28" s="1462">
        <f t="shared" si="42"/>
        <v>0.17114601218806613</v>
      </c>
      <c r="G28" s="1462">
        <f t="shared" si="42"/>
        <v>0.17463279107274476</v>
      </c>
      <c r="H28" s="1462">
        <f t="shared" si="42"/>
        <v>0.16832992397455249</v>
      </c>
      <c r="I28" s="1462">
        <f t="shared" si="42"/>
        <v>0.1633659040418024</v>
      </c>
      <c r="J28" s="1462">
        <f t="shared" si="42"/>
        <v>0.11379109912778262</v>
      </c>
      <c r="K28" s="1462">
        <f t="shared" si="42"/>
        <v>0.16160513706985435</v>
      </c>
      <c r="L28" s="1462">
        <f t="shared" si="42"/>
        <v>0.16724865138774891</v>
      </c>
      <c r="M28" s="1462">
        <f t="shared" si="42"/>
        <v>0.15627108736213857</v>
      </c>
      <c r="N28" s="1462">
        <f t="shared" si="42"/>
        <v>0.16343612010584163</v>
      </c>
      <c r="O28" s="1462">
        <f t="shared" si="42"/>
        <v>0.16365700398580174</v>
      </c>
      <c r="P28" s="1462">
        <f t="shared" ref="P28" si="43">1-
(
(IFERROR(P47/(P47+P49)*P53/P47*P54/P48,0)+IFERROR(P49/(P47+P49)*P55/P49,0))
* P56/P50
)</f>
        <v>0.15968000498207247</v>
      </c>
      <c r="R28" s="1462">
        <v>0.1588</v>
      </c>
      <c r="S28" s="1462">
        <v>0.1588</v>
      </c>
      <c r="T28" s="1462">
        <v>0.1588</v>
      </c>
      <c r="U28" s="1462">
        <v>0.1588</v>
      </c>
      <c r="V28" s="1462">
        <v>0.1588</v>
      </c>
      <c r="W28" s="1462">
        <v>0.1588</v>
      </c>
      <c r="X28" s="1462">
        <v>0.1588</v>
      </c>
      <c r="Y28" s="1462">
        <v>0.1588</v>
      </c>
      <c r="Z28" s="1462">
        <v>0.1588</v>
      </c>
      <c r="AA28" s="1462">
        <v>0.1588</v>
      </c>
      <c r="AB28" s="1462">
        <v>0.1588</v>
      </c>
      <c r="AC28" s="1462">
        <v>0.1588</v>
      </c>
      <c r="AD28" s="1462">
        <v>0.1588</v>
      </c>
      <c r="AF28" s="1462">
        <f>1-
(
(IFERROR(AF47/(AF47+AF49)*AF53/AF47*AF54/AF48,0)+IFERROR(AF49/(AF47+AF49)*AF55/AF49,0))
* AF56/AF50
)</f>
        <v>0.22931982653955951</v>
      </c>
      <c r="AG28" s="1462">
        <f t="shared" ref="AG28:AK28" si="44">1-
(
(IFERROR(AG47/(AG47+AG49)*AG53/AG47*AG54/AG48,0)+IFERROR(AG49/(AG47+AG49)*AG55/AG49,0))
* AG56/AG50
)</f>
        <v>0.2702558593383888</v>
      </c>
      <c r="AH28" s="1462">
        <f t="shared" si="44"/>
        <v>0.16891710557624162</v>
      </c>
      <c r="AI28" s="1462">
        <f t="shared" si="44"/>
        <v>0.20020100437485211</v>
      </c>
      <c r="AJ28" s="1462">
        <f t="shared" si="44"/>
        <v>0.16562806193424584</v>
      </c>
      <c r="AK28" s="1462">
        <f t="shared" si="44"/>
        <v>0.20023191598618384</v>
      </c>
      <c r="AL28" s="1462">
        <f t="shared" ref="AL28" si="45">1-
(
(IFERROR(AL47/(AL47+AL49)*AL53/AL47*AL54/AL48,0)+IFERROR(AL49/(AL47+AL49)*AL55/AL49,0))
* AL56/AL50
)</f>
        <v>0.21196715810293143</v>
      </c>
      <c r="AM28" s="1462">
        <f t="shared" ref="AM28:AN28" si="46">1-
(
(IFERROR(AM47/(AM47+AM49)*AM53/AM47*AM54/AM48,0)+IFERROR(AM49/(AM47+AM49)*AM55/AM49,0))
* AM56/AM50
)</f>
        <v>0.24040734075112868</v>
      </c>
      <c r="AN28" s="1462">
        <f t="shared" si="46"/>
        <v>0.2490272699919317</v>
      </c>
      <c r="AO28" s="1462">
        <f t="shared" ref="AO28:AP28" si="47">1-
(
(IFERROR(AO47/(AO47+AO49)*AO53/AO47*AO54/AO48,0)+IFERROR(AO49/(AO47+AO49)*AO55/AO49,0))
* AO56/AO50
)</f>
        <v>0.29735170732185501</v>
      </c>
      <c r="AP28" s="1462">
        <f t="shared" si="47"/>
        <v>0.26614422324449893</v>
      </c>
      <c r="AQ28" s="1462">
        <f t="shared" ref="AQ28" si="48">1-
(
(IFERROR(AQ47/(AQ47+AQ49)*AQ53/AQ47*AQ54/AQ48,0)+IFERROR(AQ49/(AQ47+AQ49)*AQ55/AQ49,0))
* AQ56/AQ50
)</f>
        <v>0.24073096785711634</v>
      </c>
      <c r="AR28" s="1462">
        <f t="shared" ref="AR28" si="49">1-
(
(IFERROR(AR47/(AR47+AR49)*AR53/AR47*AR54/AR48,0)+IFERROR(AR49/(AR47+AR49)*AR55/AR49,0))
* AR56/AR50
)</f>
        <v>0.23625237995565895</v>
      </c>
      <c r="AT28" s="1463">
        <f>1-(1-14.7921694140916%)*(1-6.18473861326699%)*(1-5.94597347519405%)</f>
        <v>0.24815140257195123</v>
      </c>
      <c r="AU28" s="1462">
        <f t="shared" ref="AU28:BF28" si="50">1-(1-14.7921694140916%)*(1-6.18473861326699%)*(1-5.94597347519405%)</f>
        <v>0.24815140257195123</v>
      </c>
      <c r="AV28" s="1462">
        <f t="shared" si="50"/>
        <v>0.24815140257195123</v>
      </c>
      <c r="AW28" s="1462">
        <f t="shared" si="50"/>
        <v>0.24815140257195123</v>
      </c>
      <c r="AX28" s="1462">
        <f t="shared" si="50"/>
        <v>0.24815140257195123</v>
      </c>
      <c r="AY28" s="1462">
        <f t="shared" si="50"/>
        <v>0.24815140257195123</v>
      </c>
      <c r="AZ28" s="1462">
        <f t="shared" si="50"/>
        <v>0.24815140257195123</v>
      </c>
      <c r="BA28" s="1462">
        <f t="shared" si="50"/>
        <v>0.24815140257195123</v>
      </c>
      <c r="BB28" s="1462">
        <f t="shared" si="50"/>
        <v>0.24815140257195123</v>
      </c>
      <c r="BC28" s="1462">
        <f t="shared" si="50"/>
        <v>0.24815140257195123</v>
      </c>
      <c r="BD28" s="1462">
        <f t="shared" si="50"/>
        <v>0.24815140257195123</v>
      </c>
      <c r="BE28" s="1462">
        <f t="shared" si="50"/>
        <v>0.24815140257195123</v>
      </c>
      <c r="BF28" s="1462">
        <f t="shared" si="50"/>
        <v>0.24815140257195123</v>
      </c>
      <c r="BH28" s="1462">
        <f>1-
(
(IFERROR(BH47/(BH47+BH49)*BH53/BH47*BH54/BH48,0)+IFERROR(BH49/(BH47+BH49)*BH55/BH49,0))
* BH56/BH50
)</f>
        <v>0.21219852132328509</v>
      </c>
      <c r="BI28" s="1462">
        <f>1-
(
(IFERROR(BI47/(BI47+BI49)*BI53/BI47*BI54/BI48,0)+IFERROR(BI49/(BI47+BI49)*BI55/BI49,0))
* BI56/BI50
)</f>
        <v>0.23481682134476067</v>
      </c>
      <c r="BJ28" s="1462">
        <f>1-
(
(IFERROR(BJ47/(BJ47+BJ49)*BJ53/BJ47*BJ54/BJ48,0)+IFERROR(BJ49/(BJ47+BJ49)*BJ55/BJ49,0))
* BJ56/BJ50
)</f>
        <v>0.23225795767707536</v>
      </c>
      <c r="BK28" s="1462">
        <f>1-
(
(IFERROR(BK47/(BK47+BK49)*BK53/BK47*BK54/BK48,0)+IFERROR(BK49/(BK47+BK49)*BK55/BK49,0))
* BK56/BK50
)</f>
        <v>0.21719096750613898</v>
      </c>
      <c r="BL28" s="1462">
        <f>1-
(
(IFERROR(BL47/(BL47+BL49)*BL53/BL47*BL54/BL48,0)+IFERROR(BL49/(BL47+BL49)*BL55/BL49,0))
* BL56/BL50
)</f>
        <v>0.23004165455007897</v>
      </c>
      <c r="BM28" s="1462"/>
      <c r="BN28" s="1462"/>
      <c r="BO28" s="1462"/>
      <c r="BP28" s="1462"/>
      <c r="BQ28" s="1462"/>
      <c r="BR28" s="1462"/>
      <c r="BS28" s="1462"/>
      <c r="BT28" s="1462">
        <f t="shared" ref="BT28" si="51">1-
(
(IFERROR(BT47/(BT47+BT49)*BT53/BT47*BT54/BT48,0)+IFERROR(BT49/(BT47+BT49)*BT55/BT49,0))
* BT56/BT50
)</f>
        <v>0.2257493999668414</v>
      </c>
    </row>
    <row r="29" spans="1:72">
      <c r="A29" s="1044" t="s">
        <v>892</v>
      </c>
      <c r="D29" s="1463">
        <f>IFERROR(1-D54/D48*D56/D50,0)</f>
        <v>8.0849969341658667E-2</v>
      </c>
      <c r="E29" s="1463">
        <f t="shared" ref="E29:O29" si="52">IFERROR(1-E54/E48*E56/E50,0)</f>
        <v>9.0872517625925298E-2</v>
      </c>
      <c r="F29" s="1463">
        <f t="shared" si="52"/>
        <v>9.2452538451875843E-2</v>
      </c>
      <c r="G29" s="1463">
        <f t="shared" si="52"/>
        <v>8.1457821322036827E-2</v>
      </c>
      <c r="H29" s="1463">
        <f t="shared" si="52"/>
        <v>7.960779236979576E-2</v>
      </c>
      <c r="I29" s="1463">
        <f t="shared" si="52"/>
        <v>7.4903787812977907E-2</v>
      </c>
      <c r="J29" s="1463">
        <f t="shared" si="52"/>
        <v>8.6890718928446686E-2</v>
      </c>
      <c r="K29" s="1463">
        <f t="shared" si="52"/>
        <v>0.10114175652421453</v>
      </c>
      <c r="L29" s="1463">
        <f t="shared" si="52"/>
        <v>8.095995142207757E-2</v>
      </c>
      <c r="M29" s="1463">
        <f t="shared" si="52"/>
        <v>8.7729335494670768E-2</v>
      </c>
      <c r="N29" s="1463">
        <f t="shared" si="52"/>
        <v>7.7156010037863876E-2</v>
      </c>
      <c r="O29" s="1463">
        <f t="shared" si="52"/>
        <v>0.10760995173513155</v>
      </c>
      <c r="P29" s="1463">
        <f t="shared" ref="P29" si="53">IFERROR(1-P54/P48*P56/P50,0)</f>
        <v>8.5215111235449115E-2</v>
      </c>
      <c r="R29" s="1463">
        <v>7.5700000000000003E-2</v>
      </c>
      <c r="S29" s="1463">
        <v>7.5700000000000003E-2</v>
      </c>
      <c r="T29" s="1463">
        <v>7.5700000000000003E-2</v>
      </c>
      <c r="U29" s="1463">
        <v>7.5700000000000003E-2</v>
      </c>
      <c r="V29" s="1463">
        <v>7.5700000000000003E-2</v>
      </c>
      <c r="W29" s="1463">
        <v>7.5700000000000003E-2</v>
      </c>
      <c r="X29" s="1463">
        <v>7.5700000000000003E-2</v>
      </c>
      <c r="Y29" s="1463">
        <v>7.5700000000000003E-2</v>
      </c>
      <c r="Z29" s="1463">
        <v>7.5700000000000003E-2</v>
      </c>
      <c r="AA29" s="1463">
        <v>7.5700000000000003E-2</v>
      </c>
      <c r="AB29" s="1463">
        <v>7.5700000000000003E-2</v>
      </c>
      <c r="AC29" s="1463">
        <v>7.5700000000000003E-2</v>
      </c>
      <c r="AD29" s="1463">
        <v>7.5700000000000003E-2</v>
      </c>
      <c r="AF29" s="1463">
        <f>IFERROR(1-AF54/AF48*AF56/AF50,0)</f>
        <v>8.8872722742684429E-2</v>
      </c>
      <c r="AG29" s="1463">
        <f t="shared" ref="AG29:AK29" si="54">IFERROR(1-AG54/AG48*AG56/AG50,0)</f>
        <v>0.13238306741668593</v>
      </c>
      <c r="AH29" s="1463">
        <f t="shared" si="54"/>
        <v>0.12026380779578849</v>
      </c>
      <c r="AI29" s="1463">
        <f t="shared" si="54"/>
        <v>0.11137844864465374</v>
      </c>
      <c r="AJ29" s="1463">
        <f t="shared" si="54"/>
        <v>0.11167099275046311</v>
      </c>
      <c r="AK29" s="1463">
        <f t="shared" si="54"/>
        <v>0.11928686609810502</v>
      </c>
      <c r="AL29" s="1463">
        <f t="shared" ref="AL29" si="55">IFERROR(1-AL54/AL48*AL56/AL50,0)</f>
        <v>0.12494587183192807</v>
      </c>
      <c r="AM29" s="1463">
        <f t="shared" ref="AM29:AN29" si="56">IFERROR(1-AM54/AM48*AM56/AM50,0)</f>
        <v>0.13664367701849223</v>
      </c>
      <c r="AN29" s="1463">
        <f t="shared" si="56"/>
        <v>0.11909708154601006</v>
      </c>
      <c r="AO29" s="1463">
        <f t="shared" ref="AO29:AP29" si="57">IFERROR(1-AO54/AO48*AO56/AO50,0)</f>
        <v>0.14105204613530098</v>
      </c>
      <c r="AP29" s="1463">
        <f t="shared" si="57"/>
        <v>0.10822206428110248</v>
      </c>
      <c r="AQ29" s="1463">
        <f t="shared" ref="AQ29" si="58">IFERROR(1-AQ54/AQ48*AQ56/AQ50,0)</f>
        <v>0.12996115026986721</v>
      </c>
      <c r="AR29" s="1463">
        <f t="shared" ref="AR29" si="59">IFERROR(1-AR54/AR48*AR56/AR50,0)</f>
        <v>0.12269221012043108</v>
      </c>
      <c r="AT29" s="1463">
        <f>1-(1-6.18473861326699%)*(1-5.94597347519405%)</f>
        <v>0.1176296917100611</v>
      </c>
      <c r="AU29" s="1463">
        <f t="shared" ref="AU29:BF29" si="60">1-(1-6.18473861326699%)*(1-5.94597347519405%)</f>
        <v>0.1176296917100611</v>
      </c>
      <c r="AV29" s="1463">
        <f t="shared" si="60"/>
        <v>0.1176296917100611</v>
      </c>
      <c r="AW29" s="1463">
        <f t="shared" si="60"/>
        <v>0.1176296917100611</v>
      </c>
      <c r="AX29" s="1463">
        <f t="shared" si="60"/>
        <v>0.1176296917100611</v>
      </c>
      <c r="AY29" s="1463">
        <f t="shared" si="60"/>
        <v>0.1176296917100611</v>
      </c>
      <c r="AZ29" s="1463">
        <f t="shared" si="60"/>
        <v>0.1176296917100611</v>
      </c>
      <c r="BA29" s="1463">
        <f t="shared" si="60"/>
        <v>0.1176296917100611</v>
      </c>
      <c r="BB29" s="1463">
        <f t="shared" si="60"/>
        <v>0.1176296917100611</v>
      </c>
      <c r="BC29" s="1463">
        <f t="shared" si="60"/>
        <v>0.1176296917100611</v>
      </c>
      <c r="BD29" s="1463">
        <f t="shared" si="60"/>
        <v>0.1176296917100611</v>
      </c>
      <c r="BE29" s="1463">
        <f t="shared" si="60"/>
        <v>0.1176296917100611</v>
      </c>
      <c r="BF29" s="1463">
        <f t="shared" si="60"/>
        <v>0.1176296917100611</v>
      </c>
      <c r="BH29" s="1463">
        <f>IFERROR(1-BH54/BH48*BH56/BH50,0)</f>
        <v>0.11893244522889579</v>
      </c>
      <c r="BI29" s="1463">
        <f>IFERROR(1-BI54/BI48*BI56/BI50,0)</f>
        <v>0.1361554676183081</v>
      </c>
      <c r="BJ29" s="1463">
        <f>IFERROR(1-BJ54/BJ48*BJ56/BJ50,0)</f>
        <v>0.13488144758256904</v>
      </c>
      <c r="BK29" s="1463">
        <f>IFERROR(1-BK54/BK48*BK56/BK50,0)</f>
        <v>0.12787750625210681</v>
      </c>
      <c r="BL29" s="1463">
        <f>IFERROR(1-BL54/BL48*BL56/BL50,0)</f>
        <v>0.11276477942783425</v>
      </c>
      <c r="BM29" s="1463"/>
      <c r="BN29" s="1463"/>
      <c r="BO29" s="1463"/>
      <c r="BP29" s="1463"/>
      <c r="BQ29" s="1463"/>
      <c r="BR29" s="1463"/>
      <c r="BS29" s="1463"/>
      <c r="BT29" s="1463">
        <f t="shared" ref="BT29" si="61">IFERROR(1-BT54/BT48*BT56/BT50,0)</f>
        <v>0.12554284321030196</v>
      </c>
    </row>
    <row r="30" spans="1:72">
      <c r="A30" s="1044" t="s">
        <v>488</v>
      </c>
      <c r="D30" s="1463">
        <v>0.20313208635959623</v>
      </c>
      <c r="E30" s="1463">
        <v>0.25234447298934426</v>
      </c>
      <c r="F30" s="1463">
        <v>0.16685422006616801</v>
      </c>
      <c r="G30" s="1463">
        <v>0.26617471589000219</v>
      </c>
      <c r="H30" s="1463">
        <v>0.20814188571171299</v>
      </c>
      <c r="I30" s="1463">
        <v>0.19648853432404922</v>
      </c>
      <c r="J30" s="1463">
        <v>0.17982208896169005</v>
      </c>
      <c r="K30" s="1463">
        <v>0.14420687250046782</v>
      </c>
      <c r="L30" s="1463">
        <v>0.16905920744271674</v>
      </c>
      <c r="M30" s="1463">
        <v>0.11430898774952791</v>
      </c>
      <c r="N30" s="1463">
        <v>9.5201812882743986E-2</v>
      </c>
      <c r="O30" s="1463">
        <v>0.15831375657241631</v>
      </c>
      <c r="P30" s="1463">
        <v>0.15831375657241631</v>
      </c>
      <c r="R30" s="1463">
        <v>0.14452271993631954</v>
      </c>
      <c r="S30" s="1463">
        <v>0.14452271993631954</v>
      </c>
      <c r="T30" s="1463">
        <v>0.14452271993631954</v>
      </c>
      <c r="U30" s="1463">
        <v>0.14452271993631954</v>
      </c>
      <c r="V30" s="1463">
        <v>0.14452271993631954</v>
      </c>
      <c r="W30" s="1463">
        <v>0.14452271993631954</v>
      </c>
      <c r="X30" s="1463">
        <v>0.14452271993631954</v>
      </c>
      <c r="Y30" s="1463">
        <v>0.14452271993631954</v>
      </c>
      <c r="Z30" s="1463">
        <v>0.14452271993631954</v>
      </c>
      <c r="AA30" s="1463">
        <v>0.14452271993631954</v>
      </c>
      <c r="AB30" s="1463">
        <v>0.14452271993631954</v>
      </c>
      <c r="AC30" s="1463">
        <v>0.14452271993631954</v>
      </c>
      <c r="AD30" s="1463">
        <v>0.14452271993631954</v>
      </c>
      <c r="AF30" s="1464">
        <f>0.0783421898109457+10%+N("dự án EPR")</f>
        <v>0.17834218981094571</v>
      </c>
      <c r="AG30" s="1464">
        <f>13.0290573074173%+10%+N("dự án EPR")</f>
        <v>0.230290573074173</v>
      </c>
      <c r="AH30" s="1464">
        <f>0.0941937345548818+10%+N("dự án EPR")</f>
        <v>0.19419373455488181</v>
      </c>
      <c r="AI30" s="1464">
        <f>11.5294041888379%+10%+N("dự án EPR")</f>
        <v>0.215294041888379</v>
      </c>
      <c r="AJ30" s="1463">
        <v>8.3891407055670775E-2</v>
      </c>
      <c r="AK30" s="1463">
        <v>0.13020131345536567</v>
      </c>
      <c r="AL30" s="1463">
        <v>5.9835895307927212E-2</v>
      </c>
      <c r="AM30" s="1463">
        <v>4.1688231913196483E-2</v>
      </c>
      <c r="AN30" s="1463">
        <v>5.3754927841193512E-2</v>
      </c>
      <c r="AO30" s="1463">
        <v>9.6447612796394799E-2</v>
      </c>
      <c r="AP30" s="1463">
        <v>0.15687564751542649</v>
      </c>
      <c r="AQ30" s="1463">
        <v>0.22218992670761817</v>
      </c>
      <c r="AR30" s="1463"/>
      <c r="AT30" s="1463"/>
      <c r="AU30" s="1463"/>
      <c r="AV30" s="1463"/>
      <c r="AW30" s="1463"/>
      <c r="AX30" s="1463"/>
      <c r="AY30" s="1463"/>
      <c r="AZ30" s="1463"/>
      <c r="BA30" s="1463"/>
      <c r="BB30" s="1463"/>
      <c r="BC30" s="1463"/>
      <c r="BD30" s="1463"/>
      <c r="BE30" s="1463"/>
      <c r="BF30" s="1463"/>
      <c r="BH30" s="1463"/>
      <c r="BI30" s="1463"/>
      <c r="BJ30" s="1463"/>
      <c r="BK30" s="1463"/>
      <c r="BL30" s="1463"/>
      <c r="BM30" s="1463"/>
      <c r="BN30" s="1463"/>
      <c r="BO30" s="1463"/>
      <c r="BP30" s="1463"/>
      <c r="BQ30" s="1463"/>
      <c r="BR30" s="1463"/>
      <c r="BS30" s="1463"/>
      <c r="BT30" s="1463"/>
    </row>
    <row r="31" spans="1:72">
      <c r="A31" s="1044" t="s">
        <v>489</v>
      </c>
      <c r="D31" s="1463"/>
      <c r="E31" s="1463"/>
      <c r="F31" s="1463"/>
      <c r="G31" s="1463"/>
      <c r="H31" s="1463"/>
      <c r="I31" s="1463"/>
      <c r="J31" s="1463"/>
      <c r="K31" s="1463"/>
      <c r="L31" s="1463"/>
      <c r="M31" s="1463"/>
      <c r="N31" s="1463"/>
      <c r="O31" s="1463"/>
      <c r="P31" s="1463"/>
      <c r="R31" s="1463"/>
      <c r="S31" s="1463"/>
      <c r="T31" s="1463"/>
      <c r="U31" s="1463"/>
      <c r="V31" s="1463"/>
      <c r="W31" s="1463"/>
      <c r="X31" s="1463"/>
      <c r="Y31" s="1463"/>
      <c r="Z31" s="1463"/>
      <c r="AA31" s="1463"/>
      <c r="AB31" s="1463"/>
      <c r="AC31" s="1463"/>
      <c r="AD31" s="1463"/>
      <c r="AF31" s="1463"/>
      <c r="AG31" s="1463"/>
      <c r="AH31" s="1463"/>
      <c r="AI31" s="1463"/>
      <c r="AJ31" s="1463"/>
      <c r="AK31" s="1463"/>
      <c r="AL31" s="1463"/>
      <c r="AM31" s="1463"/>
      <c r="AN31" s="1463"/>
      <c r="AO31" s="1463"/>
      <c r="AP31" s="1463"/>
      <c r="AQ31" s="1463"/>
      <c r="AR31" s="1463"/>
      <c r="AT31" s="1463"/>
      <c r="AU31" s="1463"/>
      <c r="AV31" s="1463"/>
      <c r="AW31" s="1463"/>
      <c r="AX31" s="1463"/>
      <c r="AY31" s="1463"/>
      <c r="AZ31" s="1463"/>
      <c r="BA31" s="1463"/>
      <c r="BB31" s="1463"/>
      <c r="BC31" s="1463"/>
      <c r="BD31" s="1463"/>
      <c r="BE31" s="1463"/>
      <c r="BF31" s="1463"/>
      <c r="BH31" s="1463"/>
      <c r="BI31" s="1463"/>
      <c r="BJ31" s="1463"/>
      <c r="BK31" s="1463"/>
      <c r="BL31" s="1463"/>
      <c r="BM31" s="1463"/>
      <c r="BN31" s="1463"/>
      <c r="BO31" s="1463"/>
      <c r="BP31" s="1463"/>
      <c r="BQ31" s="1463"/>
      <c r="BR31" s="1463"/>
      <c r="BS31" s="1463"/>
      <c r="BT31" s="1463"/>
    </row>
    <row r="32" spans="1:72">
      <c r="D32" s="311"/>
      <c r="E32" s="311"/>
      <c r="F32" s="311"/>
      <c r="G32" s="311"/>
      <c r="H32" s="311"/>
      <c r="I32" s="311"/>
      <c r="J32" s="311"/>
      <c r="K32" s="311"/>
      <c r="L32" s="311"/>
      <c r="M32" s="311"/>
      <c r="N32" s="311"/>
      <c r="O32" s="311"/>
      <c r="P32" s="311"/>
      <c r="R32" s="311"/>
      <c r="S32" s="311"/>
      <c r="T32" s="311"/>
      <c r="U32" s="311"/>
      <c r="V32" s="311"/>
      <c r="W32" s="311"/>
      <c r="X32" s="311"/>
      <c r="Y32" s="311"/>
      <c r="Z32" s="311"/>
      <c r="AA32" s="311"/>
      <c r="AB32" s="311"/>
      <c r="AC32" s="311"/>
      <c r="AD32" s="311"/>
      <c r="AF32" s="311"/>
      <c r="AG32" s="311"/>
      <c r="AH32" s="311"/>
      <c r="AI32" s="311"/>
      <c r="AJ32" s="311"/>
      <c r="AK32" s="311"/>
      <c r="AL32" s="311"/>
      <c r="AM32" s="311"/>
      <c r="AN32" s="311"/>
      <c r="AO32" s="311"/>
      <c r="AP32" s="311"/>
      <c r="AQ32" s="311"/>
      <c r="AR32" s="311"/>
      <c r="AT32" s="311"/>
      <c r="AU32" s="311"/>
      <c r="AV32" s="311"/>
      <c r="AW32" s="311"/>
      <c r="AX32" s="311"/>
      <c r="AY32" s="311"/>
      <c r="AZ32" s="311"/>
      <c r="BA32" s="311"/>
      <c r="BB32" s="311"/>
      <c r="BC32" s="311"/>
      <c r="BD32" s="311"/>
      <c r="BE32" s="311"/>
      <c r="BF32" s="311"/>
      <c r="BH32" s="311"/>
      <c r="BI32" s="311"/>
      <c r="BJ32" s="311"/>
      <c r="BK32" s="311"/>
      <c r="BL32" s="311"/>
      <c r="BM32" s="311"/>
      <c r="BN32" s="311"/>
      <c r="BO32" s="311"/>
      <c r="BP32" s="311"/>
      <c r="BQ32" s="311"/>
      <c r="BR32" s="311"/>
      <c r="BS32" s="311"/>
      <c r="BT32" s="311"/>
    </row>
    <row r="33" spans="1:74" s="279" customFormat="1">
      <c r="A33" s="1266" t="s">
        <v>502</v>
      </c>
      <c r="B33" s="1266"/>
      <c r="D33" s="1267"/>
      <c r="E33" s="1267"/>
      <c r="F33" s="1267"/>
      <c r="G33" s="1267"/>
      <c r="H33" s="1267"/>
      <c r="I33" s="1267"/>
      <c r="J33" s="1267"/>
      <c r="K33" s="1267"/>
      <c r="L33" s="1267"/>
      <c r="M33" s="1267"/>
      <c r="N33" s="1267"/>
      <c r="O33" s="1267"/>
      <c r="P33" s="1267"/>
      <c r="R33" s="1267"/>
      <c r="S33" s="1267"/>
      <c r="T33" s="1267"/>
      <c r="U33" s="1267"/>
      <c r="V33" s="1267"/>
      <c r="W33" s="1267"/>
      <c r="X33" s="1267"/>
      <c r="Y33" s="1267"/>
      <c r="Z33" s="1267"/>
      <c r="AA33" s="1267"/>
      <c r="AB33" s="1267"/>
      <c r="AC33" s="1267"/>
      <c r="AD33" s="1267"/>
      <c r="AF33" s="1267"/>
      <c r="AG33" s="1267"/>
      <c r="AH33" s="1267"/>
      <c r="AI33" s="1267"/>
      <c r="AJ33" s="1267"/>
      <c r="AK33" s="1267"/>
      <c r="AL33" s="1267"/>
      <c r="AM33" s="1267"/>
      <c r="AN33" s="1267"/>
      <c r="AO33" s="1267"/>
      <c r="AP33" s="1267"/>
      <c r="AQ33" s="1267"/>
      <c r="AR33" s="1267"/>
      <c r="AT33" s="1454"/>
      <c r="AU33" s="1454"/>
      <c r="AV33" s="1454"/>
      <c r="AW33" s="1454"/>
      <c r="AX33" s="1454"/>
      <c r="AY33" s="1454"/>
      <c r="AZ33" s="1454"/>
      <c r="BA33" s="1454"/>
      <c r="BB33" s="1454"/>
      <c r="BC33" s="1454"/>
      <c r="BD33" s="1454"/>
      <c r="BE33" s="1454"/>
      <c r="BF33" s="1454"/>
      <c r="BH33" s="1267"/>
      <c r="BI33" s="1267"/>
      <c r="BJ33" s="1267"/>
      <c r="BK33" s="1267"/>
      <c r="BL33" s="1267"/>
      <c r="BM33" s="1267"/>
      <c r="BN33" s="1267"/>
      <c r="BO33" s="1267"/>
      <c r="BP33" s="1267"/>
      <c r="BQ33" s="1267"/>
      <c r="BR33" s="1267"/>
      <c r="BS33" s="1267"/>
      <c r="BT33" s="1267"/>
    </row>
    <row r="34" spans="1:74">
      <c r="A34" s="1460" t="s">
        <v>893</v>
      </c>
      <c r="B34" s="1460"/>
      <c r="D34" s="1462">
        <f t="shared" ref="D34:O34" si="62">1-
(
(IFERROR(D66/(D66+D68)*D72/D66*D73/D67,0)+IFERROR(D68/(D66+D68)*D74/D68,0))
* D75/D69
)</f>
        <v>0.19829489987578175</v>
      </c>
      <c r="E34" s="1462">
        <f t="shared" si="62"/>
        <v>0.19189950492244678</v>
      </c>
      <c r="F34" s="1462">
        <f t="shared" si="62"/>
        <v>0.18329805444218827</v>
      </c>
      <c r="G34" s="1462">
        <f t="shared" si="62"/>
        <v>0.18181827555353758</v>
      </c>
      <c r="H34" s="1462">
        <f t="shared" si="62"/>
        <v>0.17846300294212347</v>
      </c>
      <c r="I34" s="1462">
        <f t="shared" si="62"/>
        <v>0.17549608585273879</v>
      </c>
      <c r="J34" s="1462">
        <f t="shared" si="62"/>
        <v>0.15856269719514682</v>
      </c>
      <c r="K34" s="1462">
        <f t="shared" si="62"/>
        <v>0.15826755923466784</v>
      </c>
      <c r="L34" s="1462">
        <f t="shared" si="62"/>
        <v>0.15896897642805319</v>
      </c>
      <c r="M34" s="1462">
        <f t="shared" si="62"/>
        <v>0.1584516015173435</v>
      </c>
      <c r="N34" s="1462">
        <f t="shared" si="62"/>
        <v>0.15848968847128453</v>
      </c>
      <c r="O34" s="1462">
        <f t="shared" si="62"/>
        <v>0.15968000498207247</v>
      </c>
      <c r="P34" s="1462"/>
      <c r="R34" s="1462">
        <v>0.1588</v>
      </c>
      <c r="S34" s="1462">
        <v>0.1588</v>
      </c>
      <c r="T34" s="1462">
        <v>0.1588</v>
      </c>
      <c r="U34" s="1462">
        <v>0.1588</v>
      </c>
      <c r="V34" s="1462">
        <v>0.1588</v>
      </c>
      <c r="W34" s="1462">
        <v>0.1588</v>
      </c>
      <c r="X34" s="1462">
        <v>0.1588</v>
      </c>
      <c r="Y34" s="1462">
        <v>0.1588</v>
      </c>
      <c r="Z34" s="1462">
        <v>0.1588</v>
      </c>
      <c r="AA34" s="1462">
        <v>0.1588</v>
      </c>
      <c r="AB34" s="1462">
        <v>0.1588</v>
      </c>
      <c r="AC34" s="1462">
        <v>0.1588</v>
      </c>
      <c r="AD34" s="1462">
        <v>0.1588</v>
      </c>
      <c r="AF34" s="1462">
        <f>1-
(
(IFERROR(AF66/(AF66+AF68)*AF72/AF66*AF73/AF67,0)+IFERROR(AF68/(AF66+AF68)*AF74/AF68,0))
* AF75/AF69
)</f>
        <v>0.22931982653955951</v>
      </c>
      <c r="AG34" s="1462">
        <f t="shared" ref="AG34:AK34" si="63">1-
(
(IFERROR(AG66/(AG66+AG68)*AG72/AG66*AG73/AG67,0)+IFERROR(AG68/(AG66+AG68)*AG74/AG68,0))
* AG75/AG69
)</f>
        <v>0.25088331996049806</v>
      </c>
      <c r="AH34" s="1462">
        <f t="shared" si="63"/>
        <v>0.22664146414307151</v>
      </c>
      <c r="AI34" s="1462">
        <f t="shared" si="63"/>
        <v>0.21770694959444037</v>
      </c>
      <c r="AJ34" s="1462">
        <f t="shared" si="63"/>
        <v>0.20542665426314544</v>
      </c>
      <c r="AK34" s="1462">
        <f t="shared" si="63"/>
        <v>0.20396828894427288</v>
      </c>
      <c r="AL34" s="1462">
        <f t="shared" ref="AL34" si="64">1-
(
(IFERROR(AL66/(AL66+AL68)*AL72/AL66*AL73/AL67,0)+IFERROR(AL68/(AL66+AL68)*AL74/AL68,0))
* AL75/AL69
)</f>
        <v>0.20528516333209434</v>
      </c>
      <c r="AM34" s="1462">
        <f t="shared" ref="AM34:AN34" si="65">1-
(
(IFERROR(AM66/(AM66+AM68)*AM72/AM66*AM73/AM67,0)+IFERROR(AM68/(AM66+AM68)*AM74/AM68,0))
* AM75/AM69
)</f>
        <v>0.21046830744753231</v>
      </c>
      <c r="AN34" s="1462">
        <f t="shared" si="65"/>
        <v>0.2140332109287677</v>
      </c>
      <c r="AO34" s="1462">
        <f t="shared" ref="AO34:AP34" si="66">1-
(
(IFERROR(AO66/(AO66+AO68)*AO72/AO66*AO73/AO67,0)+IFERROR(AO68/(AO66+AO68)*AO74/AO68,0))
* AO75/AO69
)</f>
        <v>0.23371182734608065</v>
      </c>
      <c r="AP34" s="1462">
        <f t="shared" si="66"/>
        <v>0.23589931706522116</v>
      </c>
      <c r="AQ34" s="1462">
        <f t="shared" ref="AQ34" si="67">1-
(
(IFERROR(AQ66/(AQ66+AQ68)*AQ72/AQ66*AQ73/AQ67,0)+IFERROR(AQ68/(AQ66+AQ68)*AQ74/AQ68,0))
* AQ75/AQ69
)</f>
        <v>0.23625237995565895</v>
      </c>
      <c r="AR34" s="1462"/>
      <c r="AT34" s="1462"/>
      <c r="AU34" s="1462"/>
      <c r="AV34" s="1462"/>
      <c r="AW34" s="1462"/>
      <c r="AX34" s="1462"/>
      <c r="AY34" s="1462"/>
      <c r="AZ34" s="1462"/>
      <c r="BA34" s="1462"/>
      <c r="BB34" s="1462"/>
      <c r="BC34" s="1462"/>
      <c r="BD34" s="1462"/>
      <c r="BE34" s="1462"/>
      <c r="BF34" s="1462"/>
      <c r="BH34" s="1462">
        <f>1-
(
(IFERROR(BH66/(BH66+BH68)*BH72/BH66*BH73/BH67,0)+IFERROR(BH68/(BH66+BH68)*BH74/BH68,0))
* BH75/BH69
)</f>
        <v>0.21219852132328509</v>
      </c>
      <c r="BI34" s="1462">
        <f t="shared" ref="BI34:BR34" si="68">1-
(
(IFERROR(BI66/(BI66+BI68)*BI72/BI66*BI73/BI67,0)+IFERROR(BI68/(BI66+BI68)*BI74/BI68,0))
* BI75/BI69
)</f>
        <v>0.22224753485339832</v>
      </c>
      <c r="BJ34" s="1462">
        <f t="shared" si="68"/>
        <v>0.2269000777305904</v>
      </c>
      <c r="BK34" s="1462">
        <f t="shared" si="68"/>
        <v>0.22389362906385901</v>
      </c>
      <c r="BL34" s="1462">
        <f t="shared" si="68"/>
        <v>0.2257493999668414</v>
      </c>
      <c r="BM34" s="1462">
        <f t="shared" si="68"/>
        <v>0.2257493999668414</v>
      </c>
      <c r="BN34" s="1462">
        <f t="shared" si="68"/>
        <v>0.2257493999668414</v>
      </c>
      <c r="BO34" s="1462">
        <f t="shared" si="68"/>
        <v>0.2257493999668414</v>
      </c>
      <c r="BP34" s="1462">
        <f t="shared" si="68"/>
        <v>0.2257493999668414</v>
      </c>
      <c r="BQ34" s="1462">
        <f t="shared" si="68"/>
        <v>0.2257493999668414</v>
      </c>
      <c r="BR34" s="1462">
        <f t="shared" si="68"/>
        <v>0.2257493999668414</v>
      </c>
      <c r="BS34" s="1462"/>
      <c r="BT34" s="1462"/>
    </row>
    <row r="35" spans="1:74">
      <c r="A35" s="1044" t="s">
        <v>892</v>
      </c>
      <c r="B35" s="1044"/>
      <c r="D35" s="1463">
        <f t="shared" ref="D35:O35" si="69">IFERROR(1-D73/D67*D75/D69,0)</f>
        <v>8.0849969341658667E-2</v>
      </c>
      <c r="E35" s="1463">
        <f t="shared" si="69"/>
        <v>8.476022516712467E-2</v>
      </c>
      <c r="F35" s="1463">
        <f t="shared" si="69"/>
        <v>8.7476748842634233E-2</v>
      </c>
      <c r="G35" s="1463">
        <f t="shared" si="69"/>
        <v>8.6754627755738944E-2</v>
      </c>
      <c r="H35" s="1463">
        <f t="shared" si="69"/>
        <v>8.4902129761201817E-2</v>
      </c>
      <c r="I35" s="1463">
        <f t="shared" si="69"/>
        <v>8.2577741973718588E-2</v>
      </c>
      <c r="J35" s="1463">
        <f t="shared" si="69"/>
        <v>8.1524953514545917E-2</v>
      </c>
      <c r="K35" s="1463">
        <f t="shared" si="69"/>
        <v>8.2977973257823634E-2</v>
      </c>
      <c r="L35" s="1463">
        <f t="shared" si="69"/>
        <v>8.2789779495866855E-2</v>
      </c>
      <c r="M35" s="1463">
        <f t="shared" si="69"/>
        <v>8.328761650331129E-2</v>
      </c>
      <c r="N35" s="1463">
        <f t="shared" si="69"/>
        <v>8.278007868381021E-2</v>
      </c>
      <c r="O35" s="1463">
        <f t="shared" si="69"/>
        <v>8.5215111235449115E-2</v>
      </c>
      <c r="P35" s="1463"/>
      <c r="R35" s="1463">
        <v>7.5700000000000003E-2</v>
      </c>
      <c r="S35" s="1463">
        <v>7.5700000000000003E-2</v>
      </c>
      <c r="T35" s="1463">
        <v>7.5700000000000003E-2</v>
      </c>
      <c r="U35" s="1463">
        <v>7.5700000000000003E-2</v>
      </c>
      <c r="V35" s="1463">
        <v>7.5700000000000003E-2</v>
      </c>
      <c r="W35" s="1463">
        <v>7.5700000000000003E-2</v>
      </c>
      <c r="X35" s="1463">
        <v>7.5700000000000003E-2</v>
      </c>
      <c r="Y35" s="1463">
        <v>7.5700000000000003E-2</v>
      </c>
      <c r="Z35" s="1463">
        <v>7.5700000000000003E-2</v>
      </c>
      <c r="AA35" s="1463">
        <v>7.5700000000000003E-2</v>
      </c>
      <c r="AB35" s="1463">
        <v>7.5700000000000003E-2</v>
      </c>
      <c r="AC35" s="1463">
        <v>7.5700000000000003E-2</v>
      </c>
      <c r="AD35" s="1463">
        <v>7.5700000000000003E-2</v>
      </c>
      <c r="AF35" s="1463">
        <f>IFERROR(1-AF73/AF67*AF75/AF69,0)</f>
        <v>8.8872722742684429E-2</v>
      </c>
      <c r="AG35" s="1463">
        <f t="shared" ref="AG35:AK35" si="70">IFERROR(1-AG73/AG67*AG75/AG69,0)</f>
        <v>0.11223436551478672</v>
      </c>
      <c r="AH35" s="1463">
        <f t="shared" si="70"/>
        <v>0.11630719690219404</v>
      </c>
      <c r="AI35" s="1463">
        <f t="shared" si="70"/>
        <v>0.1143269740255457</v>
      </c>
      <c r="AJ35" s="1463">
        <f t="shared" si="70"/>
        <v>0.11373144878313557</v>
      </c>
      <c r="AK35" s="1463">
        <f t="shared" si="70"/>
        <v>0.11490082013557468</v>
      </c>
      <c r="AL35" s="1463">
        <f t="shared" ref="AL35" si="71">IFERROR(1-AL73/AL67*AL75/AL69,0)</f>
        <v>0.11642259516695308</v>
      </c>
      <c r="AM35" s="1463">
        <f t="shared" ref="AM35:AN35" si="72">IFERROR(1-AM73/AM67*AM75/AM69,0)</f>
        <v>0.11932363460063689</v>
      </c>
      <c r="AN35" s="1463">
        <f t="shared" si="72"/>
        <v>0.11918039307289841</v>
      </c>
      <c r="AO35" s="1463">
        <f t="shared" ref="AO35:AP35" si="73">IFERROR(1-AO73/AO67*AO75/AO69,0)</f>
        <v>0.12278249697197952</v>
      </c>
      <c r="AP35" s="1463">
        <f t="shared" si="73"/>
        <v>0.12202442831007021</v>
      </c>
      <c r="AQ35" s="1463">
        <f t="shared" ref="AQ35" si="74">IFERROR(1-AQ73/AQ67*AQ75/AQ69,0)</f>
        <v>0.12269221012043108</v>
      </c>
      <c r="AR35" s="1463"/>
      <c r="AT35" s="1463"/>
      <c r="AU35" s="1463"/>
      <c r="AV35" s="1463"/>
      <c r="AW35" s="1463"/>
      <c r="AX35" s="1463"/>
      <c r="AY35" s="1463"/>
      <c r="AZ35" s="1463"/>
      <c r="BA35" s="1463"/>
      <c r="BB35" s="1463"/>
      <c r="BC35" s="1463"/>
      <c r="BD35" s="1463"/>
      <c r="BE35" s="1463"/>
      <c r="BF35" s="1463"/>
      <c r="BH35" s="1463">
        <f>IFERROR(1-BH73/BH67*BH75/BH69,0)</f>
        <v>0.11893244522889579</v>
      </c>
      <c r="BI35" s="1463">
        <f>IFERROR(1-BI73/BI67*BI75/BI69,0)</f>
        <v>0.12642533547976098</v>
      </c>
      <c r="BJ35" s="1463">
        <f>IFERROR(1-BJ73/BJ67*BJ75/BJ69,0)</f>
        <v>0.12993578598577404</v>
      </c>
      <c r="BK35" s="1463">
        <f>IFERROR(1-BK73/BK67*BK75/BK69,0)</f>
        <v>0.12938261684407648</v>
      </c>
      <c r="BL35" s="1463">
        <f t="shared" ref="BL35:BR35" si="75">IFERROR(1-BL73/BL67*BL75/BL69,0)</f>
        <v>0.12554284321030196</v>
      </c>
      <c r="BM35" s="1463">
        <f t="shared" si="75"/>
        <v>0.12554284321030196</v>
      </c>
      <c r="BN35" s="1463">
        <f t="shared" si="75"/>
        <v>0.12554284321030196</v>
      </c>
      <c r="BO35" s="1463">
        <f t="shared" si="75"/>
        <v>0.12554284321030196</v>
      </c>
      <c r="BP35" s="1463">
        <f t="shared" si="75"/>
        <v>0.12554284321030196</v>
      </c>
      <c r="BQ35" s="1463">
        <f t="shared" si="75"/>
        <v>0.12554284321030196</v>
      </c>
      <c r="BR35" s="1463">
        <f t="shared" si="75"/>
        <v>0.12554284321030196</v>
      </c>
      <c r="BS35" s="1463"/>
      <c r="BT35" s="1463"/>
    </row>
    <row r="36" spans="1:74">
      <c r="A36" s="1044" t="s">
        <v>488</v>
      </c>
      <c r="B36" s="1044"/>
      <c r="D36" s="1463">
        <v>0.20313208635959623</v>
      </c>
      <c r="E36" s="1463">
        <v>0.22356849672311419</v>
      </c>
      <c r="F36" s="1463">
        <v>0.20166795743273824</v>
      </c>
      <c r="G36" s="1463">
        <v>0.21863099313553458</v>
      </c>
      <c r="H36" s="1463">
        <v>0.21629600697511087</v>
      </c>
      <c r="I36" s="1463">
        <v>0.21343309793389786</v>
      </c>
      <c r="J36" s="1463">
        <v>0.2083073858180422</v>
      </c>
      <c r="K36" s="1463">
        <v>0.20458360474095205</v>
      </c>
      <c r="L36" s="1463">
        <v>0.20144001198963069</v>
      </c>
      <c r="M36" s="1463">
        <v>0.18776437600137286</v>
      </c>
      <c r="N36" s="1463">
        <v>0.17606794429358785</v>
      </c>
      <c r="O36" s="1463">
        <v>0.17423786599796176</v>
      </c>
      <c r="P36" s="1463"/>
      <c r="R36" s="1463">
        <v>0.14452271993631954</v>
      </c>
      <c r="S36" s="1463">
        <v>0.14452271993631954</v>
      </c>
      <c r="T36" s="1463">
        <v>0.14452271993631954</v>
      </c>
      <c r="U36" s="1463">
        <v>0.14452271993631954</v>
      </c>
      <c r="V36" s="1463">
        <v>0.14452271993631954</v>
      </c>
      <c r="W36" s="1463">
        <v>0.14452271993631954</v>
      </c>
      <c r="X36" s="1463">
        <v>0.14452271993631954</v>
      </c>
      <c r="Y36" s="1463">
        <v>0.14452271993631954</v>
      </c>
      <c r="Z36" s="1463">
        <v>0.14452271993631954</v>
      </c>
      <c r="AA36" s="1463">
        <v>0.14452271993631954</v>
      </c>
      <c r="AB36" s="1463">
        <v>0.14452271993631954</v>
      </c>
      <c r="AC36" s="1463">
        <v>0.14452271993631954</v>
      </c>
      <c r="AD36" s="1463">
        <v>0.14452271993631954</v>
      </c>
      <c r="AF36" s="1464">
        <f>0.0783421898109457+10%+N("dự án EPR")</f>
        <v>0.17834218981094571</v>
      </c>
      <c r="AG36" s="1464">
        <f>10.1268676824223%+10%+N("dự án EPR")</f>
        <v>0.201268676824223</v>
      </c>
      <c r="AH36" s="1464">
        <f>0.0990862861414898+10%+N("dự án EPR")</f>
        <v>0.19908628614148982</v>
      </c>
      <c r="AI36" s="1464">
        <f>10.3598468635858%+10%+N("dự án EPR")</f>
        <v>0.20359846863585801</v>
      </c>
      <c r="AJ36" s="1463">
        <v>0.10001087873363579</v>
      </c>
      <c r="AK36" s="1463">
        <v>0.10546771245462083</v>
      </c>
      <c r="AL36" s="1463">
        <v>9.4480127258770308E-2</v>
      </c>
      <c r="AM36" s="1463">
        <v>8.7788805195078923E-2</v>
      </c>
      <c r="AN36" s="1463">
        <v>8.4963489510798351E-2</v>
      </c>
      <c r="AO36" s="1463">
        <v>8.5987164241532188E-2</v>
      </c>
      <c r="AP36" s="1463">
        <v>9.1870692500792384E-2</v>
      </c>
      <c r="AQ36" s="1463">
        <v>0.10074054604863036</v>
      </c>
      <c r="AR36" s="1463"/>
      <c r="AT36" s="1463"/>
      <c r="AU36" s="1463"/>
      <c r="AV36" s="1463"/>
      <c r="AW36" s="1463"/>
      <c r="AX36" s="1463"/>
      <c r="AY36" s="1463"/>
      <c r="AZ36" s="1463"/>
      <c r="BA36" s="1463"/>
      <c r="BB36" s="1463"/>
      <c r="BC36" s="1463"/>
      <c r="BD36" s="1463"/>
      <c r="BE36" s="1463"/>
      <c r="BF36" s="1463"/>
      <c r="BH36" s="1463"/>
      <c r="BI36" s="1463"/>
      <c r="BJ36" s="1463"/>
      <c r="BK36" s="1463"/>
      <c r="BL36" s="1463"/>
      <c r="BM36" s="1463"/>
      <c r="BN36" s="1463"/>
      <c r="BO36" s="1463"/>
      <c r="BP36" s="1463"/>
      <c r="BQ36" s="1463"/>
      <c r="BR36" s="1463"/>
      <c r="BS36" s="1463"/>
      <c r="BT36" s="1463"/>
    </row>
    <row r="37" spans="1:74">
      <c r="A37" s="1044" t="s">
        <v>489</v>
      </c>
      <c r="B37" s="1044"/>
      <c r="D37" s="1463"/>
      <c r="E37" s="1463"/>
      <c r="F37" s="1463"/>
      <c r="G37" s="1463"/>
      <c r="H37" s="1463"/>
      <c r="I37" s="1463"/>
      <c r="J37" s="1463"/>
      <c r="K37" s="1463"/>
      <c r="L37" s="1463"/>
      <c r="M37" s="1463"/>
      <c r="N37" s="1463"/>
      <c r="O37" s="1463"/>
      <c r="P37" s="1463"/>
      <c r="R37" s="1463"/>
      <c r="S37" s="1463"/>
      <c r="T37" s="1463"/>
      <c r="U37" s="1463"/>
      <c r="V37" s="1463"/>
      <c r="W37" s="1463"/>
      <c r="X37" s="1463"/>
      <c r="Y37" s="1463"/>
      <c r="Z37" s="1463"/>
      <c r="AA37" s="1463"/>
      <c r="AB37" s="1463"/>
      <c r="AC37" s="1463"/>
      <c r="AD37" s="1463"/>
      <c r="AF37" s="1463"/>
      <c r="AG37" s="1463"/>
      <c r="AH37" s="1463"/>
      <c r="AI37" s="1463"/>
      <c r="AJ37" s="1463"/>
      <c r="AK37" s="1463"/>
      <c r="AL37" s="1463"/>
      <c r="AM37" s="1463"/>
      <c r="AN37" s="1463"/>
      <c r="AO37" s="1463"/>
      <c r="AP37" s="1463"/>
      <c r="AQ37" s="1463"/>
      <c r="AR37" s="1463"/>
      <c r="AT37" s="1463"/>
      <c r="AU37" s="1463"/>
      <c r="AV37" s="1463"/>
      <c r="AW37" s="1463"/>
      <c r="AX37" s="1463"/>
      <c r="AY37" s="1463"/>
      <c r="AZ37" s="1463"/>
      <c r="BA37" s="1463"/>
      <c r="BB37" s="1463"/>
      <c r="BC37" s="1463"/>
      <c r="BD37" s="1463"/>
      <c r="BE37" s="1463"/>
      <c r="BF37" s="1463"/>
      <c r="BH37" s="1463"/>
      <c r="BI37" s="1463"/>
      <c r="BJ37" s="1463"/>
      <c r="BK37" s="1463"/>
      <c r="BL37" s="1463"/>
      <c r="BM37" s="1463"/>
      <c r="BN37" s="1463"/>
      <c r="BO37" s="1463"/>
      <c r="BP37" s="1463"/>
      <c r="BQ37" s="1463"/>
      <c r="BR37" s="1463"/>
      <c r="BS37" s="1463"/>
      <c r="BT37" s="1463"/>
    </row>
    <row r="40" spans="1:74" s="1283" customFormat="1">
      <c r="A40" s="1283" t="s">
        <v>920</v>
      </c>
      <c r="D40" s="1284">
        <f t="shared" ref="D40:P40" si="76">(D28*D10+D29*D11)/(D10+D11)</f>
        <v>0.11838063477045613</v>
      </c>
      <c r="E40" s="1284">
        <f t="shared" si="76"/>
        <v>0.13010242284900084</v>
      </c>
      <c r="F40" s="1284">
        <f t="shared" si="76"/>
        <v>0.11279569649043888</v>
      </c>
      <c r="G40" s="1284">
        <f t="shared" si="76"/>
        <v>9.9712566300296443E-2</v>
      </c>
      <c r="H40" s="1284">
        <f t="shared" si="76"/>
        <v>0.10748289277187401</v>
      </c>
      <c r="I40" s="1284">
        <f t="shared" si="76"/>
        <v>0.10659837045004818</v>
      </c>
      <c r="J40" s="1284">
        <f t="shared" si="76"/>
        <v>9.4510964570526157E-2</v>
      </c>
      <c r="K40" s="1284">
        <f t="shared" si="76"/>
        <v>0.12123972057817702</v>
      </c>
      <c r="L40" s="1284">
        <f t="shared" si="76"/>
        <v>0.10473489225068608</v>
      </c>
      <c r="M40" s="1284">
        <f t="shared" si="76"/>
        <v>0.11441434213639302</v>
      </c>
      <c r="N40" s="1284">
        <f t="shared" si="76"/>
        <v>0.11169805627221821</v>
      </c>
      <c r="O40" s="1284">
        <f t="shared" si="76"/>
        <v>0.13006602007741197</v>
      </c>
      <c r="P40" s="1284">
        <f t="shared" si="76"/>
        <v>0.1092811709419776</v>
      </c>
      <c r="R40" s="1284">
        <f t="shared" ref="R40:AD40" si="77">(R28*R10+R29*R11)/(R10+R11)</f>
        <v>0.11746753926701571</v>
      </c>
      <c r="S40" s="1284">
        <f t="shared" si="77"/>
        <v>0.11538955223880597</v>
      </c>
      <c r="T40" s="1284">
        <f t="shared" si="77"/>
        <v>0.11302457627118644</v>
      </c>
      <c r="U40" s="1284">
        <f t="shared" si="77"/>
        <v>0.11302457627118644</v>
      </c>
      <c r="V40" s="1284">
        <f t="shared" si="77"/>
        <v>0.11302457627118644</v>
      </c>
      <c r="W40" s="1284">
        <f t="shared" si="77"/>
        <v>0.11302457627118644</v>
      </c>
      <c r="X40" s="1284">
        <f t="shared" si="77"/>
        <v>0.11302457627118644</v>
      </c>
      <c r="Y40" s="1284">
        <f t="shared" si="77"/>
        <v>0.11302457627118644</v>
      </c>
      <c r="Z40" s="1284">
        <f t="shared" si="77"/>
        <v>0.11302457627118644</v>
      </c>
      <c r="AA40" s="1284">
        <f t="shared" si="77"/>
        <v>0.11302457627118644</v>
      </c>
      <c r="AB40" s="1284">
        <f t="shared" si="77"/>
        <v>0.11302457627118644</v>
      </c>
      <c r="AC40" s="1284">
        <f t="shared" si="77"/>
        <v>0.11302457627118644</v>
      </c>
      <c r="AD40" s="1284">
        <f t="shared" si="77"/>
        <v>0.11350566860465117</v>
      </c>
      <c r="AF40" s="1284">
        <f>(AF28*AF10+AF29*AF11)/(AF10+AF11)</f>
        <v>0.16518858040226514</v>
      </c>
      <c r="AG40" s="1284">
        <f t="shared" ref="AG40:AL40" si="78">(AG28*AG10+AG29*AG11)/(AG10+AG11)</f>
        <v>0.21663162615316789</v>
      </c>
      <c r="AH40" s="1284">
        <f t="shared" si="78"/>
        <v>0.14316440723250298</v>
      </c>
      <c r="AI40" s="1284">
        <f t="shared" si="78"/>
        <v>0.14608560406202284</v>
      </c>
      <c r="AJ40" s="1284">
        <f t="shared" si="78"/>
        <v>0.13269045802505433</v>
      </c>
      <c r="AK40" s="1284">
        <f t="shared" si="78"/>
        <v>0.16058546449414121</v>
      </c>
      <c r="AL40" s="1284">
        <f t="shared" si="78"/>
        <v>0.17529832732618419</v>
      </c>
      <c r="AM40" s="1284">
        <f t="shared" ref="AM40:AQ40" si="79">(AM28*AM10+AM29*AM11)/(AM10+AM11)</f>
        <v>0.1868322707022203</v>
      </c>
      <c r="AN40" s="1284">
        <f t="shared" si="79"/>
        <v>0.2037028691514492</v>
      </c>
      <c r="AO40" s="1284">
        <f t="shared" si="79"/>
        <v>0.23146366680893365</v>
      </c>
      <c r="AP40" s="1284">
        <f t="shared" si="79"/>
        <v>0.1737460193219991</v>
      </c>
      <c r="AQ40" s="1284">
        <f t="shared" si="79"/>
        <v>0.18118378857031364</v>
      </c>
      <c r="AR40" s="1284">
        <f t="shared" ref="AR40" si="80">(AR28*AR10+AR29*AR11)/(AR10+AR11)</f>
        <v>0.17854126157267686</v>
      </c>
      <c r="AT40" s="1284">
        <f t="shared" ref="AT40:BE40" si="81">IFERROR((AT28*AT10+AT29*AT11)/(AT10+AT11),0)</f>
        <v>0.18356333946503653</v>
      </c>
      <c r="AU40" s="1284">
        <f t="shared" si="81"/>
        <v>0.18206446036339927</v>
      </c>
      <c r="AV40" s="1284">
        <f t="shared" si="81"/>
        <v>0.18356333946503653</v>
      </c>
      <c r="AW40" s="1284">
        <f t="shared" si="81"/>
        <v>0.18356333946503653</v>
      </c>
      <c r="AX40" s="1284">
        <f t="shared" si="81"/>
        <v>0.18356333946503653</v>
      </c>
      <c r="AY40" s="1284">
        <f t="shared" si="81"/>
        <v>0.18356333946503653</v>
      </c>
      <c r="AZ40" s="1284">
        <f t="shared" si="81"/>
        <v>0.18356333946503653</v>
      </c>
      <c r="BA40" s="1284">
        <f t="shared" si="81"/>
        <v>0.18356333946503653</v>
      </c>
      <c r="BB40" s="1284">
        <f t="shared" si="81"/>
        <v>0.18356333946503653</v>
      </c>
      <c r="BC40" s="1284">
        <f t="shared" si="81"/>
        <v>0.18356333946503653</v>
      </c>
      <c r="BD40" s="1284">
        <f t="shared" si="81"/>
        <v>0.18356333946503653</v>
      </c>
      <c r="BE40" s="1284">
        <f t="shared" si="81"/>
        <v>0.18356333946503653</v>
      </c>
      <c r="BF40" s="1284">
        <f t="shared" ref="BF40" si="82">IFERROR((BF28*BF10+BF29*BF11)/(BF10+BF11),0)</f>
        <v>0.18346001359328315</v>
      </c>
      <c r="BH40" s="1284">
        <f>(BH28*BH10+BH29*BH11)/(BH10+BH11)</f>
        <v>0.160893589119707</v>
      </c>
      <c r="BI40" s="1284">
        <f t="shared" ref="BI40:BT40" si="83">(BI28*BI10+BI29*BI11)/(BI10+BI11)</f>
        <v>0.18684979050171074</v>
      </c>
      <c r="BJ40" s="1284">
        <f t="shared" si="83"/>
        <v>0.19086287403688398</v>
      </c>
      <c r="BK40" s="1284">
        <f t="shared" si="83"/>
        <v>0.18146486346264087</v>
      </c>
      <c r="BL40" s="1284">
        <f t="shared" si="83"/>
        <v>0.1640629462833289</v>
      </c>
      <c r="BM40" s="1284" t="e">
        <f t="shared" si="83"/>
        <v>#DIV/0!</v>
      </c>
      <c r="BN40" s="1284" t="e">
        <f t="shared" si="83"/>
        <v>#DIV/0!</v>
      </c>
      <c r="BO40" s="1284" t="e">
        <f t="shared" si="83"/>
        <v>#DIV/0!</v>
      </c>
      <c r="BP40" s="1284" t="e">
        <f t="shared" si="83"/>
        <v>#DIV/0!</v>
      </c>
      <c r="BQ40" s="1284" t="e">
        <f t="shared" si="83"/>
        <v>#DIV/0!</v>
      </c>
      <c r="BR40" s="1284" t="e">
        <f t="shared" si="83"/>
        <v>#DIV/0!</v>
      </c>
      <c r="BS40" s="1284" t="e">
        <f t="shared" si="83"/>
        <v>#DIV/0!</v>
      </c>
      <c r="BT40" s="1284">
        <f t="shared" si="83"/>
        <v>0.17635199351359182</v>
      </c>
    </row>
    <row r="42" spans="1:74" ht="15" thickBot="1"/>
    <row r="43" spans="1:74" s="1265" customFormat="1" ht="15" thickTop="1"/>
    <row r="44" spans="1:74" s="1268" customFormat="1" ht="17">
      <c r="A44" s="1268" t="s">
        <v>911</v>
      </c>
    </row>
    <row r="46" spans="1:74" s="1275" customFormat="1" ht="16">
      <c r="A46" s="1275" t="s">
        <v>913</v>
      </c>
      <c r="D46" s="1276"/>
      <c r="E46" s="1276"/>
      <c r="F46" s="1276"/>
      <c r="G46" s="1276"/>
      <c r="H46" s="1276"/>
      <c r="I46" s="1276"/>
      <c r="J46" s="1276"/>
      <c r="K46" s="1276"/>
      <c r="L46" s="1276"/>
      <c r="M46" s="1276"/>
      <c r="N46" s="1276"/>
      <c r="O46" s="1276"/>
      <c r="P46" s="1276"/>
    </row>
    <row r="47" spans="1:74">
      <c r="A47" s="1044" t="s">
        <v>1066</v>
      </c>
      <c r="B47" s="1044" t="s">
        <v>496</v>
      </c>
      <c r="D47" s="1269">
        <v>744074.56034000008</v>
      </c>
      <c r="E47" s="1269">
        <v>652258.99988000002</v>
      </c>
      <c r="F47" s="1269">
        <v>831327.82000000007</v>
      </c>
      <c r="G47" s="1269">
        <v>756387.55143999995</v>
      </c>
      <c r="H47" s="1269">
        <v>924212.22832000011</v>
      </c>
      <c r="I47" s="1269">
        <v>1150470.4796199999</v>
      </c>
      <c r="J47" s="1269">
        <v>742109.31829999993</v>
      </c>
      <c r="K47" s="1269">
        <v>604217.73430000001</v>
      </c>
      <c r="L47" s="1269">
        <v>594332.89299999992</v>
      </c>
      <c r="M47" s="1269">
        <v>599162.02020000003</v>
      </c>
      <c r="N47" s="1269">
        <v>714774.20358000009</v>
      </c>
      <c r="O47" s="1269">
        <v>392773.50147999998</v>
      </c>
      <c r="P47" s="1273">
        <f>SUM(D47:O47)</f>
        <v>8706101.3104600012</v>
      </c>
      <c r="R47" s="1044"/>
      <c r="S47" s="1044"/>
      <c r="T47" s="1044"/>
      <c r="U47" s="1044"/>
      <c r="V47" s="1044"/>
      <c r="W47" s="1044"/>
      <c r="X47" s="1044"/>
      <c r="Y47" s="1044"/>
      <c r="Z47" s="1044"/>
      <c r="AA47" s="1044"/>
      <c r="AB47" s="1044"/>
      <c r="AC47" s="1044"/>
      <c r="AD47" s="1044"/>
      <c r="AF47" s="1269">
        <v>798194.19901999994</v>
      </c>
      <c r="AG47" s="1269">
        <v>884619.62864000024</v>
      </c>
      <c r="AH47" s="1269">
        <v>277433</v>
      </c>
      <c r="AI47" s="1269">
        <v>837893.9994600002</v>
      </c>
      <c r="AJ47" s="1269">
        <v>629780.1777</v>
      </c>
      <c r="AK47" s="1269">
        <v>1062914.6714399999</v>
      </c>
      <c r="AL47" s="1269">
        <v>860644.64163999981</v>
      </c>
      <c r="AM47" s="1269">
        <v>1023490.9396099998</v>
      </c>
      <c r="AN47" s="1269">
        <v>424182.99993999995</v>
      </c>
      <c r="AO47" s="1269">
        <v>3146280.1382099995</v>
      </c>
      <c r="AP47" s="1269">
        <v>1053120.2399600002</v>
      </c>
      <c r="AQ47" s="1269">
        <v>1186232.4019099995</v>
      </c>
      <c r="AR47" s="1273">
        <f>SUM(AF47:AQ47)</f>
        <v>12184787.037529998</v>
      </c>
      <c r="AT47" s="1455"/>
      <c r="AU47" s="1455"/>
      <c r="AV47" s="1455"/>
      <c r="AW47" s="1455"/>
      <c r="AX47" s="1455"/>
      <c r="AY47" s="1455"/>
      <c r="AZ47" s="1455"/>
      <c r="BA47" s="1455"/>
      <c r="BB47" s="1455"/>
      <c r="BC47" s="1455"/>
      <c r="BD47" s="1455"/>
      <c r="BE47" s="1455"/>
      <c r="BF47" s="1456">
        <f>SUM(AT47:BE47)</f>
        <v>0</v>
      </c>
      <c r="BH47" s="1269">
        <v>814476.03966999985</v>
      </c>
      <c r="BI47" s="1269">
        <v>474879.00051000004</v>
      </c>
      <c r="BJ47" s="1269">
        <v>1087877.0003899999</v>
      </c>
      <c r="BK47" s="1269">
        <v>883562.99957999983</v>
      </c>
      <c r="BL47" s="1269">
        <v>871944.00018999993</v>
      </c>
      <c r="BM47" s="1269"/>
      <c r="BN47" s="1269"/>
      <c r="BO47" s="1269"/>
      <c r="BP47" s="1269"/>
      <c r="BQ47" s="1269"/>
      <c r="BR47" s="1269"/>
      <c r="BS47" s="1269"/>
      <c r="BT47" s="1273">
        <f>SUM(BH47:BS47)</f>
        <v>4132739.0403399998</v>
      </c>
      <c r="BV47" s="144"/>
    </row>
    <row r="48" spans="1:74">
      <c r="A48" s="1044" t="s">
        <v>1068</v>
      </c>
      <c r="B48" s="1044" t="s">
        <v>496</v>
      </c>
      <c r="D48" s="1269">
        <v>4446635.9999999991</v>
      </c>
      <c r="E48" s="1269">
        <v>2870042.5</v>
      </c>
      <c r="F48" s="1269">
        <v>4378484.0000000019</v>
      </c>
      <c r="G48" s="1269">
        <v>1687224.9999999998</v>
      </c>
      <c r="H48" s="1269">
        <v>4631156.0000000009</v>
      </c>
      <c r="I48" s="1269">
        <v>5259288.9400000004</v>
      </c>
      <c r="J48" s="1269">
        <v>2476382.29</v>
      </c>
      <c r="K48" s="1269">
        <v>2791727.7600000012</v>
      </c>
      <c r="L48" s="1269">
        <v>2986259.3999999985</v>
      </c>
      <c r="M48" s="1269">
        <v>4049362.44</v>
      </c>
      <c r="N48" s="1269">
        <v>4281164.9999999991</v>
      </c>
      <c r="O48" s="1269">
        <v>4436479.0000000028</v>
      </c>
      <c r="P48" s="1273">
        <f t="shared" ref="P48:P50" si="84">SUM(D48:O48)</f>
        <v>44294208.329999998</v>
      </c>
      <c r="R48" s="1044"/>
      <c r="S48" s="1044"/>
      <c r="T48" s="1044"/>
      <c r="U48" s="1044"/>
      <c r="V48" s="1044"/>
      <c r="W48" s="1044"/>
      <c r="X48" s="1044"/>
      <c r="Y48" s="1044"/>
      <c r="Z48" s="1044"/>
      <c r="AA48" s="1044"/>
      <c r="AB48" s="1044"/>
      <c r="AC48" s="1044"/>
      <c r="AD48" s="1044"/>
      <c r="AF48" s="1269">
        <v>2211197.9999999991</v>
      </c>
      <c r="AG48" s="1269">
        <v>2648393.0000000009</v>
      </c>
      <c r="AH48" s="1269">
        <v>2254747.7699999986</v>
      </c>
      <c r="AI48" s="1269">
        <v>4779357.3280000007</v>
      </c>
      <c r="AJ48" s="1269">
        <v>3419254.0000000005</v>
      </c>
      <c r="AK48" s="1269">
        <v>4082997.0000000023</v>
      </c>
      <c r="AL48" s="1269">
        <v>3409739.6720000003</v>
      </c>
      <c r="AM48" s="1269">
        <v>3816473.0000000019</v>
      </c>
      <c r="AN48" s="1269">
        <v>2504006.9999999977</v>
      </c>
      <c r="AO48" s="1269">
        <v>5259589.0000000019</v>
      </c>
      <c r="AP48" s="1269">
        <v>3547303.9999999986</v>
      </c>
      <c r="AQ48" s="1269">
        <v>3846162.9999999986</v>
      </c>
      <c r="AR48" s="1273">
        <f t="shared" ref="AR48:AR50" si="85">SUM(AF48:AQ48)</f>
        <v>41779222.770000003</v>
      </c>
      <c r="AT48" s="1455"/>
      <c r="AU48" s="1455"/>
      <c r="AV48" s="1455"/>
      <c r="AW48" s="1455"/>
      <c r="AX48" s="1455"/>
      <c r="AY48" s="1455"/>
      <c r="AZ48" s="1455"/>
      <c r="BA48" s="1455"/>
      <c r="BB48" s="1455"/>
      <c r="BC48" s="1455"/>
      <c r="BD48" s="1455"/>
      <c r="BE48" s="1455"/>
      <c r="BF48" s="1456">
        <f t="shared" ref="BF48:BF50" si="86">SUM(AT48:BE48)</f>
        <v>0</v>
      </c>
      <c r="BH48" s="1269">
        <v>2316307.0000000009</v>
      </c>
      <c r="BI48" s="1269">
        <v>1781070.9999999998</v>
      </c>
      <c r="BJ48" s="1269">
        <v>3253076.0000000019</v>
      </c>
      <c r="BK48" s="1269">
        <v>4218624.0000000009</v>
      </c>
      <c r="BL48" s="1269">
        <v>3806848</v>
      </c>
      <c r="BM48" s="1269"/>
      <c r="BN48" s="1269"/>
      <c r="BO48" s="1269"/>
      <c r="BP48" s="1269"/>
      <c r="BQ48" s="1269"/>
      <c r="BR48" s="1269"/>
      <c r="BS48" s="1269"/>
      <c r="BT48" s="1273">
        <f t="shared" ref="BT48:BT50" si="87">SUM(BH48:BS48)</f>
        <v>15375926.000000004</v>
      </c>
    </row>
    <row r="49" spans="1:76" s="1271" customFormat="1">
      <c r="A49" s="1270" t="s">
        <v>1067</v>
      </c>
      <c r="B49" s="1270" t="s">
        <v>496</v>
      </c>
      <c r="D49" s="1272"/>
      <c r="E49" s="1272">
        <v>199345</v>
      </c>
      <c r="F49" s="1272">
        <v>226824</v>
      </c>
      <c r="G49" s="1272">
        <v>102545</v>
      </c>
      <c r="H49" s="1272">
        <v>191956</v>
      </c>
      <c r="I49" s="1272"/>
      <c r="J49" s="1272">
        <v>750763.31600000011</v>
      </c>
      <c r="K49" s="1272">
        <v>254837</v>
      </c>
      <c r="L49" s="1272">
        <v>105540</v>
      </c>
      <c r="M49" s="1272">
        <v>539007</v>
      </c>
      <c r="N49" s="1272">
        <v>1042067.1839999998</v>
      </c>
      <c r="O49" s="1272">
        <v>644500</v>
      </c>
      <c r="P49" s="1274">
        <f t="shared" si="84"/>
        <v>4057384.5</v>
      </c>
      <c r="R49" s="1270"/>
      <c r="S49" s="1270"/>
      <c r="T49" s="1270"/>
      <c r="U49" s="1270"/>
      <c r="V49" s="1270"/>
      <c r="W49" s="1270"/>
      <c r="X49" s="1270"/>
      <c r="Y49" s="1270"/>
      <c r="Z49" s="1270"/>
      <c r="AA49" s="1270"/>
      <c r="AB49" s="1270"/>
      <c r="AC49" s="1270"/>
      <c r="AD49" s="1270"/>
      <c r="AF49" s="1272">
        <v>666608</v>
      </c>
      <c r="AG49" s="1272">
        <v>266980</v>
      </c>
      <c r="AH49" s="1272">
        <v>881768.00000000012</v>
      </c>
      <c r="AI49" s="1272">
        <v>1030723.328</v>
      </c>
      <c r="AJ49" s="1272">
        <v>1131546</v>
      </c>
      <c r="AK49" s="1272">
        <v>1646227.4290000002</v>
      </c>
      <c r="AL49" s="1272">
        <v>1249905.9999999998</v>
      </c>
      <c r="AM49" s="1272">
        <v>1172503.0000000002</v>
      </c>
      <c r="AN49" s="1272">
        <v>1066160</v>
      </c>
      <c r="AO49" s="1272">
        <v>2124915.0000000005</v>
      </c>
      <c r="AP49" s="1272">
        <v>366403</v>
      </c>
      <c r="AQ49" s="1272">
        <v>587496.99999999988</v>
      </c>
      <c r="AR49" s="1274">
        <f t="shared" si="85"/>
        <v>12191236.756999999</v>
      </c>
      <c r="AT49" s="1457"/>
      <c r="AU49" s="1457"/>
      <c r="AV49" s="1457"/>
      <c r="AW49" s="1457"/>
      <c r="AX49" s="1457"/>
      <c r="AY49" s="1457"/>
      <c r="AZ49" s="1457"/>
      <c r="BA49" s="1457"/>
      <c r="BB49" s="1457"/>
      <c r="BC49" s="1457"/>
      <c r="BD49" s="1457"/>
      <c r="BE49" s="1457"/>
      <c r="BF49" s="1458">
        <f t="shared" si="86"/>
        <v>0</v>
      </c>
      <c r="BH49" s="1272">
        <v>414377.99999999994</v>
      </c>
      <c r="BI49" s="1272">
        <v>397272.00000000006</v>
      </c>
      <c r="BJ49" s="1272">
        <v>865742</v>
      </c>
      <c r="BK49" s="1272">
        <v>1101409.9999999998</v>
      </c>
      <c r="BL49" s="1272">
        <v>1390961.9999999993</v>
      </c>
      <c r="BM49" s="1272"/>
      <c r="BN49" s="1272"/>
      <c r="BO49" s="1272"/>
      <c r="BP49" s="1272"/>
      <c r="BQ49" s="1272"/>
      <c r="BR49" s="1272"/>
      <c r="BS49" s="1272"/>
      <c r="BT49" s="1274">
        <f t="shared" si="87"/>
        <v>4169763.9999999991</v>
      </c>
    </row>
    <row r="50" spans="1:76">
      <c r="A50" s="1044" t="s">
        <v>912</v>
      </c>
      <c r="B50" s="1044" t="s">
        <v>496</v>
      </c>
      <c r="D50" s="1269">
        <v>4611991</v>
      </c>
      <c r="E50" s="1269">
        <v>3142314.5</v>
      </c>
      <c r="F50" s="1269">
        <v>4126162</v>
      </c>
      <c r="G50" s="1269">
        <v>1524220</v>
      </c>
      <c r="H50" s="1269">
        <v>5037683.5999999996</v>
      </c>
      <c r="I50" s="1269">
        <v>4521572.3000000007</v>
      </c>
      <c r="J50" s="1269">
        <v>1330392.8789999997</v>
      </c>
      <c r="K50" s="1269">
        <v>1996451.628</v>
      </c>
      <c r="L50" s="1269">
        <v>3129010.9510000004</v>
      </c>
      <c r="M50" s="1269">
        <v>3560891.5</v>
      </c>
      <c r="N50" s="1269">
        <v>4542259.7549999999</v>
      </c>
      <c r="O50" s="1269">
        <v>3342920.5</v>
      </c>
      <c r="P50" s="1273">
        <f t="shared" si="84"/>
        <v>40865870.613000005</v>
      </c>
      <c r="R50" s="1044"/>
      <c r="S50" s="1044"/>
      <c r="T50" s="1044"/>
      <c r="U50" s="1044"/>
      <c r="V50" s="1044"/>
      <c r="W50" s="1044"/>
      <c r="X50" s="1044"/>
      <c r="Y50" s="1044"/>
      <c r="Z50" s="1044"/>
      <c r="AA50" s="1044"/>
      <c r="AB50" s="1044"/>
      <c r="AC50" s="1044"/>
      <c r="AD50" s="1044"/>
      <c r="AF50" s="1269">
        <v>2099113</v>
      </c>
      <c r="AG50" s="1269">
        <v>2430700</v>
      </c>
      <c r="AH50" s="1269">
        <v>3673149</v>
      </c>
      <c r="AI50" s="1269">
        <v>4976333.5</v>
      </c>
      <c r="AJ50" s="1269">
        <v>3796346.5</v>
      </c>
      <c r="AK50" s="1269">
        <v>4306580.25</v>
      </c>
      <c r="AL50" s="1269">
        <v>4243220.5</v>
      </c>
      <c r="AM50" s="1269">
        <v>4491399.25</v>
      </c>
      <c r="AN50" s="1269">
        <v>3576774</v>
      </c>
      <c r="AO50" s="1269">
        <v>4369292</v>
      </c>
      <c r="AP50" s="1269">
        <v>1825398</v>
      </c>
      <c r="AQ50" s="1269">
        <v>3299245</v>
      </c>
      <c r="AR50" s="1273">
        <f t="shared" si="85"/>
        <v>43087551</v>
      </c>
      <c r="AT50" s="1455"/>
      <c r="AU50" s="1455"/>
      <c r="AV50" s="1455"/>
      <c r="AW50" s="1455"/>
      <c r="AX50" s="1455"/>
      <c r="AY50" s="1455"/>
      <c r="AZ50" s="1455"/>
      <c r="BA50" s="1455"/>
      <c r="BB50" s="1455"/>
      <c r="BC50" s="1455"/>
      <c r="BD50" s="1455"/>
      <c r="BE50" s="1455"/>
      <c r="BF50" s="1456">
        <f t="shared" si="86"/>
        <v>0</v>
      </c>
      <c r="BH50" s="1269">
        <v>2834032</v>
      </c>
      <c r="BI50" s="1269">
        <v>1300350.3</v>
      </c>
      <c r="BJ50" s="1269">
        <v>4319312.0000000056</v>
      </c>
      <c r="BK50" s="1269">
        <v>4255039.9000000032</v>
      </c>
      <c r="BL50" s="1269">
        <v>3313701.5000000023</v>
      </c>
      <c r="BM50" s="1269"/>
      <c r="BN50" s="1269"/>
      <c r="BO50" s="1269"/>
      <c r="BP50" s="1269"/>
      <c r="BQ50" s="1269"/>
      <c r="BR50" s="1269"/>
      <c r="BS50" s="1269"/>
      <c r="BT50" s="1273">
        <f t="shared" si="87"/>
        <v>16022435.700000009</v>
      </c>
    </row>
    <row r="51" spans="1:76">
      <c r="D51" s="143"/>
      <c r="E51" s="143"/>
      <c r="F51" s="143"/>
      <c r="G51" s="143"/>
      <c r="H51" s="143"/>
      <c r="I51" s="143"/>
      <c r="J51" s="143"/>
      <c r="K51" s="143"/>
      <c r="L51" s="143"/>
      <c r="M51" s="143"/>
      <c r="N51" s="143"/>
      <c r="O51" s="143"/>
      <c r="P51" s="143"/>
      <c r="AF51" s="143"/>
      <c r="AG51" s="143"/>
      <c r="AH51" s="143"/>
      <c r="AI51" s="143"/>
      <c r="AJ51" s="143"/>
      <c r="AK51" s="143"/>
      <c r="AL51" s="143"/>
      <c r="AM51" s="143"/>
      <c r="AN51" s="143"/>
      <c r="AO51" s="143"/>
      <c r="AP51" s="143"/>
      <c r="AQ51" s="143"/>
      <c r="AR51" s="143"/>
      <c r="AT51" s="299"/>
      <c r="AU51" s="299"/>
      <c r="AV51" s="299"/>
      <c r="AW51" s="299"/>
      <c r="AX51" s="299"/>
      <c r="AY51" s="299"/>
      <c r="AZ51" s="299"/>
      <c r="BA51" s="299"/>
      <c r="BB51" s="299"/>
      <c r="BC51" s="299"/>
      <c r="BD51" s="299"/>
      <c r="BE51" s="299"/>
      <c r="BF51" s="299"/>
      <c r="BH51" s="143"/>
      <c r="BI51" s="143"/>
      <c r="BJ51" s="143"/>
      <c r="BK51" s="143"/>
      <c r="BL51" s="143"/>
      <c r="BM51" s="143"/>
      <c r="BN51" s="143"/>
      <c r="BO51" s="143"/>
      <c r="BP51" s="143"/>
      <c r="BQ51" s="143"/>
      <c r="BR51" s="143"/>
      <c r="BS51" s="143"/>
      <c r="BT51" s="143"/>
    </row>
    <row r="52" spans="1:76" s="1275" customFormat="1" ht="16">
      <c r="A52" s="1275" t="s">
        <v>914</v>
      </c>
      <c r="D52" s="1276"/>
      <c r="E52" s="1276"/>
      <c r="F52" s="1276"/>
      <c r="G52" s="1276"/>
      <c r="H52" s="1276"/>
      <c r="I52" s="1276"/>
      <c r="J52" s="1276"/>
      <c r="K52" s="1276"/>
      <c r="L52" s="1276"/>
      <c r="M52" s="1276"/>
      <c r="N52" s="1276"/>
      <c r="O52" s="1276"/>
      <c r="P52" s="1276"/>
      <c r="AF52" s="1276"/>
      <c r="AG52" s="1276"/>
      <c r="AH52" s="1276"/>
      <c r="AI52" s="1276"/>
      <c r="AJ52" s="1276"/>
      <c r="AK52" s="1276"/>
      <c r="AL52" s="1276"/>
      <c r="AM52" s="1276"/>
      <c r="AN52" s="1276"/>
      <c r="AO52" s="1276"/>
      <c r="AP52" s="1276"/>
      <c r="AQ52" s="1276"/>
      <c r="AR52" s="1276"/>
      <c r="AT52" s="1459"/>
      <c r="AU52" s="1459"/>
      <c r="AV52" s="1459"/>
      <c r="AW52" s="1459"/>
      <c r="AX52" s="1459"/>
      <c r="AY52" s="1459"/>
      <c r="AZ52" s="1459"/>
      <c r="BA52" s="1459"/>
      <c r="BB52" s="1459"/>
      <c r="BC52" s="1459"/>
      <c r="BD52" s="1459"/>
      <c r="BE52" s="1459"/>
      <c r="BF52" s="1459"/>
      <c r="BH52" s="1276"/>
      <c r="BI52" s="1276"/>
      <c r="BJ52" s="1276"/>
      <c r="BK52" s="1276"/>
      <c r="BL52" s="1276"/>
      <c r="BM52" s="1276"/>
      <c r="BN52" s="1276"/>
      <c r="BO52" s="1276"/>
      <c r="BP52" s="1276"/>
      <c r="BQ52" s="1276"/>
      <c r="BR52" s="1276"/>
      <c r="BS52" s="1276"/>
      <c r="BT52" s="1276"/>
    </row>
    <row r="53" spans="1:76">
      <c r="A53" s="1044" t="s">
        <v>1066</v>
      </c>
      <c r="B53" s="1044" t="s">
        <v>496</v>
      </c>
      <c r="D53" s="1269">
        <v>648999.99999999988</v>
      </c>
      <c r="E53" s="1269">
        <v>575195</v>
      </c>
      <c r="F53" s="1269">
        <v>738999.99999999988</v>
      </c>
      <c r="G53" s="1269">
        <v>665508.65905010852</v>
      </c>
      <c r="H53" s="1269">
        <v>832300</v>
      </c>
      <c r="I53" s="1269">
        <v>1040457</v>
      </c>
      <c r="J53" s="1269">
        <v>714500</v>
      </c>
      <c r="K53" s="1269">
        <v>545000</v>
      </c>
      <c r="L53" s="1269">
        <v>530200</v>
      </c>
      <c r="M53" s="1269">
        <v>503678</v>
      </c>
      <c r="N53" s="1269">
        <v>577900</v>
      </c>
      <c r="O53" s="1269">
        <v>318300</v>
      </c>
      <c r="P53" s="1273">
        <f>SUM(D53:O53)</f>
        <v>7691038.6590501089</v>
      </c>
      <c r="R53" s="1044"/>
      <c r="S53" s="1044"/>
      <c r="T53" s="1044"/>
      <c r="U53" s="1044"/>
      <c r="V53" s="1044"/>
      <c r="W53" s="1044"/>
      <c r="X53" s="1044"/>
      <c r="Y53" s="1044"/>
      <c r="Z53" s="1044"/>
      <c r="AA53" s="1044"/>
      <c r="AB53" s="1044"/>
      <c r="AC53" s="1044"/>
      <c r="AD53" s="1044"/>
      <c r="AF53" s="1269">
        <v>621700</v>
      </c>
      <c r="AG53" s="1269">
        <v>717800</v>
      </c>
      <c r="AH53" s="1269">
        <v>234000</v>
      </c>
      <c r="AI53" s="1269">
        <v>710601</v>
      </c>
      <c r="AJ53" s="1269">
        <v>553312.14497390576</v>
      </c>
      <c r="AK53" s="1269">
        <v>909700</v>
      </c>
      <c r="AL53" s="1269">
        <v>753400</v>
      </c>
      <c r="AM53" s="1269">
        <v>892800</v>
      </c>
      <c r="AN53" s="1269">
        <v>367000</v>
      </c>
      <c r="AO53" s="1269">
        <v>2575247</v>
      </c>
      <c r="AP53" s="1269">
        <v>872200</v>
      </c>
      <c r="AQ53" s="1269">
        <v>1023230</v>
      </c>
      <c r="AR53" s="1273">
        <f>SUM(AF53:AQ53)</f>
        <v>10230990.144973906</v>
      </c>
      <c r="AT53" s="1455"/>
      <c r="AU53" s="1455"/>
      <c r="AV53" s="1455"/>
      <c r="AW53" s="1455"/>
      <c r="AX53" s="1455"/>
      <c r="AY53" s="1455"/>
      <c r="AZ53" s="1455"/>
      <c r="BA53" s="1455"/>
      <c r="BB53" s="1455"/>
      <c r="BC53" s="1455"/>
      <c r="BD53" s="1455"/>
      <c r="BE53" s="1455"/>
      <c r="BF53" s="1456">
        <f>SUM(AT53:BE53)</f>
        <v>0</v>
      </c>
      <c r="BH53" s="1269">
        <v>721100</v>
      </c>
      <c r="BI53" s="1269">
        <v>413500</v>
      </c>
      <c r="BJ53" s="1269">
        <v>947515</v>
      </c>
      <c r="BK53" s="1269">
        <v>770600</v>
      </c>
      <c r="BL53" s="1269">
        <v>749100</v>
      </c>
      <c r="BM53" s="1269"/>
      <c r="BN53" s="1269"/>
      <c r="BO53" s="1269"/>
      <c r="BP53" s="1269"/>
      <c r="BQ53" s="1269"/>
      <c r="BR53" s="1269"/>
      <c r="BS53" s="1269"/>
      <c r="BT53" s="1273">
        <f>SUM(BH53:BS53)</f>
        <v>3601815</v>
      </c>
    </row>
    <row r="54" spans="1:76">
      <c r="A54" s="1044" t="s">
        <v>1068</v>
      </c>
      <c r="B54" s="1044" t="s">
        <v>496</v>
      </c>
      <c r="D54" s="1269">
        <v>4226040</v>
      </c>
      <c r="E54" s="1269">
        <v>2694000</v>
      </c>
      <c r="F54" s="1269">
        <v>4134000</v>
      </c>
      <c r="G54" s="1269">
        <v>1600200</v>
      </c>
      <c r="H54" s="1269">
        <v>4408521.2</v>
      </c>
      <c r="I54" s="1269">
        <v>5047500</v>
      </c>
      <c r="J54" s="1269">
        <v>2429200</v>
      </c>
      <c r="K54" s="1269">
        <v>2665090</v>
      </c>
      <c r="L54" s="1269">
        <v>2853500</v>
      </c>
      <c r="M54" s="1269">
        <v>3882315</v>
      </c>
      <c r="N54" s="1269">
        <v>4170602</v>
      </c>
      <c r="O54" s="1269">
        <v>4141701.0140883368</v>
      </c>
      <c r="P54" s="1273">
        <f t="shared" ref="P54:P56" si="88">SUM(D54:O54)</f>
        <v>42252669.214088343</v>
      </c>
      <c r="R54" s="1044"/>
      <c r="S54" s="1044"/>
      <c r="T54" s="1044"/>
      <c r="U54" s="1044"/>
      <c r="V54" s="1044"/>
      <c r="W54" s="1044"/>
      <c r="X54" s="1044"/>
      <c r="Y54" s="1044"/>
      <c r="Z54" s="1044"/>
      <c r="AA54" s="1044"/>
      <c r="AB54" s="1044"/>
      <c r="AC54" s="1044"/>
      <c r="AD54" s="1044"/>
      <c r="AF54" s="1269">
        <v>2083650</v>
      </c>
      <c r="AG54" s="1269">
        <v>2493700</v>
      </c>
      <c r="AH54" s="1269">
        <v>2132800</v>
      </c>
      <c r="AI54" s="1269">
        <v>4532900</v>
      </c>
      <c r="AJ54" s="1269">
        <v>3227200</v>
      </c>
      <c r="AK54" s="1269">
        <v>3834170</v>
      </c>
      <c r="AL54" s="1269">
        <v>3185318.3947645873</v>
      </c>
      <c r="AM54" s="1269">
        <v>3514922.3144189734</v>
      </c>
      <c r="AN54" s="1269">
        <v>2336830.3210538775</v>
      </c>
      <c r="AO54" s="1269">
        <v>4773026.2866761629</v>
      </c>
      <c r="AP54" s="1269">
        <v>3320229.9999999995</v>
      </c>
      <c r="AQ54" s="1269">
        <v>3577312.0996441278</v>
      </c>
      <c r="AR54" s="1273">
        <f t="shared" ref="AR54:AR56" si="89">SUM(AF54:AQ54)</f>
        <v>39012059.416557722</v>
      </c>
      <c r="AT54" s="1455"/>
      <c r="AU54" s="1455"/>
      <c r="AV54" s="1455"/>
      <c r="AW54" s="1455"/>
      <c r="AX54" s="1455"/>
      <c r="AY54" s="1455"/>
      <c r="AZ54" s="1455"/>
      <c r="BA54" s="1455"/>
      <c r="BB54" s="1455"/>
      <c r="BC54" s="1455"/>
      <c r="BD54" s="1455"/>
      <c r="BE54" s="1455"/>
      <c r="BF54" s="1456">
        <f t="shared" ref="BF54:BF56" si="90">SUM(AT54:BE54)</f>
        <v>0</v>
      </c>
      <c r="BH54" s="1269">
        <v>2156400</v>
      </c>
      <c r="BI54" s="1269">
        <v>1625600</v>
      </c>
      <c r="BJ54" s="1269">
        <v>2962580</v>
      </c>
      <c r="BK54" s="1269">
        <v>3849400</v>
      </c>
      <c r="BL54" s="1269">
        <v>3526700</v>
      </c>
      <c r="BM54" s="1269"/>
      <c r="BN54" s="1269"/>
      <c r="BO54" s="1269"/>
      <c r="BP54" s="1269"/>
      <c r="BQ54" s="1269"/>
      <c r="BR54" s="1269"/>
      <c r="BS54" s="1269"/>
      <c r="BT54" s="1273">
        <f t="shared" ref="BT54:BT56" si="91">SUM(BH54:BS54)</f>
        <v>14120680</v>
      </c>
      <c r="BW54" s="290"/>
    </row>
    <row r="55" spans="1:76" s="1271" customFormat="1">
      <c r="A55" s="1270" t="s">
        <v>1067</v>
      </c>
      <c r="B55" s="1270" t="s">
        <v>496</v>
      </c>
      <c r="D55" s="1272"/>
      <c r="E55" s="1272">
        <v>174679</v>
      </c>
      <c r="F55" s="1272">
        <v>214702</v>
      </c>
      <c r="G55" s="1272">
        <v>100813</v>
      </c>
      <c r="H55" s="1272">
        <v>167800</v>
      </c>
      <c r="I55" s="1272"/>
      <c r="J55" s="1272">
        <v>720400</v>
      </c>
      <c r="K55" s="1272">
        <v>244644</v>
      </c>
      <c r="L55" s="1272">
        <v>99340</v>
      </c>
      <c r="M55" s="1272">
        <v>526330</v>
      </c>
      <c r="N55" s="1272">
        <v>988483</v>
      </c>
      <c r="O55" s="1272">
        <v>610384</v>
      </c>
      <c r="P55" s="1274">
        <f t="shared" si="88"/>
        <v>3847575</v>
      </c>
      <c r="R55" s="1270"/>
      <c r="S55" s="1270"/>
      <c r="T55" s="1270"/>
      <c r="U55" s="1270"/>
      <c r="V55" s="1270"/>
      <c r="W55" s="1270"/>
      <c r="X55" s="1270"/>
      <c r="Y55" s="1270"/>
      <c r="Z55" s="1270"/>
      <c r="AA55" s="1270"/>
      <c r="AB55" s="1270"/>
      <c r="AC55" s="1270"/>
      <c r="AD55" s="1270"/>
      <c r="AF55" s="1272">
        <v>581700</v>
      </c>
      <c r="AG55" s="1272">
        <v>236150</v>
      </c>
      <c r="AH55" s="1272">
        <v>814520</v>
      </c>
      <c r="AI55" s="1272">
        <v>921154</v>
      </c>
      <c r="AJ55" s="1272">
        <v>1039188</v>
      </c>
      <c r="AK55" s="1272">
        <v>1455961</v>
      </c>
      <c r="AL55" s="1272">
        <v>1071753</v>
      </c>
      <c r="AM55" s="1272">
        <v>957150</v>
      </c>
      <c r="AN55" s="1272">
        <v>843200</v>
      </c>
      <c r="AO55" s="1272">
        <v>1576100</v>
      </c>
      <c r="AP55" s="1272">
        <v>277000</v>
      </c>
      <c r="AQ55" s="1272">
        <v>488000</v>
      </c>
      <c r="AR55" s="1274">
        <f t="shared" si="89"/>
        <v>10261876</v>
      </c>
      <c r="AT55" s="1272"/>
      <c r="AU55" s="1272"/>
      <c r="AV55" s="1272"/>
      <c r="AW55" s="1272"/>
      <c r="AX55" s="1272"/>
      <c r="AY55" s="1272"/>
      <c r="AZ55" s="1272"/>
      <c r="BA55" s="1272"/>
      <c r="BB55" s="1272"/>
      <c r="BC55" s="1272"/>
      <c r="BD55" s="1272"/>
      <c r="BE55" s="1272"/>
      <c r="BF55" s="1274">
        <f t="shared" si="90"/>
        <v>0</v>
      </c>
      <c r="BH55" s="1272">
        <v>351600</v>
      </c>
      <c r="BI55" s="1272">
        <v>327700</v>
      </c>
      <c r="BJ55" s="1272">
        <v>716000</v>
      </c>
      <c r="BK55" s="1272">
        <v>922600</v>
      </c>
      <c r="BL55" s="1272">
        <v>1125300</v>
      </c>
      <c r="BM55" s="1272"/>
      <c r="BN55" s="1272"/>
      <c r="BO55" s="1272"/>
      <c r="BP55" s="1272"/>
      <c r="BQ55" s="1272"/>
      <c r="BR55" s="1272"/>
      <c r="BS55" s="1272"/>
      <c r="BT55" s="1274">
        <f t="shared" si="91"/>
        <v>3443200</v>
      </c>
    </row>
    <row r="56" spans="1:76">
      <c r="A56" s="1044" t="s">
        <v>912</v>
      </c>
      <c r="B56" s="1044" t="s">
        <v>496</v>
      </c>
      <c r="D56" s="1269">
        <v>4460390</v>
      </c>
      <c r="E56" s="1269">
        <v>3043443</v>
      </c>
      <c r="F56" s="1269">
        <v>3966148</v>
      </c>
      <c r="G56" s="1269">
        <v>1476201</v>
      </c>
      <c r="H56" s="1269">
        <v>4870800</v>
      </c>
      <c r="I56" s="1269">
        <v>4358400</v>
      </c>
      <c r="J56" s="1269">
        <v>1238389</v>
      </c>
      <c r="K56" s="1269">
        <v>1879798</v>
      </c>
      <c r="L56" s="1269">
        <v>3009478</v>
      </c>
      <c r="M56" s="1269">
        <v>3388272.5</v>
      </c>
      <c r="N56" s="1269">
        <v>4302922</v>
      </c>
      <c r="O56" s="1269">
        <v>3195512</v>
      </c>
      <c r="P56" s="1273">
        <f t="shared" si="88"/>
        <v>39189753.5</v>
      </c>
      <c r="R56" s="1044"/>
      <c r="S56" s="1044"/>
      <c r="T56" s="1044"/>
      <c r="U56" s="1044"/>
      <c r="V56" s="1044"/>
      <c r="W56" s="1044"/>
      <c r="X56" s="1044"/>
      <c r="Y56" s="1044"/>
      <c r="Z56" s="1044"/>
      <c r="AA56" s="1044"/>
      <c r="AB56" s="1044"/>
      <c r="AC56" s="1044"/>
      <c r="AD56" s="1044"/>
      <c r="AF56" s="1269">
        <v>2029634</v>
      </c>
      <c r="AG56" s="1269">
        <v>2239740</v>
      </c>
      <c r="AH56" s="1269">
        <v>3416165</v>
      </c>
      <c r="AI56" s="1269">
        <v>4662509</v>
      </c>
      <c r="AJ56" s="1269">
        <v>3573100</v>
      </c>
      <c r="AK56" s="1269">
        <v>4039008</v>
      </c>
      <c r="AL56" s="1269">
        <v>3974650</v>
      </c>
      <c r="AM56" s="1269">
        <v>4210350</v>
      </c>
      <c r="AN56" s="1269">
        <v>3376198</v>
      </c>
      <c r="AO56" s="1269">
        <v>4135575</v>
      </c>
      <c r="AP56" s="1269">
        <v>1739180</v>
      </c>
      <c r="AQ56" s="1269">
        <v>3086200</v>
      </c>
      <c r="AR56" s="1273">
        <f t="shared" si="89"/>
        <v>40482309</v>
      </c>
      <c r="AT56" s="1269"/>
      <c r="AU56" s="1269"/>
      <c r="AV56" s="1269"/>
      <c r="AW56" s="1269"/>
      <c r="AX56" s="1269"/>
      <c r="AY56" s="1269"/>
      <c r="AZ56" s="1269"/>
      <c r="BA56" s="1269"/>
      <c r="BB56" s="1269"/>
      <c r="BC56" s="1269"/>
      <c r="BD56" s="1269"/>
      <c r="BE56" s="1269"/>
      <c r="BF56" s="1273">
        <f t="shared" si="90"/>
        <v>0</v>
      </c>
      <c r="BH56" s="1269">
        <v>2682135.75</v>
      </c>
      <c r="BI56" s="1269">
        <v>1230732</v>
      </c>
      <c r="BJ56" s="1269">
        <v>4103120.9999999991</v>
      </c>
      <c r="BK56" s="1269">
        <v>4066857</v>
      </c>
      <c r="BL56" s="1269">
        <v>3173578</v>
      </c>
      <c r="BM56" s="1269"/>
      <c r="BN56" s="1269"/>
      <c r="BO56" s="1269"/>
      <c r="BP56" s="1269"/>
      <c r="BQ56" s="1269"/>
      <c r="BR56" s="1269"/>
      <c r="BS56" s="1269"/>
      <c r="BT56" s="1273">
        <f t="shared" si="91"/>
        <v>15256423.75</v>
      </c>
    </row>
    <row r="57" spans="1:76">
      <c r="AF57" s="143"/>
      <c r="AG57" s="143"/>
      <c r="AH57" s="143"/>
      <c r="AI57" s="143"/>
      <c r="AJ57" s="143"/>
      <c r="AK57" s="143"/>
      <c r="AL57" s="143"/>
      <c r="AM57" s="143"/>
      <c r="AN57" s="143"/>
      <c r="AO57" s="143"/>
      <c r="AP57" s="143"/>
      <c r="AQ57" s="143"/>
      <c r="AR57" s="143"/>
      <c r="AT57" s="143"/>
      <c r="AU57" s="143"/>
      <c r="AV57" s="143"/>
      <c r="AW57" s="143"/>
      <c r="AX57" s="143"/>
      <c r="AY57" s="143"/>
      <c r="AZ57" s="143"/>
      <c r="BA57" s="143"/>
      <c r="BB57" s="143"/>
      <c r="BC57" s="143"/>
      <c r="BD57" s="143"/>
      <c r="BE57" s="143"/>
      <c r="BF57" s="143"/>
      <c r="BH57" s="143"/>
      <c r="BI57" s="143"/>
      <c r="BJ57" s="143"/>
      <c r="BK57" s="143"/>
      <c r="BL57" s="143"/>
      <c r="BM57" s="143"/>
      <c r="BN57" s="143"/>
      <c r="BO57" s="143"/>
      <c r="BP57" s="143"/>
      <c r="BQ57" s="143"/>
      <c r="BR57" s="143"/>
      <c r="BS57" s="143"/>
      <c r="BT57" s="143"/>
    </row>
    <row r="58" spans="1:76" s="1275" customFormat="1" ht="16">
      <c r="A58" s="1278" t="s">
        <v>919</v>
      </c>
      <c r="B58" s="1278"/>
      <c r="D58" s="1297"/>
      <c r="E58" s="1297"/>
      <c r="F58" s="1297"/>
      <c r="G58" s="1297"/>
      <c r="H58" s="1297"/>
      <c r="I58" s="1297"/>
      <c r="J58" s="1297"/>
      <c r="K58" s="1297"/>
      <c r="L58" s="1297"/>
      <c r="M58" s="1297"/>
      <c r="N58" s="1297"/>
      <c r="O58" s="1297"/>
      <c r="P58" s="1298"/>
      <c r="R58" s="1278"/>
      <c r="S58" s="1278"/>
      <c r="T58" s="1278"/>
      <c r="U58" s="1278"/>
      <c r="V58" s="1278"/>
      <c r="W58" s="1278"/>
      <c r="X58" s="1278"/>
      <c r="Y58" s="1278"/>
      <c r="Z58" s="1278"/>
      <c r="AA58" s="1278"/>
      <c r="AB58" s="1278"/>
      <c r="AC58" s="1278"/>
      <c r="AD58" s="1278"/>
      <c r="AF58" s="1297"/>
      <c r="AG58" s="1297"/>
      <c r="AH58" s="1297"/>
      <c r="AI58" s="1297"/>
      <c r="AJ58" s="1297"/>
      <c r="AK58" s="1297"/>
      <c r="AL58" s="1297"/>
      <c r="AM58" s="1297"/>
      <c r="AN58" s="1297"/>
      <c r="AO58" s="1297"/>
      <c r="AP58" s="1297"/>
      <c r="AQ58" s="1297"/>
      <c r="AR58" s="1298"/>
      <c r="AT58" s="1297"/>
      <c r="AU58" s="1297"/>
      <c r="AV58" s="1297"/>
      <c r="AW58" s="1297"/>
      <c r="AX58" s="1297"/>
      <c r="AY58" s="1297"/>
      <c r="AZ58" s="1297"/>
      <c r="BA58" s="1297"/>
      <c r="BB58" s="1297"/>
      <c r="BC58" s="1297"/>
      <c r="BD58" s="1297"/>
      <c r="BE58" s="1297"/>
      <c r="BF58" s="1298"/>
      <c r="BH58" s="1297"/>
      <c r="BI58" s="1297"/>
      <c r="BJ58" s="1297"/>
      <c r="BK58" s="1297"/>
      <c r="BL58" s="1297"/>
      <c r="BM58" s="1297"/>
      <c r="BN58" s="1297"/>
      <c r="BO58" s="1297"/>
      <c r="BP58" s="1297"/>
      <c r="BQ58" s="1297"/>
      <c r="BR58" s="1297"/>
      <c r="BS58" s="1297"/>
      <c r="BT58" s="1298"/>
    </row>
    <row r="59" spans="1:76">
      <c r="A59" s="1279" t="s">
        <v>1066</v>
      </c>
      <c r="B59" s="1279"/>
      <c r="D59" s="1299">
        <f>IFERROR(D53/D47,0)</f>
        <v>0.87222441754149416</v>
      </c>
      <c r="E59" s="1299">
        <f t="shared" ref="E59:O59" si="92">IFERROR(E53/E47,0)</f>
        <v>0.88185061471872683</v>
      </c>
      <c r="F59" s="1299">
        <f t="shared" si="92"/>
        <v>0.88893933562815186</v>
      </c>
      <c r="G59" s="1299">
        <f t="shared" si="92"/>
        <v>0.87985141715133008</v>
      </c>
      <c r="H59" s="1299">
        <f t="shared" si="92"/>
        <v>0.90055073336664793</v>
      </c>
      <c r="I59" s="1299">
        <f t="shared" si="92"/>
        <v>0.90437522598899078</v>
      </c>
      <c r="J59" s="1299">
        <f t="shared" si="92"/>
        <v>0.96279615735961044</v>
      </c>
      <c r="K59" s="1299">
        <f t="shared" si="92"/>
        <v>0.90199272391664387</v>
      </c>
      <c r="L59" s="1299">
        <f t="shared" si="92"/>
        <v>0.89209264074838956</v>
      </c>
      <c r="M59" s="1299">
        <f t="shared" si="92"/>
        <v>0.84063739526058823</v>
      </c>
      <c r="N59" s="1299">
        <f t="shared" si="92"/>
        <v>0.80850707412990652</v>
      </c>
      <c r="O59" s="1299">
        <f t="shared" si="92"/>
        <v>0.81039071831633691</v>
      </c>
      <c r="P59" s="1301">
        <f t="shared" ref="P59:P60" si="93">IFERROR(P53/P47,0)</f>
        <v>0.88340789806910025</v>
      </c>
      <c r="Q59" s="311"/>
      <c r="R59" s="1280"/>
      <c r="S59" s="1280"/>
      <c r="T59" s="1280"/>
      <c r="U59" s="1280"/>
      <c r="V59" s="1280"/>
      <c r="W59" s="1280"/>
      <c r="X59" s="1280"/>
      <c r="Y59" s="1280"/>
      <c r="Z59" s="1280"/>
      <c r="AA59" s="1280"/>
      <c r="AB59" s="1280"/>
      <c r="AC59" s="1280"/>
      <c r="AD59" s="1280"/>
      <c r="AE59" s="311"/>
      <c r="AF59" s="1299">
        <f>IFERROR(AF53/AF47,0)</f>
        <v>0.77888313491040839</v>
      </c>
      <c r="AG59" s="1299">
        <f t="shared" ref="AG59:AK59" si="94">IFERROR(AG53/AG47,0)</f>
        <v>0.81142219408304783</v>
      </c>
      <c r="AH59" s="1299">
        <f t="shared" si="94"/>
        <v>0.84344688627524489</v>
      </c>
      <c r="AI59" s="1299">
        <f t="shared" si="94"/>
        <v>0.84807982925998149</v>
      </c>
      <c r="AJ59" s="1299">
        <f t="shared" si="94"/>
        <v>0.8785798038208178</v>
      </c>
      <c r="AK59" s="1299">
        <f t="shared" si="94"/>
        <v>0.85585421336556577</v>
      </c>
      <c r="AL59" s="1300">
        <f t="shared" ref="AL59" si="95">IFERROR(AL53/AL47,0)</f>
        <v>0.87539033365078533</v>
      </c>
      <c r="AM59" s="1300">
        <f t="shared" ref="AM59:AN59" si="96">IFERROR(AM53/AM47,0)</f>
        <v>0.87230865017740222</v>
      </c>
      <c r="AN59" s="1300">
        <f t="shared" si="96"/>
        <v>0.86519261745970866</v>
      </c>
      <c r="AO59" s="1300">
        <f t="shared" ref="AO59:AP59" si="97">IFERROR(AO53/AO47,0)</f>
        <v>0.81850531004054994</v>
      </c>
      <c r="AP59" s="1300">
        <f t="shared" si="97"/>
        <v>0.82820552383755164</v>
      </c>
      <c r="AQ59" s="1300">
        <f t="shared" ref="AQ59" si="98">IFERROR(AQ53/AQ47,0)</f>
        <v>0.86258813901260578</v>
      </c>
      <c r="AR59" s="1301">
        <f t="shared" ref="AR59" si="99">IFERROR(AR53/AR47,0)</f>
        <v>0.83965276647525633</v>
      </c>
      <c r="AT59" s="1299">
        <f>1-14.7921694140916%</f>
        <v>0.85207830585908395</v>
      </c>
      <c r="AU59" s="1299">
        <f t="shared" ref="AU59:BF59" si="100">1-14.7921694140916%</f>
        <v>0.85207830585908395</v>
      </c>
      <c r="AV59" s="1299">
        <f t="shared" si="100"/>
        <v>0.85207830585908395</v>
      </c>
      <c r="AW59" s="1299">
        <f t="shared" si="100"/>
        <v>0.85207830585908395</v>
      </c>
      <c r="AX59" s="1299">
        <f t="shared" si="100"/>
        <v>0.85207830585908395</v>
      </c>
      <c r="AY59" s="1299">
        <f t="shared" si="100"/>
        <v>0.85207830585908395</v>
      </c>
      <c r="AZ59" s="1300">
        <f t="shared" si="100"/>
        <v>0.85207830585908395</v>
      </c>
      <c r="BA59" s="1300">
        <f t="shared" si="100"/>
        <v>0.85207830585908395</v>
      </c>
      <c r="BB59" s="1300">
        <f t="shared" si="100"/>
        <v>0.85207830585908395</v>
      </c>
      <c r="BC59" s="1300">
        <f t="shared" si="100"/>
        <v>0.85207830585908395</v>
      </c>
      <c r="BD59" s="1300">
        <f t="shared" si="100"/>
        <v>0.85207830585908395</v>
      </c>
      <c r="BE59" s="1300">
        <f t="shared" si="100"/>
        <v>0.85207830585908395</v>
      </c>
      <c r="BF59" s="1301">
        <f t="shared" si="100"/>
        <v>0.85207830585908395</v>
      </c>
      <c r="BG59" s="311"/>
      <c r="BH59" s="1299">
        <f>IFERROR(BH53/BH47,0)</f>
        <v>0.88535446701681619</v>
      </c>
      <c r="BI59" s="1299">
        <f t="shared" ref="BI59:BT60" si="101">IFERROR(BI53/BI47,0)</f>
        <v>0.87074812648257438</v>
      </c>
      <c r="BJ59" s="1299">
        <f t="shared" si="101"/>
        <v>0.8709762221834999</v>
      </c>
      <c r="BK59" s="1299">
        <f t="shared" si="101"/>
        <v>0.8721505997493143</v>
      </c>
      <c r="BL59" s="1299">
        <f t="shared" si="101"/>
        <v>0.8591148053507659</v>
      </c>
      <c r="BM59" s="1299">
        <f t="shared" si="101"/>
        <v>0</v>
      </c>
      <c r="BN59" s="1300">
        <f t="shared" si="101"/>
        <v>0</v>
      </c>
      <c r="BO59" s="1300">
        <f t="shared" si="101"/>
        <v>0</v>
      </c>
      <c r="BP59" s="1300">
        <f t="shared" si="101"/>
        <v>0</v>
      </c>
      <c r="BQ59" s="1300">
        <f t="shared" si="101"/>
        <v>0</v>
      </c>
      <c r="BR59" s="1300">
        <f t="shared" si="101"/>
        <v>0</v>
      </c>
      <c r="BS59" s="1300">
        <f t="shared" si="101"/>
        <v>0</v>
      </c>
      <c r="BT59" s="1301">
        <f t="shared" si="101"/>
        <v>0.87153216422387014</v>
      </c>
    </row>
    <row r="60" spans="1:76">
      <c r="A60" s="1279" t="s">
        <v>1068</v>
      </c>
      <c r="B60" s="1279"/>
      <c r="D60" s="1299">
        <f t="shared" ref="D60:I60" si="102">IFERROR(D54/D48,0)</f>
        <v>0.9503903625122454</v>
      </c>
      <c r="E60" s="1299">
        <f t="shared" si="102"/>
        <v>0.93866205814025405</v>
      </c>
      <c r="F60" s="1299">
        <f t="shared" si="102"/>
        <v>0.94416240872411505</v>
      </c>
      <c r="G60" s="1299">
        <f t="shared" si="102"/>
        <v>0.94842122419949926</v>
      </c>
      <c r="H60" s="1299">
        <f t="shared" si="102"/>
        <v>0.95192673276391448</v>
      </c>
      <c r="I60" s="1299">
        <f t="shared" si="102"/>
        <v>0.9597304992336092</v>
      </c>
      <c r="J60" s="1299">
        <f t="shared" ref="J60:O60" si="103">IFERROR(J54/J48,0)</f>
        <v>0.98094708955457766</v>
      </c>
      <c r="K60" s="1299">
        <f t="shared" si="103"/>
        <v>0.95463821300397822</v>
      </c>
      <c r="L60" s="1299">
        <f t="shared" si="103"/>
        <v>0.95554324584126937</v>
      </c>
      <c r="M60" s="1299">
        <f t="shared" si="103"/>
        <v>0.95874722441491311</v>
      </c>
      <c r="N60" s="1299">
        <f t="shared" si="103"/>
        <v>0.97417455295462818</v>
      </c>
      <c r="O60" s="1299">
        <f t="shared" si="103"/>
        <v>0.93355587033959453</v>
      </c>
      <c r="P60" s="1301">
        <f t="shared" si="93"/>
        <v>0.95390956983130137</v>
      </c>
      <c r="Q60" s="311"/>
      <c r="R60" s="1280"/>
      <c r="S60" s="1280"/>
      <c r="T60" s="1280"/>
      <c r="U60" s="1280"/>
      <c r="V60" s="1280"/>
      <c r="W60" s="1280"/>
      <c r="X60" s="1280"/>
      <c r="Y60" s="1280"/>
      <c r="Z60" s="1280"/>
      <c r="AA60" s="1280"/>
      <c r="AB60" s="1280"/>
      <c r="AC60" s="1280"/>
      <c r="AD60" s="1280"/>
      <c r="AE60" s="311"/>
      <c r="AF60" s="1299">
        <f t="shared" ref="AF60:AK60" si="104">IFERROR(AF54/AF48,0)</f>
        <v>0.94231724160387309</v>
      </c>
      <c r="AG60" s="1299">
        <f t="shared" si="104"/>
        <v>0.94158986222966123</v>
      </c>
      <c r="AH60" s="1299">
        <f t="shared" si="104"/>
        <v>0.94591511670505002</v>
      </c>
      <c r="AI60" s="1299">
        <f t="shared" si="104"/>
        <v>0.94843295633994062</v>
      </c>
      <c r="AJ60" s="1299">
        <f t="shared" si="104"/>
        <v>0.94383160771326136</v>
      </c>
      <c r="AK60" s="1299">
        <f t="shared" si="104"/>
        <v>0.93905775585923723</v>
      </c>
      <c r="AL60" s="1300">
        <f t="shared" ref="AL60" si="105">IFERROR(AL54/AL48,0)</f>
        <v>0.93418228403818948</v>
      </c>
      <c r="AM60" s="1300">
        <f t="shared" ref="AM60:AN60" si="106">IFERROR(AM54/AM48,0)</f>
        <v>0.92098707744531971</v>
      </c>
      <c r="AN60" s="1300">
        <f t="shared" si="106"/>
        <v>0.93323633722025523</v>
      </c>
      <c r="AO60" s="1300">
        <f t="shared" ref="AO60:AP60" si="107">IFERROR(AO54/AO48,0)</f>
        <v>0.90749035460302341</v>
      </c>
      <c r="AP60" s="1300">
        <f t="shared" si="107"/>
        <v>0.93598687904955447</v>
      </c>
      <c r="AQ60" s="1300">
        <f t="shared" ref="AQ60" si="108">IFERROR(AQ54/AQ48,0)</f>
        <v>0.93009893227201479</v>
      </c>
      <c r="AR60" s="1301">
        <f t="shared" ref="AR60" si="109">IFERROR(AR54/AR48,0)</f>
        <v>0.93376699780472527</v>
      </c>
      <c r="AT60" s="1299">
        <f>1-6.18473861326699%</f>
        <v>0.93815261386733007</v>
      </c>
      <c r="AU60" s="1299">
        <f t="shared" ref="AU60:BF60" si="110">1-6.18473861326699%</f>
        <v>0.93815261386733007</v>
      </c>
      <c r="AV60" s="1299">
        <f t="shared" si="110"/>
        <v>0.93815261386733007</v>
      </c>
      <c r="AW60" s="1299">
        <f t="shared" si="110"/>
        <v>0.93815261386733007</v>
      </c>
      <c r="AX60" s="1299">
        <f t="shared" si="110"/>
        <v>0.93815261386733007</v>
      </c>
      <c r="AY60" s="1299">
        <f t="shared" si="110"/>
        <v>0.93815261386733007</v>
      </c>
      <c r="AZ60" s="1300">
        <f t="shared" si="110"/>
        <v>0.93815261386733007</v>
      </c>
      <c r="BA60" s="1300">
        <f t="shared" si="110"/>
        <v>0.93815261386733007</v>
      </c>
      <c r="BB60" s="1300">
        <f t="shared" si="110"/>
        <v>0.93815261386733007</v>
      </c>
      <c r="BC60" s="1300">
        <f t="shared" si="110"/>
        <v>0.93815261386733007</v>
      </c>
      <c r="BD60" s="1300">
        <f t="shared" si="110"/>
        <v>0.93815261386733007</v>
      </c>
      <c r="BE60" s="1300">
        <f t="shared" si="110"/>
        <v>0.93815261386733007</v>
      </c>
      <c r="BF60" s="1301">
        <f t="shared" si="110"/>
        <v>0.93815261386733007</v>
      </c>
      <c r="BG60" s="311"/>
      <c r="BH60" s="1299">
        <f t="shared" ref="BH60:BM60" si="111">IFERROR(BH54/BH48,0)</f>
        <v>0.93096467782552106</v>
      </c>
      <c r="BI60" s="1299">
        <f t="shared" si="111"/>
        <v>0.91270926313437262</v>
      </c>
      <c r="BJ60" s="1299">
        <f t="shared" si="111"/>
        <v>0.9107011333273487</v>
      </c>
      <c r="BK60" s="1299">
        <f t="shared" si="111"/>
        <v>0.91247762303537816</v>
      </c>
      <c r="BL60" s="1299">
        <f t="shared" si="111"/>
        <v>0.92640946000470725</v>
      </c>
      <c r="BM60" s="1299">
        <f t="shared" si="111"/>
        <v>0</v>
      </c>
      <c r="BN60" s="1300">
        <f t="shared" si="101"/>
        <v>0</v>
      </c>
      <c r="BO60" s="1300">
        <f t="shared" si="101"/>
        <v>0</v>
      </c>
      <c r="BP60" s="1300">
        <f t="shared" si="101"/>
        <v>0</v>
      </c>
      <c r="BQ60" s="1300">
        <f t="shared" si="101"/>
        <v>0</v>
      </c>
      <c r="BR60" s="1300">
        <f t="shared" si="101"/>
        <v>0</v>
      </c>
      <c r="BS60" s="1300">
        <f t="shared" si="101"/>
        <v>0</v>
      </c>
      <c r="BT60" s="1301">
        <f t="shared" si="101"/>
        <v>0.91836290054985936</v>
      </c>
    </row>
    <row r="61" spans="1:76" s="279" customFormat="1">
      <c r="A61" s="1291" t="s">
        <v>922</v>
      </c>
      <c r="B61" s="1291"/>
      <c r="D61" s="1302">
        <f>D59*D60</f>
        <v>0.82895368037929273</v>
      </c>
      <c r="E61" s="1302">
        <f t="shared" ref="E61" si="112">E59*E60</f>
        <v>0.82775971298412832</v>
      </c>
      <c r="F61" s="1302">
        <f t="shared" ref="F61" si="113">F59*F60</f>
        <v>0.83930310433629041</v>
      </c>
      <c r="G61" s="1302">
        <f t="shared" ref="G61" si="114">G59*G60</f>
        <v>0.8344697581683288</v>
      </c>
      <c r="H61" s="1302">
        <f t="shared" ref="H61" si="115">H59*H60</f>
        <v>0.85725831730186031</v>
      </c>
      <c r="I61" s="1302">
        <f t="shared" ref="I61" si="116">I59*I60</f>
        <v>0.86795648713292228</v>
      </c>
      <c r="J61" s="1302">
        <f t="shared" ref="J61" si="117">J59*J60</f>
        <v>0.94445208839624106</v>
      </c>
      <c r="K61" s="1302">
        <f t="shared" ref="K61" si="118">K59*K60</f>
        <v>0.86107672210237562</v>
      </c>
      <c r="L61" s="1302">
        <f t="shared" ref="L61" si="119">L59*L60</f>
        <v>0.85243309753182561</v>
      </c>
      <c r="M61" s="1302">
        <f t="shared" ref="M61" si="120">M59*M60</f>
        <v>0.80595876944547118</v>
      </c>
      <c r="N61" s="1302">
        <f t="shared" ref="N61" si="121">N59*N60</f>
        <v>0.78762701750115616</v>
      </c>
      <c r="O61" s="1302">
        <f t="shared" ref="O61" si="122">O59*O60</f>
        <v>0.75654501235293714</v>
      </c>
      <c r="P61" s="1302">
        <f t="shared" ref="P61" si="123">P59*P60</f>
        <v>0.84269124803266959</v>
      </c>
      <c r="Q61" s="575"/>
      <c r="R61" s="1293"/>
      <c r="S61" s="1293"/>
      <c r="T61" s="1293"/>
      <c r="U61" s="1293"/>
      <c r="V61" s="1293"/>
      <c r="W61" s="1293"/>
      <c r="X61" s="1293"/>
      <c r="Y61" s="1293"/>
      <c r="Z61" s="1293"/>
      <c r="AA61" s="1293"/>
      <c r="AB61" s="1293"/>
      <c r="AC61" s="1293"/>
      <c r="AD61" s="1293"/>
      <c r="AE61" s="575"/>
      <c r="AF61" s="1302">
        <f>AF59*AF60</f>
        <v>0.7339550072205534</v>
      </c>
      <c r="AG61" s="1302">
        <f t="shared" ref="AG61:AK61" si="124">AG59*AG60</f>
        <v>0.76402691193674643</v>
      </c>
      <c r="AH61" s="1302">
        <f t="shared" si="124"/>
        <v>0.79782915986555936</v>
      </c>
      <c r="AI61" s="1302">
        <f t="shared" si="124"/>
        <v>0.80434685967731634</v>
      </c>
      <c r="AJ61" s="1302">
        <f t="shared" si="124"/>
        <v>0.82923138874460423</v>
      </c>
      <c r="AK61" s="1302">
        <f t="shared" si="124"/>
        <v>0.80369653694574095</v>
      </c>
      <c r="AL61" s="1303">
        <f t="shared" ref="AL61" si="125">AL59*AL60</f>
        <v>0.81777414131484338</v>
      </c>
      <c r="AM61" s="1303">
        <f t="shared" ref="AM61:AN61" si="126">AM59*AM60</f>
        <v>0.80338499435715749</v>
      </c>
      <c r="AN61" s="1303">
        <f t="shared" si="126"/>
        <v>0.80742918930810392</v>
      </c>
      <c r="AO61" s="1303">
        <f t="shared" ref="AO61:AP61" si="127">AO59*AO60</f>
        <v>0.74278567405315632</v>
      </c>
      <c r="AP61" s="1303">
        <f t="shared" si="127"/>
        <v>0.77518950346831139</v>
      </c>
      <c r="AQ61" s="1303">
        <f t="shared" ref="AQ61" si="128">AQ59*AQ60</f>
        <v>0.80229230708612886</v>
      </c>
      <c r="AR61" s="1302">
        <f t="shared" ref="AR61" si="129">AR59*AR60</f>
        <v>0.78404004295003216</v>
      </c>
      <c r="AT61" s="1302">
        <f t="shared" ref="AT61:BE61" si="130">AT59*AT60</f>
        <v>0.79937948986134599</v>
      </c>
      <c r="AU61" s="1302">
        <f t="shared" si="130"/>
        <v>0.79937948986134599</v>
      </c>
      <c r="AV61" s="1302">
        <f t="shared" si="130"/>
        <v>0.79937948986134599</v>
      </c>
      <c r="AW61" s="1302">
        <f t="shared" si="130"/>
        <v>0.79937948986134599</v>
      </c>
      <c r="AX61" s="1302">
        <f t="shared" si="130"/>
        <v>0.79937948986134599</v>
      </c>
      <c r="AY61" s="1302">
        <f t="shared" si="130"/>
        <v>0.79937948986134599</v>
      </c>
      <c r="AZ61" s="1303">
        <f t="shared" si="130"/>
        <v>0.79937948986134599</v>
      </c>
      <c r="BA61" s="1303">
        <f t="shared" si="130"/>
        <v>0.79937948986134599</v>
      </c>
      <c r="BB61" s="1303">
        <f t="shared" si="130"/>
        <v>0.79937948986134599</v>
      </c>
      <c r="BC61" s="1303">
        <f t="shared" si="130"/>
        <v>0.79937948986134599</v>
      </c>
      <c r="BD61" s="1303">
        <f t="shared" si="130"/>
        <v>0.79937948986134599</v>
      </c>
      <c r="BE61" s="1303">
        <f t="shared" si="130"/>
        <v>0.79937948986134599</v>
      </c>
      <c r="BF61" s="1302">
        <f t="shared" ref="BF61" si="131">BF59*BF60</f>
        <v>0.79937948986134599</v>
      </c>
      <c r="BG61" s="575"/>
      <c r="BH61" s="1302">
        <f>BH59*BH60</f>
        <v>0.82423373614769624</v>
      </c>
      <c r="BI61" s="1302">
        <f t="shared" ref="BI61:BT61" si="132">BI59*BI60</f>
        <v>0.79473988089754599</v>
      </c>
      <c r="BJ61" s="1302">
        <f t="shared" si="132"/>
        <v>0.79319903264368607</v>
      </c>
      <c r="BK61" s="1302">
        <f t="shared" si="132"/>
        <v>0.79581790618813375</v>
      </c>
      <c r="BL61" s="1302">
        <f t="shared" si="132"/>
        <v>0.79589208290705227</v>
      </c>
      <c r="BM61" s="1302">
        <f t="shared" si="132"/>
        <v>0</v>
      </c>
      <c r="BN61" s="1303">
        <f t="shared" si="132"/>
        <v>0</v>
      </c>
      <c r="BO61" s="1303">
        <f t="shared" si="132"/>
        <v>0</v>
      </c>
      <c r="BP61" s="1303">
        <f t="shared" si="132"/>
        <v>0</v>
      </c>
      <c r="BQ61" s="1303">
        <f t="shared" si="132"/>
        <v>0</v>
      </c>
      <c r="BR61" s="1303">
        <f t="shared" si="132"/>
        <v>0</v>
      </c>
      <c r="BS61" s="1303">
        <f t="shared" si="132"/>
        <v>0</v>
      </c>
      <c r="BT61" s="1302">
        <f t="shared" si="132"/>
        <v>0.80038280625912972</v>
      </c>
      <c r="BW61" s="1527"/>
      <c r="BX61" s="1527"/>
    </row>
    <row r="62" spans="1:76" s="1289" customFormat="1">
      <c r="A62" s="1292" t="s">
        <v>1067</v>
      </c>
      <c r="B62" s="1292"/>
      <c r="D62" s="1304">
        <f t="shared" ref="D62:I63" si="133">IFERROR(D55/D49,0)</f>
        <v>0</v>
      </c>
      <c r="E62" s="1304">
        <f t="shared" si="133"/>
        <v>0.87626476711229273</v>
      </c>
      <c r="F62" s="1304">
        <f t="shared" si="133"/>
        <v>0.94655768349028324</v>
      </c>
      <c r="G62" s="1304">
        <f t="shared" si="133"/>
        <v>0.98310985421034669</v>
      </c>
      <c r="H62" s="1304">
        <f t="shared" si="133"/>
        <v>0.87415866135989495</v>
      </c>
      <c r="I62" s="1304">
        <f t="shared" si="133"/>
        <v>0</v>
      </c>
      <c r="J62" s="1304">
        <f t="shared" ref="J62:P62" si="134">IFERROR(J55/J49,0)</f>
        <v>0.95955673998328372</v>
      </c>
      <c r="K62" s="1304">
        <f t="shared" si="134"/>
        <v>0.96000188355694027</v>
      </c>
      <c r="L62" s="1304">
        <f t="shared" si="134"/>
        <v>0.94125450066325567</v>
      </c>
      <c r="M62" s="1304">
        <f t="shared" si="134"/>
        <v>0.97648082492435162</v>
      </c>
      <c r="N62" s="1304">
        <f t="shared" si="134"/>
        <v>0.94857895457918984</v>
      </c>
      <c r="O62" s="1304">
        <f t="shared" si="134"/>
        <v>0.94706594259115595</v>
      </c>
      <c r="P62" s="1304">
        <f t="shared" si="134"/>
        <v>0.94828947071691139</v>
      </c>
      <c r="Q62" s="1290"/>
      <c r="R62" s="1295"/>
      <c r="S62" s="1295"/>
      <c r="T62" s="1295"/>
      <c r="U62" s="1295"/>
      <c r="V62" s="1295"/>
      <c r="W62" s="1295"/>
      <c r="X62" s="1295"/>
      <c r="Y62" s="1295"/>
      <c r="Z62" s="1295"/>
      <c r="AA62" s="1295"/>
      <c r="AB62" s="1295"/>
      <c r="AC62" s="1295"/>
      <c r="AD62" s="1295"/>
      <c r="AE62" s="1290"/>
      <c r="AF62" s="1304">
        <f t="shared" ref="AF62:AK63" si="135">IFERROR(AF55/AF49,0)</f>
        <v>0.87262679115762187</v>
      </c>
      <c r="AG62" s="1304">
        <f t="shared" si="135"/>
        <v>0.88452318525732265</v>
      </c>
      <c r="AH62" s="1304">
        <f t="shared" si="135"/>
        <v>0.92373504141678975</v>
      </c>
      <c r="AI62" s="1304">
        <f t="shared" si="135"/>
        <v>0.89369666425168948</v>
      </c>
      <c r="AJ62" s="1304">
        <f t="shared" si="135"/>
        <v>0.91837892582360769</v>
      </c>
      <c r="AK62" s="1304">
        <f t="shared" si="135"/>
        <v>0.88442275614641075</v>
      </c>
      <c r="AL62" s="1305">
        <f t="shared" ref="AL62" si="136">IFERROR(AL55/AL49,0)</f>
        <v>0.85746688150948969</v>
      </c>
      <c r="AM62" s="1305">
        <f t="shared" ref="AM62:AN62" si="137">IFERROR(AM55/AM49,0)</f>
        <v>0.8163305339090815</v>
      </c>
      <c r="AN62" s="1305">
        <f t="shared" si="137"/>
        <v>0.79087566594132208</v>
      </c>
      <c r="AO62" s="1305">
        <f t="shared" ref="AO62:AP62" si="138">IFERROR(AO55/AO49,0)</f>
        <v>0.74172378659852256</v>
      </c>
      <c r="AP62" s="1305">
        <f t="shared" si="138"/>
        <v>0.7559981768708226</v>
      </c>
      <c r="AQ62" s="1305">
        <f t="shared" ref="AQ62" si="139">IFERROR(AQ55/AQ49,0)</f>
        <v>0.83064253945126543</v>
      </c>
      <c r="AR62" s="1304">
        <f t="shared" ref="AR62" si="140">IFERROR(AR55/AR49,0)</f>
        <v>0.84174199915425374</v>
      </c>
      <c r="AT62" s="1304">
        <f>AT61</f>
        <v>0.79937948986134599</v>
      </c>
      <c r="AU62" s="1304">
        <f t="shared" ref="AU62:BF62" si="141">AU61</f>
        <v>0.79937948986134599</v>
      </c>
      <c r="AV62" s="1304">
        <f t="shared" si="141"/>
        <v>0.79937948986134599</v>
      </c>
      <c r="AW62" s="1304">
        <f t="shared" si="141"/>
        <v>0.79937948986134599</v>
      </c>
      <c r="AX62" s="1304">
        <f t="shared" si="141"/>
        <v>0.79937948986134599</v>
      </c>
      <c r="AY62" s="1304">
        <f t="shared" si="141"/>
        <v>0.79937948986134599</v>
      </c>
      <c r="AZ62" s="1305">
        <f t="shared" si="141"/>
        <v>0.79937948986134599</v>
      </c>
      <c r="BA62" s="1305">
        <f t="shared" si="141"/>
        <v>0.79937948986134599</v>
      </c>
      <c r="BB62" s="1305">
        <f t="shared" si="141"/>
        <v>0.79937948986134599</v>
      </c>
      <c r="BC62" s="1305">
        <f t="shared" si="141"/>
        <v>0.79937948986134599</v>
      </c>
      <c r="BD62" s="1305">
        <f t="shared" si="141"/>
        <v>0.79937948986134599</v>
      </c>
      <c r="BE62" s="1305">
        <f t="shared" si="141"/>
        <v>0.79937948986134599</v>
      </c>
      <c r="BF62" s="1304">
        <f t="shared" si="141"/>
        <v>0.79937948986134599</v>
      </c>
      <c r="BG62" s="1290"/>
      <c r="BH62" s="1304">
        <f t="shared" ref="BH62:BT63" si="142">IFERROR(BH55/BH49,0)</f>
        <v>0.84850064433922667</v>
      </c>
      <c r="BI62" s="1304">
        <f t="shared" si="142"/>
        <v>0.82487565194627344</v>
      </c>
      <c r="BJ62" s="1304">
        <f t="shared" si="142"/>
        <v>0.82703623019329087</v>
      </c>
      <c r="BK62" s="1304">
        <f t="shared" si="142"/>
        <v>0.83765355317275147</v>
      </c>
      <c r="BL62" s="1304">
        <f t="shared" si="142"/>
        <v>0.80900844163967134</v>
      </c>
      <c r="BM62" s="1304">
        <f t="shared" si="142"/>
        <v>0</v>
      </c>
      <c r="BN62" s="1305">
        <f t="shared" si="142"/>
        <v>0</v>
      </c>
      <c r="BO62" s="1305">
        <f t="shared" si="142"/>
        <v>0</v>
      </c>
      <c r="BP62" s="1305">
        <f t="shared" si="142"/>
        <v>0</v>
      </c>
      <c r="BQ62" s="1305">
        <f t="shared" si="142"/>
        <v>0</v>
      </c>
      <c r="BR62" s="1305">
        <f t="shared" si="142"/>
        <v>0</v>
      </c>
      <c r="BS62" s="1305">
        <f t="shared" si="142"/>
        <v>0</v>
      </c>
      <c r="BT62" s="1304">
        <f t="shared" si="142"/>
        <v>0.82575416738213503</v>
      </c>
    </row>
    <row r="63" spans="1:76" s="279" customFormat="1">
      <c r="A63" s="1291" t="s">
        <v>912</v>
      </c>
      <c r="B63" s="1291"/>
      <c r="D63" s="1302">
        <f t="shared" si="133"/>
        <v>0.96712894712934172</v>
      </c>
      <c r="E63" s="1302">
        <f t="shared" si="133"/>
        <v>0.96853545372368044</v>
      </c>
      <c r="F63" s="1302">
        <f t="shared" si="133"/>
        <v>0.96121965157936118</v>
      </c>
      <c r="G63" s="1302">
        <f t="shared" si="133"/>
        <v>0.96849601763524951</v>
      </c>
      <c r="H63" s="1302">
        <f t="shared" si="133"/>
        <v>0.96687294930551027</v>
      </c>
      <c r="I63" s="1302">
        <f t="shared" si="133"/>
        <v>0.96391248681349173</v>
      </c>
      <c r="J63" s="1303"/>
      <c r="K63" s="1303"/>
      <c r="L63" s="1303"/>
      <c r="M63" s="1303"/>
      <c r="N63" s="1303"/>
      <c r="O63" s="1303"/>
      <c r="P63" s="1302">
        <f t="shared" ref="P63" si="143">IFERROR(P56/P50,0)</f>
        <v>0.95898491607158343</v>
      </c>
      <c r="Q63" s="575"/>
      <c r="R63" s="1293"/>
      <c r="S63" s="1293"/>
      <c r="T63" s="1293"/>
      <c r="U63" s="1293"/>
      <c r="V63" s="1293"/>
      <c r="W63" s="1293"/>
      <c r="X63" s="1293"/>
      <c r="Y63" s="1293"/>
      <c r="Z63" s="1293"/>
      <c r="AA63" s="1293"/>
      <c r="AB63" s="1293"/>
      <c r="AC63" s="1293"/>
      <c r="AD63" s="1293"/>
      <c r="AE63" s="575"/>
      <c r="AF63" s="1302">
        <f t="shared" si="135"/>
        <v>0.96690078142529723</v>
      </c>
      <c r="AG63" s="1302">
        <f t="shared" si="135"/>
        <v>0.92143826881145352</v>
      </c>
      <c r="AH63" s="1302">
        <f t="shared" si="135"/>
        <v>0.93003714251722436</v>
      </c>
      <c r="AI63" s="1302">
        <f t="shared" si="135"/>
        <v>0.9369366020183334</v>
      </c>
      <c r="AJ63" s="1302">
        <f t="shared" si="135"/>
        <v>0.94119438254648247</v>
      </c>
      <c r="AK63" s="1302">
        <f t="shared" si="135"/>
        <v>0.93786897388014534</v>
      </c>
      <c r="AL63" s="1303">
        <f t="shared" ref="AL63" si="144">IFERROR(AL56/AL50,0)</f>
        <v>0.93670597603871875</v>
      </c>
      <c r="AM63" s="1303">
        <f t="shared" ref="AM63:AN63" si="145">IFERROR(AM56/AM50,0)</f>
        <v>0.93742501292887737</v>
      </c>
      <c r="AN63" s="1303">
        <f t="shared" si="145"/>
        <v>0.94392265208816661</v>
      </c>
      <c r="AO63" s="1303">
        <f t="shared" ref="AO63:AP63" si="146">IFERROR(AO56/AO50,0)</f>
        <v>0.94650918272342521</v>
      </c>
      <c r="AP63" s="1303">
        <f t="shared" si="146"/>
        <v>0.95276756082783043</v>
      </c>
      <c r="AQ63" s="1303">
        <f t="shared" ref="AQ63" si="147">IFERROR(AQ56/AQ50,0)</f>
        <v>0.93542613537339603</v>
      </c>
      <c r="AR63" s="1302">
        <f t="shared" ref="AR63" si="148">IFERROR(AR56/AR50,0)</f>
        <v>0.93953608549253587</v>
      </c>
      <c r="AT63" s="1302">
        <f>1-5.94597347519405%</f>
        <v>0.94054026524805945</v>
      </c>
      <c r="AU63" s="1302">
        <f t="shared" ref="AU63:BF63" si="149">1-5.94597347519405%</f>
        <v>0.94054026524805945</v>
      </c>
      <c r="AV63" s="1302">
        <f t="shared" si="149"/>
        <v>0.94054026524805945</v>
      </c>
      <c r="AW63" s="1302">
        <f t="shared" si="149"/>
        <v>0.94054026524805945</v>
      </c>
      <c r="AX63" s="1302">
        <f t="shared" si="149"/>
        <v>0.94054026524805945</v>
      </c>
      <c r="AY63" s="1302">
        <f t="shared" si="149"/>
        <v>0.94054026524805945</v>
      </c>
      <c r="AZ63" s="1303">
        <f t="shared" si="149"/>
        <v>0.94054026524805945</v>
      </c>
      <c r="BA63" s="1303">
        <f t="shared" si="149"/>
        <v>0.94054026524805945</v>
      </c>
      <c r="BB63" s="1303">
        <f t="shared" si="149"/>
        <v>0.94054026524805945</v>
      </c>
      <c r="BC63" s="1303">
        <f t="shared" si="149"/>
        <v>0.94054026524805945</v>
      </c>
      <c r="BD63" s="1303">
        <f t="shared" si="149"/>
        <v>0.94054026524805945</v>
      </c>
      <c r="BE63" s="1303">
        <f t="shared" si="149"/>
        <v>0.94054026524805945</v>
      </c>
      <c r="BF63" s="1302">
        <f t="shared" si="149"/>
        <v>0.94054026524805945</v>
      </c>
      <c r="BG63" s="575"/>
      <c r="BH63" s="1302">
        <f t="shared" ref="BH63:BM63" si="150">IFERROR(BH56/BH50,0)</f>
        <v>0.94640277526859262</v>
      </c>
      <c r="BI63" s="1302">
        <f t="shared" si="150"/>
        <v>0.94646188800048725</v>
      </c>
      <c r="BJ63" s="1302">
        <f t="shared" si="150"/>
        <v>0.94994781576324971</v>
      </c>
      <c r="BK63" s="1302">
        <f t="shared" si="150"/>
        <v>0.95577411624271658</v>
      </c>
      <c r="BL63" s="1302">
        <f t="shared" si="150"/>
        <v>0.95771390392284816</v>
      </c>
      <c r="BM63" s="1302">
        <f t="shared" si="150"/>
        <v>0</v>
      </c>
      <c r="BN63" s="1303">
        <f t="shared" si="142"/>
        <v>0</v>
      </c>
      <c r="BO63" s="1303">
        <f t="shared" si="142"/>
        <v>0</v>
      </c>
      <c r="BP63" s="1303">
        <f t="shared" si="142"/>
        <v>0</v>
      </c>
      <c r="BQ63" s="1303">
        <f t="shared" si="142"/>
        <v>0</v>
      </c>
      <c r="BR63" s="1303">
        <f t="shared" si="142"/>
        <v>0</v>
      </c>
      <c r="BS63" s="1303">
        <f t="shared" si="142"/>
        <v>0</v>
      </c>
      <c r="BT63" s="1302">
        <f t="shared" si="142"/>
        <v>0.95219129198939412</v>
      </c>
      <c r="BV63" s="1528"/>
    </row>
    <row r="65" spans="1:72" s="1285" customFormat="1" ht="16">
      <c r="A65" s="1285" t="s">
        <v>917</v>
      </c>
    </row>
    <row r="66" spans="1:72">
      <c r="A66" s="1044" t="s">
        <v>1066</v>
      </c>
      <c r="B66" s="1044" t="s">
        <v>496</v>
      </c>
      <c r="D66" s="1269">
        <f>SUM($D47:D47)</f>
        <v>744074.56034000008</v>
      </c>
      <c r="E66" s="1269">
        <f>SUM($D47:E47)</f>
        <v>1396333.5602200001</v>
      </c>
      <c r="F66" s="1269">
        <f>SUM($D47:F47)</f>
        <v>2227661.3802200002</v>
      </c>
      <c r="G66" s="1269">
        <f>SUM($D47:G47)</f>
        <v>2984048.9316600002</v>
      </c>
      <c r="H66" s="1269">
        <f>SUM($D47:H47)</f>
        <v>3908261.1599800005</v>
      </c>
      <c r="I66" s="1269">
        <f>SUM($D47:I47)</f>
        <v>5058731.6396000003</v>
      </c>
      <c r="J66" s="1269">
        <f>SUM($D47:J47)</f>
        <v>5800840.9579000007</v>
      </c>
      <c r="K66" s="1269">
        <f>SUM($D47:K47)</f>
        <v>6405058.6922000004</v>
      </c>
      <c r="L66" s="1269">
        <f>SUM($D47:L47)</f>
        <v>6999391.5852000006</v>
      </c>
      <c r="M66" s="1269">
        <f>SUM($D47:M47)</f>
        <v>7598553.6054000007</v>
      </c>
      <c r="N66" s="1269">
        <f>SUM($D47:N47)</f>
        <v>8313327.8089800011</v>
      </c>
      <c r="O66" s="1269">
        <f>SUM($D47:O47)</f>
        <v>8706101.3104600012</v>
      </c>
      <c r="P66" s="1273">
        <f>O66</f>
        <v>8706101.3104600012</v>
      </c>
      <c r="R66" s="1044"/>
      <c r="S66" s="1044"/>
      <c r="T66" s="1044"/>
      <c r="U66" s="1044"/>
      <c r="V66" s="1044"/>
      <c r="W66" s="1044"/>
      <c r="X66" s="1044"/>
      <c r="Y66" s="1044"/>
      <c r="Z66" s="1044"/>
      <c r="AA66" s="1044"/>
      <c r="AB66" s="1044"/>
      <c r="AC66" s="1044"/>
      <c r="AD66" s="1044"/>
      <c r="AF66" s="1269">
        <f>SUM($AF47:AF47)</f>
        <v>798194.19901999994</v>
      </c>
      <c r="AG66" s="1269">
        <f>SUM($AF47:AG47)</f>
        <v>1682813.8276600002</v>
      </c>
      <c r="AH66" s="1269">
        <f>SUM($AF47:AH47)</f>
        <v>1960246.8276600002</v>
      </c>
      <c r="AI66" s="1269">
        <f>SUM($AF47:AI47)</f>
        <v>2798140.8271200005</v>
      </c>
      <c r="AJ66" s="1269">
        <f>SUM($AF47:AJ47)</f>
        <v>3427921.0048200004</v>
      </c>
      <c r="AK66" s="1269">
        <f>SUM($AF47:AK47)</f>
        <v>4490835.6762600001</v>
      </c>
      <c r="AL66" s="1269">
        <f>SUM($AF47:AL47)</f>
        <v>5351480.3179000001</v>
      </c>
      <c r="AM66" s="1269">
        <f>SUM($AF47:AM47)</f>
        <v>6374971.2575099999</v>
      </c>
      <c r="AN66" s="1269">
        <f>SUM($AF47:AN47)</f>
        <v>6799154.2574499995</v>
      </c>
      <c r="AO66" s="1269">
        <f>SUM($AF47:AO47)</f>
        <v>9945434.3956599981</v>
      </c>
      <c r="AP66" s="1269">
        <f>SUM($AF47:AP47)</f>
        <v>10998554.635619998</v>
      </c>
      <c r="AQ66" s="1273">
        <f>SUM($AF47:AQ47)</f>
        <v>12184787.037529998</v>
      </c>
      <c r="AR66" s="1273"/>
      <c r="AT66" s="1269"/>
      <c r="AU66" s="1269"/>
      <c r="AV66" s="1269"/>
      <c r="AW66" s="1269"/>
      <c r="AX66" s="1269"/>
      <c r="AY66" s="1269"/>
      <c r="AZ66" s="1269"/>
      <c r="BA66" s="1269"/>
      <c r="BB66" s="1269"/>
      <c r="BC66" s="1269"/>
      <c r="BD66" s="1269"/>
      <c r="BE66" s="1273"/>
      <c r="BF66" s="1273"/>
      <c r="BH66" s="1269">
        <f>SUM($BH47:BH47)</f>
        <v>814476.03966999985</v>
      </c>
      <c r="BI66" s="1269">
        <f>SUM($BH47:BI47)</f>
        <v>1289355.04018</v>
      </c>
      <c r="BJ66" s="1269">
        <f>SUM($BH47:BJ47)</f>
        <v>2377232.0405700002</v>
      </c>
      <c r="BK66" s="1269">
        <f>SUM($BH47:BK47)</f>
        <v>3260795.0401499998</v>
      </c>
      <c r="BL66" s="1269">
        <f>SUM($BH47:BL47)</f>
        <v>4132739.0403399998</v>
      </c>
      <c r="BM66" s="1269">
        <f>SUM($BH47:BM47)</f>
        <v>4132739.0403399998</v>
      </c>
      <c r="BN66" s="1269">
        <f>SUM($BH47:BN47)</f>
        <v>4132739.0403399998</v>
      </c>
      <c r="BO66" s="1269">
        <f>SUM($BH47:BO47)</f>
        <v>4132739.0403399998</v>
      </c>
      <c r="BP66" s="1269">
        <f>SUM($BH47:BP47)</f>
        <v>4132739.0403399998</v>
      </c>
      <c r="BQ66" s="1269">
        <f>SUM($BH47:BQ47)</f>
        <v>4132739.0403399998</v>
      </c>
      <c r="BR66" s="1269">
        <f>SUM($BH47:BR47)</f>
        <v>4132739.0403399998</v>
      </c>
      <c r="BS66" s="1273">
        <f>SUM($BH47:BS47)</f>
        <v>4132739.0403399998</v>
      </c>
      <c r="BT66" s="1273"/>
    </row>
    <row r="67" spans="1:72">
      <c r="A67" s="1044" t="s">
        <v>1068</v>
      </c>
      <c r="B67" s="1044" t="s">
        <v>496</v>
      </c>
      <c r="D67" s="1269">
        <f>SUM($D48:D48)</f>
        <v>4446635.9999999991</v>
      </c>
      <c r="E67" s="1269">
        <f>SUM($D48:E48)</f>
        <v>7316678.4999999991</v>
      </c>
      <c r="F67" s="1269">
        <f>SUM($D48:F48)</f>
        <v>11695162.5</v>
      </c>
      <c r="G67" s="1269">
        <f>SUM($D48:G48)</f>
        <v>13382387.5</v>
      </c>
      <c r="H67" s="1269">
        <f>SUM($D48:H48)</f>
        <v>18013543.5</v>
      </c>
      <c r="I67" s="1269">
        <f>SUM($D48:I48)</f>
        <v>23272832.440000001</v>
      </c>
      <c r="J67" s="1269">
        <f>SUM($D48:J48)</f>
        <v>25749214.73</v>
      </c>
      <c r="K67" s="1269">
        <f>SUM($D48:K48)</f>
        <v>28540942.490000002</v>
      </c>
      <c r="L67" s="1269">
        <f>SUM($D48:L48)</f>
        <v>31527201.890000001</v>
      </c>
      <c r="M67" s="1269">
        <f>SUM($D48:M48)</f>
        <v>35576564.329999998</v>
      </c>
      <c r="N67" s="1269">
        <f>SUM($D48:N48)</f>
        <v>39857729.329999998</v>
      </c>
      <c r="O67" s="1269">
        <f>SUM($D48:O48)</f>
        <v>44294208.329999998</v>
      </c>
      <c r="P67" s="1273">
        <f t="shared" ref="P67:P69" si="151">O67</f>
        <v>44294208.329999998</v>
      </c>
      <c r="R67" s="1044"/>
      <c r="S67" s="1044"/>
      <c r="T67" s="1044"/>
      <c r="U67" s="1044"/>
      <c r="V67" s="1044"/>
      <c r="W67" s="1044"/>
      <c r="X67" s="1044"/>
      <c r="Y67" s="1044"/>
      <c r="Z67" s="1044"/>
      <c r="AA67" s="1044"/>
      <c r="AB67" s="1044"/>
      <c r="AC67" s="1044"/>
      <c r="AD67" s="1044"/>
      <c r="AF67" s="1269">
        <f>SUM($AF48:AF48)</f>
        <v>2211197.9999999991</v>
      </c>
      <c r="AG67" s="1269">
        <f>SUM($AF48:AG48)</f>
        <v>4859591</v>
      </c>
      <c r="AH67" s="1269">
        <f>SUM($AF48:AH48)</f>
        <v>7114338.7699999986</v>
      </c>
      <c r="AI67" s="1269">
        <f>SUM($AF48:AI48)</f>
        <v>11893696.097999999</v>
      </c>
      <c r="AJ67" s="1269">
        <f>SUM($AF48:AJ48)</f>
        <v>15312950.097999999</v>
      </c>
      <c r="AK67" s="1269">
        <f>SUM($AF48:AK48)</f>
        <v>19395947.098000001</v>
      </c>
      <c r="AL67" s="1269">
        <f>SUM($AF48:AL48)</f>
        <v>22805686.770000003</v>
      </c>
      <c r="AM67" s="1269">
        <f>SUM($AF48:AM48)</f>
        <v>26622159.770000003</v>
      </c>
      <c r="AN67" s="1269">
        <f>SUM($AF48:AN48)</f>
        <v>29126166.77</v>
      </c>
      <c r="AO67" s="1269">
        <f>SUM($AF48:AO48)</f>
        <v>34385755.770000003</v>
      </c>
      <c r="AP67" s="1269">
        <f>SUM($AF48:AP48)</f>
        <v>37933059.770000003</v>
      </c>
      <c r="AQ67" s="1273">
        <f>SUM($AF48:AQ48)</f>
        <v>41779222.770000003</v>
      </c>
      <c r="AR67" s="1273"/>
      <c r="AT67" s="1269"/>
      <c r="AU67" s="1269"/>
      <c r="AV67" s="1269"/>
      <c r="AW67" s="1269"/>
      <c r="AX67" s="1269"/>
      <c r="AY67" s="1269"/>
      <c r="AZ67" s="1269"/>
      <c r="BA67" s="1269"/>
      <c r="BB67" s="1269"/>
      <c r="BC67" s="1269"/>
      <c r="BD67" s="1269"/>
      <c r="BE67" s="1273"/>
      <c r="BF67" s="1273"/>
      <c r="BH67" s="1269">
        <f>SUM($BH48:BH48)</f>
        <v>2316307.0000000009</v>
      </c>
      <c r="BI67" s="1269">
        <f>SUM($BH48:BI48)</f>
        <v>4097378.0000000009</v>
      </c>
      <c r="BJ67" s="1269">
        <f>SUM($BH48:BJ48)</f>
        <v>7350454.0000000028</v>
      </c>
      <c r="BK67" s="1269">
        <f>SUM($BH48:BK48)</f>
        <v>11569078.000000004</v>
      </c>
      <c r="BL67" s="1269">
        <f>SUM($BH48:BL48)</f>
        <v>15375926.000000004</v>
      </c>
      <c r="BM67" s="1269">
        <f>SUM($BH48:BM48)</f>
        <v>15375926.000000004</v>
      </c>
      <c r="BN67" s="1269">
        <f>SUM($BH48:BN48)</f>
        <v>15375926.000000004</v>
      </c>
      <c r="BO67" s="1269">
        <f>SUM($BH48:BO48)</f>
        <v>15375926.000000004</v>
      </c>
      <c r="BP67" s="1269">
        <f>SUM($BH48:BP48)</f>
        <v>15375926.000000004</v>
      </c>
      <c r="BQ67" s="1269">
        <f>SUM($BH48:BQ48)</f>
        <v>15375926.000000004</v>
      </c>
      <c r="BR67" s="1269">
        <f>SUM($BH48:BR48)</f>
        <v>15375926.000000004</v>
      </c>
      <c r="BS67" s="1273">
        <f>SUM($BH48:BS48)</f>
        <v>15375926.000000004</v>
      </c>
      <c r="BT67" s="1273"/>
    </row>
    <row r="68" spans="1:72" s="1271" customFormat="1">
      <c r="A68" s="1270" t="s">
        <v>1067</v>
      </c>
      <c r="B68" s="1270" t="s">
        <v>496</v>
      </c>
      <c r="D68" s="1272">
        <f>SUM($D49:D49)</f>
        <v>0</v>
      </c>
      <c r="E68" s="1272">
        <f>SUM($D49:E49)</f>
        <v>199345</v>
      </c>
      <c r="F68" s="1272">
        <f>SUM($D49:F49)</f>
        <v>426169</v>
      </c>
      <c r="G68" s="1272">
        <f>SUM($D49:G49)</f>
        <v>528714</v>
      </c>
      <c r="H68" s="1272">
        <f>SUM($D49:H49)</f>
        <v>720670</v>
      </c>
      <c r="I68" s="1272">
        <f>SUM($D49:I49)</f>
        <v>720670</v>
      </c>
      <c r="J68" s="1272">
        <f>SUM($D49:J49)</f>
        <v>1471433.3160000001</v>
      </c>
      <c r="K68" s="1272">
        <f>SUM($D49:K49)</f>
        <v>1726270.3160000001</v>
      </c>
      <c r="L68" s="1272">
        <f>SUM($D49:L49)</f>
        <v>1831810.3160000001</v>
      </c>
      <c r="M68" s="1272">
        <f>SUM($D49:M49)</f>
        <v>2370817.3160000001</v>
      </c>
      <c r="N68" s="1272">
        <f>SUM($D49:N49)</f>
        <v>3412884.5</v>
      </c>
      <c r="O68" s="1272">
        <f>SUM($D49:O49)</f>
        <v>4057384.5</v>
      </c>
      <c r="P68" s="1273">
        <f t="shared" si="151"/>
        <v>4057384.5</v>
      </c>
      <c r="R68" s="1270"/>
      <c r="S68" s="1270"/>
      <c r="T68" s="1270"/>
      <c r="U68" s="1270"/>
      <c r="V68" s="1270"/>
      <c r="W68" s="1270"/>
      <c r="X68" s="1270"/>
      <c r="Y68" s="1270"/>
      <c r="Z68" s="1270"/>
      <c r="AA68" s="1270"/>
      <c r="AB68" s="1270"/>
      <c r="AC68" s="1270"/>
      <c r="AD68" s="1270"/>
      <c r="AF68" s="1272">
        <f>SUM($AF49:AF49)</f>
        <v>666608</v>
      </c>
      <c r="AG68" s="1272">
        <f>SUM($AF49:AG49)</f>
        <v>933588</v>
      </c>
      <c r="AH68" s="1272">
        <f>SUM($AF49:AH49)</f>
        <v>1815356</v>
      </c>
      <c r="AI68" s="1272">
        <f>SUM($AF49:AI49)</f>
        <v>2846079.3279999997</v>
      </c>
      <c r="AJ68" s="1272">
        <f>SUM($AF49:AJ49)</f>
        <v>3977625.3279999997</v>
      </c>
      <c r="AK68" s="1272">
        <f>SUM($AF49:AK49)</f>
        <v>5623852.7570000002</v>
      </c>
      <c r="AL68" s="1272">
        <f>SUM($AF49:AL49)</f>
        <v>6873758.7570000002</v>
      </c>
      <c r="AM68" s="1272">
        <f>SUM($AF49:AM49)</f>
        <v>8046261.7570000002</v>
      </c>
      <c r="AN68" s="1272">
        <f>SUM($AF49:AN49)</f>
        <v>9112421.7569999993</v>
      </c>
      <c r="AO68" s="1272">
        <f>SUM($AF49:AO49)</f>
        <v>11237336.756999999</v>
      </c>
      <c r="AP68" s="1272">
        <f>SUM($AF49:AP49)</f>
        <v>11603739.756999999</v>
      </c>
      <c r="AQ68" s="1274">
        <f>SUM($AF49:AQ49)</f>
        <v>12191236.756999999</v>
      </c>
      <c r="AR68" s="1274"/>
      <c r="AT68" s="1272"/>
      <c r="AU68" s="1272"/>
      <c r="AV68" s="1272"/>
      <c r="AW68" s="1272"/>
      <c r="AX68" s="1272"/>
      <c r="AY68" s="1272"/>
      <c r="AZ68" s="1272"/>
      <c r="BA68" s="1272"/>
      <c r="BB68" s="1272"/>
      <c r="BC68" s="1272"/>
      <c r="BD68" s="1272"/>
      <c r="BE68" s="1274"/>
      <c r="BF68" s="1274"/>
      <c r="BH68" s="1272">
        <f>SUM($BH49:BH49)</f>
        <v>414377.99999999994</v>
      </c>
      <c r="BI68" s="1272">
        <f>SUM($BH49:BI49)</f>
        <v>811650</v>
      </c>
      <c r="BJ68" s="1272">
        <f>SUM($BH49:BJ49)</f>
        <v>1677392</v>
      </c>
      <c r="BK68" s="1272">
        <f>SUM($BH49:BK49)</f>
        <v>2778802</v>
      </c>
      <c r="BL68" s="1272">
        <f>SUM($BH49:BL49)</f>
        <v>4169763.9999999991</v>
      </c>
      <c r="BM68" s="1272">
        <f>SUM($BH49:BM49)</f>
        <v>4169763.9999999991</v>
      </c>
      <c r="BN68" s="1272">
        <f>SUM($BH49:BN49)</f>
        <v>4169763.9999999991</v>
      </c>
      <c r="BO68" s="1272">
        <f>SUM($BH49:BO49)</f>
        <v>4169763.9999999991</v>
      </c>
      <c r="BP68" s="1272">
        <f>SUM($BH49:BP49)</f>
        <v>4169763.9999999991</v>
      </c>
      <c r="BQ68" s="1272">
        <f>SUM($BH49:BQ49)</f>
        <v>4169763.9999999991</v>
      </c>
      <c r="BR68" s="1272">
        <f>SUM($BH49:BR49)</f>
        <v>4169763.9999999991</v>
      </c>
      <c r="BS68" s="1274">
        <f>SUM($BH49:BS49)</f>
        <v>4169763.9999999991</v>
      </c>
      <c r="BT68" s="1274"/>
    </row>
    <row r="69" spans="1:72">
      <c r="A69" s="1044" t="s">
        <v>912</v>
      </c>
      <c r="B69" s="1044" t="s">
        <v>496</v>
      </c>
      <c r="D69" s="1269">
        <f>SUM($D50:D50)</f>
        <v>4611991</v>
      </c>
      <c r="E69" s="1269">
        <f>SUM($D50:E50)</f>
        <v>7754305.5</v>
      </c>
      <c r="F69" s="1269">
        <f>SUM($D50:F50)</f>
        <v>11880467.5</v>
      </c>
      <c r="G69" s="1269">
        <f>SUM($D50:G50)</f>
        <v>13404687.5</v>
      </c>
      <c r="H69" s="1269">
        <f>SUM($D50:H50)</f>
        <v>18442371.100000001</v>
      </c>
      <c r="I69" s="1269">
        <f>SUM($D50:I50)</f>
        <v>22963943.400000002</v>
      </c>
      <c r="J69" s="1269">
        <f>SUM($D50:J50)</f>
        <v>24294336.279000003</v>
      </c>
      <c r="K69" s="1269">
        <f>SUM($D50:K50)</f>
        <v>26290787.907000002</v>
      </c>
      <c r="L69" s="1269">
        <f>SUM($D50:L50)</f>
        <v>29419798.858000003</v>
      </c>
      <c r="M69" s="1269">
        <f>SUM($D50:M50)</f>
        <v>32980690.358000003</v>
      </c>
      <c r="N69" s="1269">
        <f>SUM($D50:N50)</f>
        <v>37522950.113000005</v>
      </c>
      <c r="O69" s="1269">
        <f>SUM($D50:O50)</f>
        <v>40865870.613000005</v>
      </c>
      <c r="P69" s="1273">
        <f t="shared" si="151"/>
        <v>40865870.613000005</v>
      </c>
      <c r="R69" s="1044"/>
      <c r="S69" s="1044"/>
      <c r="T69" s="1044"/>
      <c r="U69" s="1044"/>
      <c r="V69" s="1044"/>
      <c r="W69" s="1044"/>
      <c r="X69" s="1044"/>
      <c r="Y69" s="1044"/>
      <c r="Z69" s="1044"/>
      <c r="AA69" s="1044"/>
      <c r="AB69" s="1044"/>
      <c r="AC69" s="1044"/>
      <c r="AD69" s="1044"/>
      <c r="AF69" s="1269">
        <f>SUM($AF50:AF50)</f>
        <v>2099113</v>
      </c>
      <c r="AG69" s="1269">
        <f>SUM($AF50:AG50)</f>
        <v>4529813</v>
      </c>
      <c r="AH69" s="1269">
        <f>SUM($AF50:AH50)</f>
        <v>8202962</v>
      </c>
      <c r="AI69" s="1269">
        <f>SUM($AF50:AI50)</f>
        <v>13179295.5</v>
      </c>
      <c r="AJ69" s="1269">
        <f>SUM($AF50:AJ50)</f>
        <v>16975642</v>
      </c>
      <c r="AK69" s="1269">
        <f>SUM($AF50:AK50)</f>
        <v>21282222.25</v>
      </c>
      <c r="AL69" s="1269">
        <f>SUM($AF50:AL50)</f>
        <v>25525442.75</v>
      </c>
      <c r="AM69" s="1269">
        <f>SUM($AF50:AM50)</f>
        <v>30016842</v>
      </c>
      <c r="AN69" s="1269">
        <f>SUM($AF50:AN50)</f>
        <v>33593616</v>
      </c>
      <c r="AO69" s="1269">
        <f>SUM($AF50:AO50)</f>
        <v>37962908</v>
      </c>
      <c r="AP69" s="1269">
        <f>SUM($AF50:AP50)</f>
        <v>39788306</v>
      </c>
      <c r="AQ69" s="1273">
        <f>SUM($AF50:AQ50)</f>
        <v>43087551</v>
      </c>
      <c r="AR69" s="1273"/>
      <c r="AT69" s="1269"/>
      <c r="AU69" s="1269"/>
      <c r="AV69" s="1269"/>
      <c r="AW69" s="1269"/>
      <c r="AX69" s="1269"/>
      <c r="AY69" s="1269"/>
      <c r="AZ69" s="1269"/>
      <c r="BA69" s="1269"/>
      <c r="BB69" s="1269"/>
      <c r="BC69" s="1269"/>
      <c r="BD69" s="1269"/>
      <c r="BE69" s="1273"/>
      <c r="BF69" s="1273"/>
      <c r="BH69" s="1269">
        <f>SUM($BH50:BH50)</f>
        <v>2834032</v>
      </c>
      <c r="BI69" s="1269">
        <f>SUM($BH50:BI50)</f>
        <v>4134382.3</v>
      </c>
      <c r="BJ69" s="1269">
        <f>SUM($BH50:BJ50)</f>
        <v>8453694.3000000045</v>
      </c>
      <c r="BK69" s="1269">
        <f>SUM($BH50:BK50)</f>
        <v>12708734.200000007</v>
      </c>
      <c r="BL69" s="1269">
        <f>SUM($BH50:BL50)</f>
        <v>16022435.700000009</v>
      </c>
      <c r="BM69" s="1269">
        <f>SUM($BH50:BM50)</f>
        <v>16022435.700000009</v>
      </c>
      <c r="BN69" s="1269">
        <f>SUM($BH50:BN50)</f>
        <v>16022435.700000009</v>
      </c>
      <c r="BO69" s="1269">
        <f>SUM($BH50:BO50)</f>
        <v>16022435.700000009</v>
      </c>
      <c r="BP69" s="1269">
        <f>SUM($BH50:BP50)</f>
        <v>16022435.700000009</v>
      </c>
      <c r="BQ69" s="1269">
        <f>SUM($BH50:BQ50)</f>
        <v>16022435.700000009</v>
      </c>
      <c r="BR69" s="1269">
        <f>SUM($BH50:BR50)</f>
        <v>16022435.700000009</v>
      </c>
      <c r="BS69" s="1273">
        <f>SUM($BH50:BS50)</f>
        <v>16022435.700000009</v>
      </c>
      <c r="BT69" s="1273"/>
    </row>
    <row r="70" spans="1:72">
      <c r="AQ70" s="143"/>
      <c r="AR70" s="143"/>
      <c r="BE70" s="143"/>
      <c r="BF70" s="143"/>
      <c r="BS70" s="143"/>
      <c r="BT70" s="143"/>
    </row>
    <row r="71" spans="1:72" s="1285" customFormat="1" ht="16">
      <c r="A71" s="1285" t="s">
        <v>918</v>
      </c>
      <c r="AQ71" s="1286"/>
      <c r="AR71" s="1286"/>
      <c r="BE71" s="1286"/>
      <c r="BF71" s="1286"/>
      <c r="BS71" s="1286"/>
      <c r="BT71" s="1286"/>
    </row>
    <row r="72" spans="1:72">
      <c r="A72" s="1044" t="s">
        <v>1066</v>
      </c>
      <c r="B72" s="1044" t="s">
        <v>496</v>
      </c>
      <c r="D72" s="1269">
        <f>SUM($D53:D53)</f>
        <v>648999.99999999988</v>
      </c>
      <c r="E72" s="1269">
        <f>SUM($D53:E53)</f>
        <v>1224195</v>
      </c>
      <c r="F72" s="1269">
        <f>SUM($D53:F53)</f>
        <v>1963195</v>
      </c>
      <c r="G72" s="1269">
        <f>SUM($D53:G53)</f>
        <v>2628703.6590501084</v>
      </c>
      <c r="H72" s="1269">
        <f>SUM($D53:H53)</f>
        <v>3461003.6590501084</v>
      </c>
      <c r="I72" s="1269">
        <f>SUM($D53:I53)</f>
        <v>4501460.6590501089</v>
      </c>
      <c r="J72" s="1269">
        <f>SUM($D53:J53)</f>
        <v>5215960.6590501089</v>
      </c>
      <c r="K72" s="1269">
        <f>SUM($D53:K53)</f>
        <v>5760960.6590501089</v>
      </c>
      <c r="L72" s="1269">
        <f>SUM($D53:L53)</f>
        <v>6291160.6590501089</v>
      </c>
      <c r="M72" s="1269">
        <f>SUM($D53:M53)</f>
        <v>6794838.6590501089</v>
      </c>
      <c r="N72" s="1269">
        <f>SUM($D53:N53)</f>
        <v>7372738.6590501089</v>
      </c>
      <c r="O72" s="1269">
        <f>SUM($D53:O53)</f>
        <v>7691038.6590501089</v>
      </c>
      <c r="P72" s="1273">
        <f>O72</f>
        <v>7691038.6590501089</v>
      </c>
      <c r="R72" s="1044"/>
      <c r="S72" s="1044"/>
      <c r="T72" s="1044"/>
      <c r="U72" s="1044"/>
      <c r="V72" s="1044"/>
      <c r="W72" s="1044"/>
      <c r="X72" s="1044"/>
      <c r="Y72" s="1044"/>
      <c r="Z72" s="1044"/>
      <c r="AA72" s="1044"/>
      <c r="AB72" s="1044"/>
      <c r="AC72" s="1044"/>
      <c r="AD72" s="1044"/>
      <c r="AF72" s="1269">
        <f>SUM($AF53:AF53)</f>
        <v>621700</v>
      </c>
      <c r="AG72" s="1269">
        <f>SUM($AF53:AG53)</f>
        <v>1339500</v>
      </c>
      <c r="AH72" s="1269">
        <f>SUM($AF53:AH53)</f>
        <v>1573500</v>
      </c>
      <c r="AI72" s="1269">
        <f>SUM($AF53:AI53)</f>
        <v>2284101</v>
      </c>
      <c r="AJ72" s="1269">
        <f>SUM($AF53:AJ53)</f>
        <v>2837413.1449739058</v>
      </c>
      <c r="AK72" s="1269">
        <f>SUM($AF53:AK53)</f>
        <v>3747113.1449739058</v>
      </c>
      <c r="AL72" s="1269">
        <f>SUM($AF53:AL53)</f>
        <v>4500513.1449739058</v>
      </c>
      <c r="AM72" s="1269">
        <f>SUM($AF53:AM53)</f>
        <v>5393313.1449739058</v>
      </c>
      <c r="AN72" s="1269">
        <f>SUM($AF53:AN53)</f>
        <v>5760313.1449739058</v>
      </c>
      <c r="AO72" s="1269">
        <f>SUM($AF53:AO53)</f>
        <v>8335560.1449739058</v>
      </c>
      <c r="AP72" s="1269">
        <f>SUM($AF53:AP53)</f>
        <v>9207760.1449739058</v>
      </c>
      <c r="AQ72" s="1273">
        <f>SUM($AF53:AQ53)</f>
        <v>10230990.144973906</v>
      </c>
      <c r="AR72" s="1273"/>
      <c r="AT72" s="1269"/>
      <c r="AU72" s="1269"/>
      <c r="AV72" s="1269"/>
      <c r="AW72" s="1269"/>
      <c r="AX72" s="1269"/>
      <c r="AY72" s="1269"/>
      <c r="AZ72" s="1269"/>
      <c r="BA72" s="1269"/>
      <c r="BB72" s="1269"/>
      <c r="BC72" s="1269"/>
      <c r="BD72" s="1269"/>
      <c r="BE72" s="1273"/>
      <c r="BF72" s="1273"/>
      <c r="BH72" s="1269">
        <f>SUM($BH53:BH53)</f>
        <v>721100</v>
      </c>
      <c r="BI72" s="1269">
        <f>SUM($BH53:BI53)</f>
        <v>1134600</v>
      </c>
      <c r="BJ72" s="1269">
        <f>SUM($BH53:BJ53)</f>
        <v>2082115</v>
      </c>
      <c r="BK72" s="1269">
        <f>SUM($BH53:BK53)</f>
        <v>2852715</v>
      </c>
      <c r="BL72" s="1269">
        <f>SUM($BH53:BL53)</f>
        <v>3601815</v>
      </c>
      <c r="BM72" s="1269">
        <f>SUM($BH53:BM53)</f>
        <v>3601815</v>
      </c>
      <c r="BN72" s="1269">
        <f>SUM($BH53:BN53)</f>
        <v>3601815</v>
      </c>
      <c r="BO72" s="1269">
        <f>SUM($BH53:BO53)</f>
        <v>3601815</v>
      </c>
      <c r="BP72" s="1269">
        <f>SUM($BH53:BP53)</f>
        <v>3601815</v>
      </c>
      <c r="BQ72" s="1269">
        <f>SUM($BH53:BQ53)</f>
        <v>3601815</v>
      </c>
      <c r="BR72" s="1269">
        <f>SUM($BH53:BR53)</f>
        <v>3601815</v>
      </c>
      <c r="BS72" s="1273">
        <f>SUM($BH53:BS53)</f>
        <v>3601815</v>
      </c>
      <c r="BT72" s="1273"/>
    </row>
    <row r="73" spans="1:72">
      <c r="A73" s="1044" t="s">
        <v>1068</v>
      </c>
      <c r="B73" s="1044" t="s">
        <v>496</v>
      </c>
      <c r="D73" s="1269">
        <f>SUM($D54:D54)</f>
        <v>4226040</v>
      </c>
      <c r="E73" s="1269">
        <f>SUM($D54:E54)</f>
        <v>6920040</v>
      </c>
      <c r="F73" s="1269">
        <f>SUM($D54:F54)</f>
        <v>11054040</v>
      </c>
      <c r="G73" s="1269">
        <f>SUM($D54:G54)</f>
        <v>12654240</v>
      </c>
      <c r="H73" s="1269">
        <f>SUM($D54:H54)</f>
        <v>17062761.199999999</v>
      </c>
      <c r="I73" s="1269">
        <f>SUM($D54:I54)</f>
        <v>22110261.199999999</v>
      </c>
      <c r="J73" s="1269">
        <f>SUM($D54:J54)</f>
        <v>24539461.199999999</v>
      </c>
      <c r="K73" s="1269">
        <f>SUM($D54:K54)</f>
        <v>27204551.199999999</v>
      </c>
      <c r="L73" s="1269">
        <f>SUM($D54:L54)</f>
        <v>30058051.199999999</v>
      </c>
      <c r="M73" s="1269">
        <f>SUM($D54:M54)</f>
        <v>33940366.200000003</v>
      </c>
      <c r="N73" s="1269">
        <f>SUM($D54:N54)</f>
        <v>38110968.200000003</v>
      </c>
      <c r="O73" s="1269">
        <f>SUM($D54:O54)</f>
        <v>42252669.214088343</v>
      </c>
      <c r="P73" s="1273">
        <f t="shared" ref="P73:P75" si="152">O73</f>
        <v>42252669.214088343</v>
      </c>
      <c r="R73" s="1044"/>
      <c r="S73" s="1044"/>
      <c r="T73" s="1044"/>
      <c r="U73" s="1044"/>
      <c r="V73" s="1044"/>
      <c r="W73" s="1044"/>
      <c r="X73" s="1044"/>
      <c r="Y73" s="1044"/>
      <c r="Z73" s="1044"/>
      <c r="AA73" s="1044"/>
      <c r="AB73" s="1044"/>
      <c r="AC73" s="1044"/>
      <c r="AD73" s="1044"/>
      <c r="AF73" s="1269">
        <f>SUM($AF54:AF54)</f>
        <v>2083650</v>
      </c>
      <c r="AG73" s="1269">
        <f>SUM($AF54:AG54)</f>
        <v>4577350</v>
      </c>
      <c r="AH73" s="1269">
        <f>SUM($AF54:AH54)</f>
        <v>6710150</v>
      </c>
      <c r="AI73" s="1269">
        <f>SUM($AF54:AI54)</f>
        <v>11243050</v>
      </c>
      <c r="AJ73" s="1269">
        <f>SUM($AF54:AJ54)</f>
        <v>14470250</v>
      </c>
      <c r="AK73" s="1269">
        <f>SUM($AF54:AK54)</f>
        <v>18304420</v>
      </c>
      <c r="AL73" s="1269">
        <f>SUM($AF54:AL54)</f>
        <v>21489738.394764587</v>
      </c>
      <c r="AM73" s="1269">
        <f>SUM($AF54:AM54)</f>
        <v>25004660.709183559</v>
      </c>
      <c r="AN73" s="1269">
        <f>SUM($AF54:AN54)</f>
        <v>27341491.030237436</v>
      </c>
      <c r="AO73" s="1269">
        <f>SUM($AF54:AO54)</f>
        <v>32114517.316913597</v>
      </c>
      <c r="AP73" s="1269">
        <f>SUM($AF54:AP54)</f>
        <v>35434747.316913597</v>
      </c>
      <c r="AQ73" s="1273">
        <f>SUM($AF54:AQ54)</f>
        <v>39012059.416557722</v>
      </c>
      <c r="AR73" s="1273"/>
      <c r="AT73" s="1269"/>
      <c r="AU73" s="1269"/>
      <c r="AV73" s="1269"/>
      <c r="AW73" s="1269"/>
      <c r="AX73" s="1269"/>
      <c r="AY73" s="1269"/>
      <c r="AZ73" s="1269"/>
      <c r="BA73" s="1269"/>
      <c r="BB73" s="1269"/>
      <c r="BC73" s="1269"/>
      <c r="BD73" s="1269"/>
      <c r="BE73" s="1273"/>
      <c r="BF73" s="1273"/>
      <c r="BH73" s="1269">
        <f>SUM($BH54:BH54)</f>
        <v>2156400</v>
      </c>
      <c r="BI73" s="1269">
        <f>SUM($BH54:BI54)</f>
        <v>3782000</v>
      </c>
      <c r="BJ73" s="1269">
        <f>SUM($BH54:BJ54)</f>
        <v>6744580</v>
      </c>
      <c r="BK73" s="1269">
        <f>SUM($BH54:BK54)</f>
        <v>10593980</v>
      </c>
      <c r="BL73" s="1269">
        <f>SUM($BH54:BL54)</f>
        <v>14120680</v>
      </c>
      <c r="BM73" s="1269">
        <f>SUM($BH54:BM54)</f>
        <v>14120680</v>
      </c>
      <c r="BN73" s="1269">
        <f>SUM($BH54:BN54)</f>
        <v>14120680</v>
      </c>
      <c r="BO73" s="1269">
        <f>SUM($BH54:BO54)</f>
        <v>14120680</v>
      </c>
      <c r="BP73" s="1269">
        <f>SUM($BH54:BP54)</f>
        <v>14120680</v>
      </c>
      <c r="BQ73" s="1269">
        <f>SUM($BH54:BQ54)</f>
        <v>14120680</v>
      </c>
      <c r="BR73" s="1269">
        <f>SUM($BH54:BR54)</f>
        <v>14120680</v>
      </c>
      <c r="BS73" s="1273">
        <f>SUM($BH54:BS54)</f>
        <v>14120680</v>
      </c>
      <c r="BT73" s="1273"/>
    </row>
    <row r="74" spans="1:72" s="1271" customFormat="1">
      <c r="A74" s="1270" t="s">
        <v>1067</v>
      </c>
      <c r="B74" s="1270" t="s">
        <v>496</v>
      </c>
      <c r="D74" s="1272">
        <f>SUM($D55:D55)</f>
        <v>0</v>
      </c>
      <c r="E74" s="1272">
        <f>SUM($D55:E55)</f>
        <v>174679</v>
      </c>
      <c r="F74" s="1272">
        <f>SUM($D55:F55)</f>
        <v>389381</v>
      </c>
      <c r="G74" s="1272">
        <f>SUM($D55:G55)</f>
        <v>490194</v>
      </c>
      <c r="H74" s="1272">
        <f>SUM($D55:H55)</f>
        <v>657994</v>
      </c>
      <c r="I74" s="1272">
        <f>SUM($D55:I55)</f>
        <v>657994</v>
      </c>
      <c r="J74" s="1272">
        <f>SUM($D55:J55)</f>
        <v>1378394</v>
      </c>
      <c r="K74" s="1272">
        <f>SUM($D55:K55)</f>
        <v>1623038</v>
      </c>
      <c r="L74" s="1272">
        <f>SUM($D55:L55)</f>
        <v>1722378</v>
      </c>
      <c r="M74" s="1272">
        <f>SUM($D55:M55)</f>
        <v>2248708</v>
      </c>
      <c r="N74" s="1272">
        <f>SUM($D55:N55)</f>
        <v>3237191</v>
      </c>
      <c r="O74" s="1272">
        <f>SUM($D55:O55)</f>
        <v>3847575</v>
      </c>
      <c r="P74" s="1273">
        <f t="shared" si="152"/>
        <v>3847575</v>
      </c>
      <c r="R74" s="1270"/>
      <c r="S74" s="1270"/>
      <c r="T74" s="1270"/>
      <c r="U74" s="1270"/>
      <c r="V74" s="1270"/>
      <c r="W74" s="1270"/>
      <c r="X74" s="1270"/>
      <c r="Y74" s="1270"/>
      <c r="Z74" s="1270"/>
      <c r="AA74" s="1270"/>
      <c r="AB74" s="1270"/>
      <c r="AC74" s="1270"/>
      <c r="AD74" s="1270"/>
      <c r="AF74" s="1272">
        <f>SUM($AF55:AF55)</f>
        <v>581700</v>
      </c>
      <c r="AG74" s="1272">
        <f>SUM($AF55:AG55)</f>
        <v>817850</v>
      </c>
      <c r="AH74" s="1272">
        <f>SUM($AF55:AH55)</f>
        <v>1632370</v>
      </c>
      <c r="AI74" s="1272">
        <f>SUM($AF55:AI55)</f>
        <v>2553524</v>
      </c>
      <c r="AJ74" s="1272">
        <f>SUM($AF55:AJ55)</f>
        <v>3592712</v>
      </c>
      <c r="AK74" s="1272">
        <f>SUM($AF55:AK55)</f>
        <v>5048673</v>
      </c>
      <c r="AL74" s="1272">
        <f>SUM($AF55:AL55)</f>
        <v>6120426</v>
      </c>
      <c r="AM74" s="1272">
        <f>SUM($AF55:AM55)</f>
        <v>7077576</v>
      </c>
      <c r="AN74" s="1272">
        <f>SUM($AF55:AN55)</f>
        <v>7920776</v>
      </c>
      <c r="AO74" s="1272">
        <f>SUM($AF55:AO55)</f>
        <v>9496876</v>
      </c>
      <c r="AP74" s="1272">
        <f>SUM($AF55:AP55)</f>
        <v>9773876</v>
      </c>
      <c r="AQ74" s="1274">
        <f>SUM($AF55:AQ55)</f>
        <v>10261876</v>
      </c>
      <c r="AR74" s="1274"/>
      <c r="AT74" s="1272"/>
      <c r="AU74" s="1272"/>
      <c r="AV74" s="1272"/>
      <c r="AW74" s="1272"/>
      <c r="AX74" s="1272"/>
      <c r="AY74" s="1272"/>
      <c r="AZ74" s="1272"/>
      <c r="BA74" s="1272"/>
      <c r="BB74" s="1272"/>
      <c r="BC74" s="1272"/>
      <c r="BD74" s="1272"/>
      <c r="BE74" s="1274"/>
      <c r="BF74" s="1274"/>
      <c r="BH74" s="1272">
        <f>SUM($BH55:BH55)</f>
        <v>351600</v>
      </c>
      <c r="BI74" s="1272">
        <f>SUM($BH55:BI55)</f>
        <v>679300</v>
      </c>
      <c r="BJ74" s="1272">
        <f>SUM($BH55:BJ55)</f>
        <v>1395300</v>
      </c>
      <c r="BK74" s="1272">
        <f>SUM($BH55:BK55)</f>
        <v>2317900</v>
      </c>
      <c r="BL74" s="1272">
        <f>SUM($BH55:BL55)</f>
        <v>3443200</v>
      </c>
      <c r="BM74" s="1272">
        <f>SUM($BH55:BM55)</f>
        <v>3443200</v>
      </c>
      <c r="BN74" s="1272">
        <f>SUM($BH55:BN55)</f>
        <v>3443200</v>
      </c>
      <c r="BO74" s="1272">
        <f>SUM($BH55:BO55)</f>
        <v>3443200</v>
      </c>
      <c r="BP74" s="1272">
        <f>SUM($BH55:BP55)</f>
        <v>3443200</v>
      </c>
      <c r="BQ74" s="1272">
        <f>SUM($BH55:BQ55)</f>
        <v>3443200</v>
      </c>
      <c r="BR74" s="1272">
        <f>SUM($BH55:BR55)</f>
        <v>3443200</v>
      </c>
      <c r="BS74" s="1274">
        <f>SUM($BH55:BS55)</f>
        <v>3443200</v>
      </c>
      <c r="BT74" s="1274"/>
    </row>
    <row r="75" spans="1:72">
      <c r="A75" s="1044" t="s">
        <v>912</v>
      </c>
      <c r="B75" s="1044" t="s">
        <v>496</v>
      </c>
      <c r="D75" s="1269">
        <f>SUM($D56:D56)</f>
        <v>4460390</v>
      </c>
      <c r="E75" s="1269">
        <f>SUM($D56:E56)</f>
        <v>7503833</v>
      </c>
      <c r="F75" s="1269">
        <f>SUM($D56:F56)</f>
        <v>11469981</v>
      </c>
      <c r="G75" s="1269">
        <f>SUM($D56:G56)</f>
        <v>12946182</v>
      </c>
      <c r="H75" s="1269">
        <f>SUM($D56:H56)</f>
        <v>17816982</v>
      </c>
      <c r="I75" s="1269">
        <f>SUM($D56:I56)</f>
        <v>22175382</v>
      </c>
      <c r="J75" s="1269">
        <f>SUM($D56:J56)</f>
        <v>23413771</v>
      </c>
      <c r="K75" s="1269">
        <f>SUM($D56:K56)</f>
        <v>25293569</v>
      </c>
      <c r="L75" s="1269">
        <f>SUM($D56:L56)</f>
        <v>28303047</v>
      </c>
      <c r="M75" s="1269">
        <f>SUM($D56:M56)</f>
        <v>31691319.5</v>
      </c>
      <c r="N75" s="1269">
        <f>SUM($D56:N56)</f>
        <v>35994241.5</v>
      </c>
      <c r="O75" s="1269">
        <f>SUM($D56:O56)</f>
        <v>39189753.5</v>
      </c>
      <c r="P75" s="1273">
        <f t="shared" si="152"/>
        <v>39189753.5</v>
      </c>
      <c r="R75" s="1044"/>
      <c r="S75" s="1044"/>
      <c r="T75" s="1044"/>
      <c r="U75" s="1044"/>
      <c r="V75" s="1044"/>
      <c r="W75" s="1044"/>
      <c r="X75" s="1044"/>
      <c r="Y75" s="1044"/>
      <c r="Z75" s="1044"/>
      <c r="AA75" s="1044"/>
      <c r="AB75" s="1044"/>
      <c r="AC75" s="1044"/>
      <c r="AD75" s="1044"/>
      <c r="AF75" s="1269">
        <f>SUM($AF56:AF56)</f>
        <v>2029634</v>
      </c>
      <c r="AG75" s="1269">
        <f>SUM($AF56:AG56)</f>
        <v>4269374</v>
      </c>
      <c r="AH75" s="1269">
        <f>SUM($AF56:AH56)</f>
        <v>7685539</v>
      </c>
      <c r="AI75" s="1269">
        <f>SUM($AF56:AI56)</f>
        <v>12348048</v>
      </c>
      <c r="AJ75" s="1269">
        <f>SUM($AF56:AJ56)</f>
        <v>15921148</v>
      </c>
      <c r="AK75" s="1269">
        <f>SUM($AF56:AK56)</f>
        <v>19960156</v>
      </c>
      <c r="AL75" s="1269">
        <f>SUM($AF56:AL56)</f>
        <v>23934806</v>
      </c>
      <c r="AM75" s="1269">
        <f>SUM($AF56:AM56)</f>
        <v>28145156</v>
      </c>
      <c r="AN75" s="1269">
        <f>SUM($AF56:AN56)</f>
        <v>31521354</v>
      </c>
      <c r="AO75" s="1269">
        <f>SUM($AF56:AO56)</f>
        <v>35656929</v>
      </c>
      <c r="AP75" s="1269">
        <f>SUM($AF56:AP56)</f>
        <v>37396109</v>
      </c>
      <c r="AQ75" s="1273">
        <f>SUM($AF56:AQ56)</f>
        <v>40482309</v>
      </c>
      <c r="AR75" s="1273"/>
      <c r="AT75" s="1269"/>
      <c r="AU75" s="1269"/>
      <c r="AV75" s="1269"/>
      <c r="AW75" s="1269"/>
      <c r="AX75" s="1269"/>
      <c r="AY75" s="1269"/>
      <c r="AZ75" s="1269"/>
      <c r="BA75" s="1269"/>
      <c r="BB75" s="1269"/>
      <c r="BC75" s="1269"/>
      <c r="BD75" s="1269"/>
      <c r="BE75" s="1273"/>
      <c r="BF75" s="1273"/>
      <c r="BH75" s="1269">
        <f>SUM($BH56:BH56)</f>
        <v>2682135.75</v>
      </c>
      <c r="BI75" s="1269">
        <f>SUM($BH56:BI56)</f>
        <v>3912867.75</v>
      </c>
      <c r="BJ75" s="1269">
        <f>SUM($BH56:BJ56)</f>
        <v>8015988.7499999991</v>
      </c>
      <c r="BK75" s="1269">
        <f>SUM($BH56:BK56)</f>
        <v>12082845.75</v>
      </c>
      <c r="BL75" s="1269">
        <f>SUM($BH56:BL56)</f>
        <v>15256423.75</v>
      </c>
      <c r="BM75" s="1269">
        <f>SUM($BH56:BM56)</f>
        <v>15256423.75</v>
      </c>
      <c r="BN75" s="1269">
        <f>SUM($BH56:BN56)</f>
        <v>15256423.75</v>
      </c>
      <c r="BO75" s="1269">
        <f>SUM($BH56:BO56)</f>
        <v>15256423.75</v>
      </c>
      <c r="BP75" s="1269">
        <f>SUM($BH56:BP56)</f>
        <v>15256423.75</v>
      </c>
      <c r="BQ75" s="1269">
        <f>SUM($BH56:BQ56)</f>
        <v>15256423.75</v>
      </c>
      <c r="BR75" s="1269">
        <f>SUM($BH56:BR56)</f>
        <v>15256423.75</v>
      </c>
      <c r="BS75" s="1273">
        <f>SUM($BH56:BS56)</f>
        <v>15256423.75</v>
      </c>
      <c r="BT75" s="1273"/>
    </row>
    <row r="77" spans="1:72" s="1285" customFormat="1" ht="16">
      <c r="A77" s="1287" t="s">
        <v>921</v>
      </c>
      <c r="B77" s="1287"/>
      <c r="D77" s="1306"/>
      <c r="E77" s="1306"/>
      <c r="F77" s="1306"/>
      <c r="G77" s="1306"/>
      <c r="H77" s="1306"/>
      <c r="I77" s="1306"/>
      <c r="J77" s="1306"/>
      <c r="K77" s="1306"/>
      <c r="L77" s="1306"/>
      <c r="M77" s="1306"/>
      <c r="N77" s="1306"/>
      <c r="O77" s="1306"/>
      <c r="P77" s="1306"/>
      <c r="R77" s="1287"/>
      <c r="S77" s="1287"/>
      <c r="T77" s="1287"/>
      <c r="U77" s="1287"/>
      <c r="V77" s="1287"/>
      <c r="W77" s="1287"/>
      <c r="X77" s="1287"/>
      <c r="Y77" s="1287"/>
      <c r="Z77" s="1287"/>
      <c r="AA77" s="1287"/>
      <c r="AB77" s="1287"/>
      <c r="AC77" s="1287"/>
      <c r="AD77" s="1287"/>
      <c r="AF77" s="1287"/>
      <c r="AG77" s="1287"/>
      <c r="AH77" s="1287"/>
      <c r="AI77" s="1287"/>
      <c r="AJ77" s="1287"/>
      <c r="AK77" s="1287"/>
      <c r="AL77" s="1287"/>
      <c r="AM77" s="1287"/>
      <c r="AN77" s="1287"/>
      <c r="AO77" s="1287"/>
      <c r="AP77" s="1287"/>
      <c r="AQ77" s="1288"/>
      <c r="AR77" s="1288"/>
      <c r="AT77" s="1287"/>
      <c r="AU77" s="1287"/>
      <c r="AV77" s="1287"/>
      <c r="AW77" s="1287"/>
      <c r="AX77" s="1287"/>
      <c r="AY77" s="1287"/>
      <c r="AZ77" s="1287"/>
      <c r="BA77" s="1287"/>
      <c r="BB77" s="1287"/>
      <c r="BC77" s="1287"/>
      <c r="BD77" s="1287"/>
      <c r="BE77" s="1288"/>
      <c r="BF77" s="1288"/>
      <c r="BH77" s="1287"/>
      <c r="BI77" s="1287"/>
      <c r="BJ77" s="1287"/>
      <c r="BK77" s="1287"/>
      <c r="BL77" s="1287"/>
      <c r="BM77" s="1287"/>
      <c r="BN77" s="1287"/>
      <c r="BO77" s="1287"/>
      <c r="BP77" s="1287"/>
      <c r="BQ77" s="1287"/>
      <c r="BR77" s="1287"/>
      <c r="BS77" s="1288"/>
      <c r="BT77" s="1288"/>
    </row>
    <row r="78" spans="1:72">
      <c r="A78" s="1279" t="s">
        <v>1066</v>
      </c>
      <c r="B78" s="1279"/>
      <c r="D78" s="1299">
        <f t="shared" ref="D78:O78" si="153">IFERROR(D72/D66,0)</f>
        <v>0.87222441754149416</v>
      </c>
      <c r="E78" s="1299">
        <f t="shared" si="153"/>
        <v>0.87672103204847507</v>
      </c>
      <c r="F78" s="1299">
        <f t="shared" si="153"/>
        <v>0.88128070874313857</v>
      </c>
      <c r="G78" s="1299">
        <f t="shared" si="153"/>
        <v>0.88091841630350998</v>
      </c>
      <c r="H78" s="1299">
        <f t="shared" si="153"/>
        <v>0.88556099947727629</v>
      </c>
      <c r="I78" s="1299">
        <f t="shared" si="153"/>
        <v>0.88983978193515012</v>
      </c>
      <c r="J78" s="1299">
        <f t="shared" si="153"/>
        <v>0.89917318831964188</v>
      </c>
      <c r="K78" s="1299">
        <f t="shared" si="153"/>
        <v>0.89943916767940535</v>
      </c>
      <c r="L78" s="1299">
        <f t="shared" si="153"/>
        <v>0.89881535880241015</v>
      </c>
      <c r="M78" s="1299">
        <f t="shared" si="153"/>
        <v>0.89422790335008984</v>
      </c>
      <c r="N78" s="1299">
        <f t="shared" si="153"/>
        <v>0.88685768544891563</v>
      </c>
      <c r="O78" s="1299">
        <f t="shared" si="153"/>
        <v>0.88340789806910025</v>
      </c>
      <c r="P78" s="1301">
        <f>O78</f>
        <v>0.88340789806910025</v>
      </c>
      <c r="Q78" s="311"/>
      <c r="R78" s="1280"/>
      <c r="S78" s="1280"/>
      <c r="T78" s="1280"/>
      <c r="U78" s="1280"/>
      <c r="V78" s="1280"/>
      <c r="W78" s="1280"/>
      <c r="X78" s="1280"/>
      <c r="Y78" s="1280"/>
      <c r="Z78" s="1280"/>
      <c r="AA78" s="1280"/>
      <c r="AB78" s="1280"/>
      <c r="AC78" s="1280"/>
      <c r="AD78" s="1280"/>
      <c r="AE78" s="311"/>
      <c r="AF78" s="1282">
        <f>IFERROR(AF72/AF66,0)</f>
        <v>0.77888313491040839</v>
      </c>
      <c r="AG78" s="1282">
        <f t="shared" ref="AG78:AK78" si="154">IFERROR(AG72/AG66,0)</f>
        <v>0.7959882299414025</v>
      </c>
      <c r="AH78" s="1282">
        <f t="shared" si="154"/>
        <v>0.80270503581343866</v>
      </c>
      <c r="AI78" s="1282">
        <f t="shared" si="154"/>
        <v>0.81629236736841493</v>
      </c>
      <c r="AJ78" s="1282">
        <f t="shared" si="154"/>
        <v>0.82773586117772802</v>
      </c>
      <c r="AK78" s="1282">
        <f t="shared" si="154"/>
        <v>0.83439106106294414</v>
      </c>
      <c r="AL78" s="1282">
        <f t="shared" ref="AL78:AM78" si="155">IFERROR(AL72/AL66,0)</f>
        <v>0.84098471406505582</v>
      </c>
      <c r="AM78" s="1282">
        <f t="shared" si="155"/>
        <v>0.8460137194532984</v>
      </c>
      <c r="AN78" s="1282">
        <f t="shared" ref="AN78" si="156">IFERROR(AN72/AN66,0)</f>
        <v>0.84721024510691012</v>
      </c>
      <c r="AO78" s="1282">
        <f t="shared" ref="AO78:AP78" si="157">IFERROR(AO72/AO66,0)</f>
        <v>0.83812931777131716</v>
      </c>
      <c r="AP78" s="1282">
        <f t="shared" si="157"/>
        <v>0.83717910671222084</v>
      </c>
      <c r="AQ78" s="1281">
        <f t="shared" ref="AQ78" si="158">IFERROR(AQ72/AQ66,0)</f>
        <v>0.83965276647525633</v>
      </c>
      <c r="AR78" s="1281"/>
      <c r="AT78" s="1282"/>
      <c r="AU78" s="1282"/>
      <c r="AV78" s="1282"/>
      <c r="AW78" s="1282"/>
      <c r="AX78" s="1282"/>
      <c r="AY78" s="1282"/>
      <c r="AZ78" s="1282"/>
      <c r="BA78" s="1282"/>
      <c r="BB78" s="1282"/>
      <c r="BC78" s="1282"/>
      <c r="BD78" s="1282"/>
      <c r="BE78" s="1281"/>
      <c r="BF78" s="1281"/>
      <c r="BG78" s="311"/>
      <c r="BH78" s="1282">
        <f>IFERROR(BH72/BH66,0)</f>
        <v>0.88535446701681619</v>
      </c>
      <c r="BI78" s="1282">
        <f t="shared" ref="BI78:BS79" si="159">IFERROR(BI72/BI66,0)</f>
        <v>0.87997484373396839</v>
      </c>
      <c r="BJ78" s="1282">
        <f t="shared" si="159"/>
        <v>0.87585686397730089</v>
      </c>
      <c r="BK78" s="1282">
        <f t="shared" si="159"/>
        <v>0.87485259419088557</v>
      </c>
      <c r="BL78" s="1282">
        <f t="shared" si="159"/>
        <v>0.87153216422387014</v>
      </c>
      <c r="BM78" s="1282">
        <f t="shared" si="159"/>
        <v>0.87153216422387014</v>
      </c>
      <c r="BN78" s="1282">
        <f t="shared" si="159"/>
        <v>0.87153216422387014</v>
      </c>
      <c r="BO78" s="1282">
        <f t="shared" si="159"/>
        <v>0.87153216422387014</v>
      </c>
      <c r="BP78" s="1282">
        <f t="shared" si="159"/>
        <v>0.87153216422387014</v>
      </c>
      <c r="BQ78" s="1282">
        <f t="shared" si="159"/>
        <v>0.87153216422387014</v>
      </c>
      <c r="BR78" s="1282">
        <f t="shared" si="159"/>
        <v>0.87153216422387014</v>
      </c>
      <c r="BS78" s="1281">
        <f t="shared" si="159"/>
        <v>0.87153216422387014</v>
      </c>
      <c r="BT78" s="1281"/>
    </row>
    <row r="79" spans="1:72">
      <c r="A79" s="1279" t="s">
        <v>1068</v>
      </c>
      <c r="B79" s="1279"/>
      <c r="D79" s="1299">
        <f t="shared" ref="D79:O79" si="160">IFERROR(D73/D67,0)</f>
        <v>0.9503903625122454</v>
      </c>
      <c r="E79" s="1299">
        <f t="shared" si="160"/>
        <v>0.94578981432626852</v>
      </c>
      <c r="F79" s="1299">
        <f t="shared" si="160"/>
        <v>0.9451805393896836</v>
      </c>
      <c r="G79" s="1299">
        <f t="shared" si="160"/>
        <v>0.94558911853359495</v>
      </c>
      <c r="H79" s="1299">
        <f t="shared" si="160"/>
        <v>0.94721847481035581</v>
      </c>
      <c r="I79" s="1299">
        <f t="shared" si="160"/>
        <v>0.95004599276872537</v>
      </c>
      <c r="J79" s="1299">
        <f t="shared" si="160"/>
        <v>0.95301784762427977</v>
      </c>
      <c r="K79" s="1299">
        <f t="shared" si="160"/>
        <v>0.95317634340673085</v>
      </c>
      <c r="L79" s="1299">
        <f t="shared" si="160"/>
        <v>0.95340053661831636</v>
      </c>
      <c r="M79" s="1299">
        <f t="shared" si="160"/>
        <v>0.95400910231738512</v>
      </c>
      <c r="N79" s="1299">
        <f t="shared" si="160"/>
        <v>0.95617509679144597</v>
      </c>
      <c r="O79" s="1299">
        <f t="shared" si="160"/>
        <v>0.95390956983130137</v>
      </c>
      <c r="P79" s="1301">
        <f t="shared" ref="P79:P82" si="161">O79</f>
        <v>0.95390956983130137</v>
      </c>
      <c r="Q79" s="311"/>
      <c r="R79" s="1280"/>
      <c r="S79" s="1280"/>
      <c r="T79" s="1280"/>
      <c r="U79" s="1280"/>
      <c r="V79" s="1280"/>
      <c r="W79" s="1280"/>
      <c r="X79" s="1280"/>
      <c r="Y79" s="1280"/>
      <c r="Z79" s="1280"/>
      <c r="AA79" s="1280"/>
      <c r="AB79" s="1280"/>
      <c r="AC79" s="1280"/>
      <c r="AD79" s="1280"/>
      <c r="AE79" s="311"/>
      <c r="AF79" s="1282">
        <f t="shared" ref="AF79:AK79" si="162">IFERROR(AF73/AF67,0)</f>
        <v>0.94231724160387309</v>
      </c>
      <c r="AG79" s="1282">
        <f t="shared" si="162"/>
        <v>0.94192083243219438</v>
      </c>
      <c r="AH79" s="1282">
        <f t="shared" si="162"/>
        <v>0.94318674116217283</v>
      </c>
      <c r="AI79" s="1282">
        <f t="shared" si="162"/>
        <v>0.94529487783789856</v>
      </c>
      <c r="AJ79" s="1282">
        <f t="shared" si="162"/>
        <v>0.94496814182721967</v>
      </c>
      <c r="AK79" s="1282">
        <f t="shared" si="162"/>
        <v>0.94372395983114676</v>
      </c>
      <c r="AL79" s="1282">
        <f t="shared" ref="AL79:AM79" si="163">IFERROR(AL73/AL67,0)</f>
        <v>0.94229735817618543</v>
      </c>
      <c r="AM79" s="1282">
        <f t="shared" si="163"/>
        <v>0.93924238022794937</v>
      </c>
      <c r="AN79" s="1282">
        <f t="shared" ref="AN79" si="164">IFERROR(AN73/AN67,0)</f>
        <v>0.93872603443303837</v>
      </c>
      <c r="AO79" s="1282">
        <f t="shared" ref="AO79:AP79" si="165">IFERROR(AO73/AO67,0)</f>
        <v>0.93394827590010521</v>
      </c>
      <c r="AP79" s="1282">
        <f t="shared" si="165"/>
        <v>0.93413891554663786</v>
      </c>
      <c r="AQ79" s="1281">
        <f t="shared" ref="AQ79" si="166">IFERROR(AQ73/AQ67,0)</f>
        <v>0.93376699780472527</v>
      </c>
      <c r="AR79" s="1281"/>
      <c r="AT79" s="1282"/>
      <c r="AU79" s="1282"/>
      <c r="AV79" s="1282"/>
      <c r="AW79" s="1282"/>
      <c r="AX79" s="1282"/>
      <c r="AY79" s="1282"/>
      <c r="AZ79" s="1282"/>
      <c r="BA79" s="1282"/>
      <c r="BB79" s="1282"/>
      <c r="BC79" s="1282"/>
      <c r="BD79" s="1282"/>
      <c r="BE79" s="1281"/>
      <c r="BF79" s="1281"/>
      <c r="BG79" s="311"/>
      <c r="BH79" s="1282">
        <f t="shared" ref="BH79:BO79" si="167">IFERROR(BH73/BH67,0)</f>
        <v>0.93096467782552106</v>
      </c>
      <c r="BI79" s="1282">
        <f t="shared" si="167"/>
        <v>0.9230293128922934</v>
      </c>
      <c r="BJ79" s="1282">
        <f t="shared" si="167"/>
        <v>0.91757325465882755</v>
      </c>
      <c r="BK79" s="1282">
        <f t="shared" si="167"/>
        <v>0.91571515033436512</v>
      </c>
      <c r="BL79" s="1282">
        <f t="shared" si="167"/>
        <v>0.91836290054985936</v>
      </c>
      <c r="BM79" s="1282">
        <f t="shared" si="167"/>
        <v>0.91836290054985936</v>
      </c>
      <c r="BN79" s="1282">
        <f t="shared" si="167"/>
        <v>0.91836290054985936</v>
      </c>
      <c r="BO79" s="1282">
        <f t="shared" si="167"/>
        <v>0.91836290054985936</v>
      </c>
      <c r="BP79" s="1282">
        <f t="shared" si="159"/>
        <v>0.91836290054985936</v>
      </c>
      <c r="BQ79" s="1282">
        <f t="shared" si="159"/>
        <v>0.91836290054985936</v>
      </c>
      <c r="BR79" s="1282">
        <f t="shared" si="159"/>
        <v>0.91836290054985936</v>
      </c>
      <c r="BS79" s="1281">
        <f t="shared" si="159"/>
        <v>0.91836290054985936</v>
      </c>
      <c r="BT79" s="1281"/>
    </row>
    <row r="80" spans="1:72" s="279" customFormat="1">
      <c r="A80" s="1291" t="s">
        <v>1069</v>
      </c>
      <c r="B80" s="1291"/>
      <c r="D80" s="1302">
        <f t="shared" ref="D80:O80" si="168">D78*D79</f>
        <v>0.82895368037929273</v>
      </c>
      <c r="E80" s="1302">
        <f t="shared" si="168"/>
        <v>0.82919382211706172</v>
      </c>
      <c r="F80" s="1302">
        <f t="shared" si="168"/>
        <v>0.83296937564356233</v>
      </c>
      <c r="G80" s="1302">
        <f t="shared" si="168"/>
        <v>0.83298686877244643</v>
      </c>
      <c r="H80" s="1302">
        <f t="shared" si="168"/>
        <v>0.83881973927639997</v>
      </c>
      <c r="I80" s="1302">
        <f t="shared" si="168"/>
        <v>0.84538871903368584</v>
      </c>
      <c r="J80" s="1302">
        <f t="shared" si="168"/>
        <v>0.85692809657384628</v>
      </c>
      <c r="K80" s="1302">
        <f t="shared" si="168"/>
        <v>0.85732413696544907</v>
      </c>
      <c r="L80" s="1302">
        <f t="shared" si="168"/>
        <v>0.85693104540300236</v>
      </c>
      <c r="M80" s="1302">
        <f t="shared" si="168"/>
        <v>0.85310155934217657</v>
      </c>
      <c r="N80" s="1302">
        <f t="shared" si="168"/>
        <v>0.84799123322435466</v>
      </c>
      <c r="O80" s="1302">
        <f t="shared" si="168"/>
        <v>0.84269124803266959</v>
      </c>
      <c r="P80" s="1302">
        <f t="shared" si="161"/>
        <v>0.84269124803266959</v>
      </c>
      <c r="Q80" s="575"/>
      <c r="R80" s="1293"/>
      <c r="S80" s="1293"/>
      <c r="T80" s="1293"/>
      <c r="U80" s="1293"/>
      <c r="V80" s="1293"/>
      <c r="W80" s="1293"/>
      <c r="X80" s="1293"/>
      <c r="Y80" s="1293"/>
      <c r="Z80" s="1293"/>
      <c r="AA80" s="1293"/>
      <c r="AB80" s="1293"/>
      <c r="AC80" s="1293"/>
      <c r="AD80" s="1293"/>
      <c r="AE80" s="575"/>
      <c r="AF80" s="1294">
        <f>AF78*AF79</f>
        <v>0.7339550072205534</v>
      </c>
      <c r="AG80" s="1294">
        <f t="shared" ref="AG80" si="169">AG78*AG79</f>
        <v>0.74975789615263477</v>
      </c>
      <c r="AH80" s="1294">
        <f t="shared" ref="AH80" si="170">AH78*AH79</f>
        <v>0.75710074684334239</v>
      </c>
      <c r="AI80" s="1294">
        <f t="shared" ref="AI80" si="171">AI78*AI79</f>
        <v>0.77163699369153482</v>
      </c>
      <c r="AJ80" s="1294">
        <f t="shared" ref="AJ80" si="172">AJ78*AJ79</f>
        <v>0.78218401866087106</v>
      </c>
      <c r="AK80" s="1294">
        <f t="shared" ref="AK80:AL80" si="173">AK78*AK79</f>
        <v>0.78743483619403387</v>
      </c>
      <c r="AL80" s="1294">
        <f t="shared" si="173"/>
        <v>0.79245767433005676</v>
      </c>
      <c r="AM80" s="1294">
        <f t="shared" ref="AM80:AN80" si="174">AM78*AM79</f>
        <v>0.79461193956481657</v>
      </c>
      <c r="AN80" s="1294">
        <f t="shared" si="174"/>
        <v>0.79529831372025217</v>
      </c>
      <c r="AO80" s="1294">
        <f>AO78*AO79</f>
        <v>0.78276943131385313</v>
      </c>
      <c r="AP80" s="1294">
        <f>AP78*AP79</f>
        <v>0.78204158286245695</v>
      </c>
      <c r="AQ80" s="1294">
        <f>AQ78*AQ79</f>
        <v>0.78404004295003216</v>
      </c>
      <c r="AR80" s="1294"/>
      <c r="AT80" s="1294"/>
      <c r="AU80" s="1294"/>
      <c r="AV80" s="1294"/>
      <c r="AW80" s="1294"/>
      <c r="AX80" s="1294"/>
      <c r="AY80" s="1294"/>
      <c r="AZ80" s="1294"/>
      <c r="BA80" s="1294"/>
      <c r="BB80" s="1294"/>
      <c r="BC80" s="1294"/>
      <c r="BD80" s="1294"/>
      <c r="BE80" s="1294"/>
      <c r="BF80" s="1294"/>
      <c r="BG80" s="575"/>
      <c r="BH80" s="1294">
        <f>BH78*BH79</f>
        <v>0.82423373614769624</v>
      </c>
      <c r="BI80" s="1294">
        <f t="shared" ref="BI80:BP80" si="175">BI78*BI79</f>
        <v>0.81224257537426814</v>
      </c>
      <c r="BJ80" s="1294">
        <f t="shared" si="175"/>
        <v>0.80366283329492605</v>
      </c>
      <c r="BK80" s="1294">
        <f t="shared" si="175"/>
        <v>0.80111577480991614</v>
      </c>
      <c r="BL80" s="1294">
        <f t="shared" si="175"/>
        <v>0.80038280625912972</v>
      </c>
      <c r="BM80" s="1294">
        <f t="shared" si="175"/>
        <v>0.80038280625912972</v>
      </c>
      <c r="BN80" s="1294">
        <f t="shared" si="175"/>
        <v>0.80038280625912972</v>
      </c>
      <c r="BO80" s="1294">
        <f t="shared" si="175"/>
        <v>0.80038280625912972</v>
      </c>
      <c r="BP80" s="1294">
        <f t="shared" si="175"/>
        <v>0.80038280625912972</v>
      </c>
      <c r="BQ80" s="1294">
        <f>BQ78*BQ79</f>
        <v>0.80038280625912972</v>
      </c>
      <c r="BR80" s="1294">
        <f>BR78*BR79</f>
        <v>0.80038280625912972</v>
      </c>
      <c r="BS80" s="1294">
        <f>BS78*BS79</f>
        <v>0.80038280625912972</v>
      </c>
      <c r="BT80" s="1294"/>
    </row>
    <row r="81" spans="1:72" s="1289" customFormat="1">
      <c r="A81" s="1292" t="s">
        <v>1067</v>
      </c>
      <c r="B81" s="1292"/>
      <c r="D81" s="1304">
        <f t="shared" ref="D81:O81" si="176">IFERROR(D74/D68,0)</f>
        <v>0</v>
      </c>
      <c r="E81" s="1304">
        <f t="shared" si="176"/>
        <v>0.87626476711229273</v>
      </c>
      <c r="F81" s="1304">
        <f t="shared" si="176"/>
        <v>0.91367743782396182</v>
      </c>
      <c r="G81" s="1304">
        <f t="shared" si="176"/>
        <v>0.9271439757600517</v>
      </c>
      <c r="H81" s="1304">
        <f t="shared" si="176"/>
        <v>0.9130309295516672</v>
      </c>
      <c r="I81" s="1304">
        <f t="shared" si="176"/>
        <v>0.9130309295516672</v>
      </c>
      <c r="J81" s="1304">
        <f t="shared" si="176"/>
        <v>0.93676960077747751</v>
      </c>
      <c r="K81" s="1304">
        <f t="shared" si="176"/>
        <v>0.94019921732813938</v>
      </c>
      <c r="L81" s="1304">
        <f t="shared" si="176"/>
        <v>0.94026001762073264</v>
      </c>
      <c r="M81" s="1304">
        <f t="shared" si="176"/>
        <v>0.94849484387687</v>
      </c>
      <c r="N81" s="1304">
        <f t="shared" si="176"/>
        <v>0.94852052567263845</v>
      </c>
      <c r="O81" s="1304">
        <f t="shared" si="176"/>
        <v>0.94828947071691139</v>
      </c>
      <c r="P81" s="1304">
        <f t="shared" si="161"/>
        <v>0.94828947071691139</v>
      </c>
      <c r="Q81" s="1290"/>
      <c r="R81" s="1295"/>
      <c r="S81" s="1295"/>
      <c r="T81" s="1295"/>
      <c r="U81" s="1295"/>
      <c r="V81" s="1295"/>
      <c r="W81" s="1295"/>
      <c r="X81" s="1295"/>
      <c r="Y81" s="1295"/>
      <c r="Z81" s="1295"/>
      <c r="AA81" s="1295"/>
      <c r="AB81" s="1295"/>
      <c r="AC81" s="1295"/>
      <c r="AD81" s="1295"/>
      <c r="AE81" s="1290"/>
      <c r="AF81" s="1296">
        <f t="shared" ref="AF81:AK82" si="177">IFERROR(AF74/AF68,0)</f>
        <v>0.87262679115762187</v>
      </c>
      <c r="AG81" s="1296">
        <f t="shared" si="177"/>
        <v>0.87602882642021962</v>
      </c>
      <c r="AH81" s="1296">
        <f t="shared" si="177"/>
        <v>0.89920103825365383</v>
      </c>
      <c r="AI81" s="1296">
        <f t="shared" si="177"/>
        <v>0.89720759884595891</v>
      </c>
      <c r="AJ81" s="1296">
        <f t="shared" si="177"/>
        <v>0.90323037082189461</v>
      </c>
      <c r="AK81" s="1296">
        <f t="shared" si="177"/>
        <v>0.89772496154276538</v>
      </c>
      <c r="AL81" s="1296">
        <f t="shared" ref="AL81:AM81" si="178">IFERROR(AL74/AL68,0)</f>
        <v>0.89040453940388409</v>
      </c>
      <c r="AM81" s="1296">
        <f t="shared" si="178"/>
        <v>0.87961045933445137</v>
      </c>
      <c r="AN81" s="1296">
        <f t="shared" ref="AN81" si="179">IFERROR(AN74/AN68,0)</f>
        <v>0.86922842370804465</v>
      </c>
      <c r="AO81" s="1296">
        <f t="shared" ref="AO81:AP81" si="180">IFERROR(AO74/AO68,0)</f>
        <v>0.84511803867443724</v>
      </c>
      <c r="AP81" s="1296">
        <f t="shared" si="180"/>
        <v>0.84230396447006428</v>
      </c>
      <c r="AQ81" s="1296">
        <f t="shared" ref="AQ81" si="181">IFERROR(AQ74/AQ68,0)</f>
        <v>0.84174199915425374</v>
      </c>
      <c r="AR81" s="1296"/>
      <c r="AT81" s="1296"/>
      <c r="AU81" s="1296"/>
      <c r="AV81" s="1296"/>
      <c r="AW81" s="1296"/>
      <c r="AX81" s="1296"/>
      <c r="AY81" s="1296"/>
      <c r="AZ81" s="1296"/>
      <c r="BA81" s="1296"/>
      <c r="BB81" s="1296"/>
      <c r="BC81" s="1296"/>
      <c r="BD81" s="1296"/>
      <c r="BE81" s="1296"/>
      <c r="BF81" s="1296"/>
      <c r="BG81" s="1290"/>
      <c r="BH81" s="1296">
        <f t="shared" ref="BH81:BS82" si="182">IFERROR(BH74/BH68,0)</f>
        <v>0.84850064433922667</v>
      </c>
      <c r="BI81" s="1296">
        <f t="shared" si="182"/>
        <v>0.83693710343128191</v>
      </c>
      <c r="BJ81" s="1296">
        <f t="shared" si="182"/>
        <v>0.83182702671766651</v>
      </c>
      <c r="BK81" s="1296">
        <f t="shared" si="182"/>
        <v>0.8341364372128709</v>
      </c>
      <c r="BL81" s="1296">
        <f t="shared" si="182"/>
        <v>0.82575416738213503</v>
      </c>
      <c r="BM81" s="1296">
        <f t="shared" si="182"/>
        <v>0.82575416738213503</v>
      </c>
      <c r="BN81" s="1296">
        <f t="shared" si="182"/>
        <v>0.82575416738213503</v>
      </c>
      <c r="BO81" s="1296">
        <f t="shared" si="182"/>
        <v>0.82575416738213503</v>
      </c>
      <c r="BP81" s="1296">
        <f t="shared" si="182"/>
        <v>0.82575416738213503</v>
      </c>
      <c r="BQ81" s="1296">
        <f t="shared" si="182"/>
        <v>0.82575416738213503</v>
      </c>
      <c r="BR81" s="1296">
        <f t="shared" si="182"/>
        <v>0.82575416738213503</v>
      </c>
      <c r="BS81" s="1296">
        <f t="shared" si="182"/>
        <v>0.82575416738213503</v>
      </c>
      <c r="BT81" s="1296"/>
    </row>
    <row r="82" spans="1:72" s="279" customFormat="1">
      <c r="A82" s="1291" t="s">
        <v>912</v>
      </c>
      <c r="B82" s="1291"/>
      <c r="D82" s="1302">
        <f t="shared" ref="D82:O82" si="183">IFERROR(D75/D69,0)</f>
        <v>0.96712894712934172</v>
      </c>
      <c r="E82" s="1302">
        <f t="shared" si="183"/>
        <v>0.96769891255896479</v>
      </c>
      <c r="F82" s="1302">
        <f t="shared" si="183"/>
        <v>0.9654486239703951</v>
      </c>
      <c r="G82" s="1302">
        <f t="shared" si="183"/>
        <v>0.96579513696234998</v>
      </c>
      <c r="H82" s="1302">
        <f t="shared" si="183"/>
        <v>0.96608955016635567</v>
      </c>
      <c r="I82" s="1302">
        <f t="shared" si="183"/>
        <v>0.96566088906141434</v>
      </c>
      <c r="J82" s="1302">
        <f t="shared" si="183"/>
        <v>0.96375429775535126</v>
      </c>
      <c r="K82" s="1302">
        <f t="shared" si="183"/>
        <v>0.96206964543902129</v>
      </c>
      <c r="L82" s="1302">
        <f t="shared" si="183"/>
        <v>0.96204080580597418</v>
      </c>
      <c r="M82" s="1302">
        <f t="shared" si="183"/>
        <v>0.96090527990760377</v>
      </c>
      <c r="N82" s="1302">
        <f t="shared" si="183"/>
        <v>0.95925937037476228</v>
      </c>
      <c r="O82" s="1302">
        <f t="shared" si="183"/>
        <v>0.95898491607158343</v>
      </c>
      <c r="P82" s="1302">
        <f t="shared" si="161"/>
        <v>0.95898491607158343</v>
      </c>
      <c r="Q82" s="575"/>
      <c r="R82" s="1293"/>
      <c r="S82" s="1293"/>
      <c r="T82" s="1293"/>
      <c r="U82" s="1293"/>
      <c r="V82" s="1293"/>
      <c r="W82" s="1293"/>
      <c r="X82" s="1293"/>
      <c r="Y82" s="1293"/>
      <c r="Z82" s="1293"/>
      <c r="AA82" s="1293"/>
      <c r="AB82" s="1293"/>
      <c r="AC82" s="1293"/>
      <c r="AD82" s="1293"/>
      <c r="AE82" s="575"/>
      <c r="AF82" s="1294">
        <f t="shared" si="177"/>
        <v>0.96690078142529723</v>
      </c>
      <c r="AG82" s="1294">
        <f t="shared" si="177"/>
        <v>0.94250557362963994</v>
      </c>
      <c r="AH82" s="1294">
        <f t="shared" si="177"/>
        <v>0.936922418999381</v>
      </c>
      <c r="AI82" s="1294">
        <f t="shared" si="177"/>
        <v>0.93692777432602525</v>
      </c>
      <c r="AJ82" s="1294">
        <f t="shared" si="177"/>
        <v>0.93788193695413702</v>
      </c>
      <c r="AK82" s="1294">
        <f t="shared" si="177"/>
        <v>0.93787931380145229</v>
      </c>
      <c r="AL82" s="1294">
        <f t="shared" ref="AL82:AM82" si="184">IFERROR(AL75/AL69,0)</f>
        <v>0.93768426406629124</v>
      </c>
      <c r="AM82" s="1294">
        <f t="shared" si="184"/>
        <v>0.93764547249840602</v>
      </c>
      <c r="AN82" s="1294">
        <f t="shared" ref="AN82" si="185">IFERROR(AN75/AN69,0)</f>
        <v>0.93831381533920011</v>
      </c>
      <c r="AO82" s="1294">
        <f t="shared" ref="AO82:AP82" si="186">IFERROR(AO75/AO69,0)</f>
        <v>0.93925705059264686</v>
      </c>
      <c r="AP82" s="1294">
        <f t="shared" si="186"/>
        <v>0.9398768824186684</v>
      </c>
      <c r="AQ82" s="1294">
        <f t="shared" ref="AQ82" si="187">IFERROR(AQ75/AQ69,0)</f>
        <v>0.93953608549253587</v>
      </c>
      <c r="AR82" s="1294"/>
      <c r="AT82" s="1294"/>
      <c r="AU82" s="1294"/>
      <c r="AV82" s="1294"/>
      <c r="AW82" s="1294"/>
      <c r="AX82" s="1294"/>
      <c r="AY82" s="1294"/>
      <c r="AZ82" s="1294"/>
      <c r="BA82" s="1294"/>
      <c r="BB82" s="1294"/>
      <c r="BC82" s="1294"/>
      <c r="BD82" s="1294"/>
      <c r="BE82" s="1294"/>
      <c r="BF82" s="1294"/>
      <c r="BG82" s="575"/>
      <c r="BH82" s="1294">
        <f t="shared" ref="BH82:BO82" si="188">IFERROR(BH75/BH69,0)</f>
        <v>0.94640277526859262</v>
      </c>
      <c r="BI82" s="1294">
        <f t="shared" si="188"/>
        <v>0.94642136746763839</v>
      </c>
      <c r="BJ82" s="1294">
        <f t="shared" si="188"/>
        <v>0.9482231632151632</v>
      </c>
      <c r="BK82" s="1294">
        <f t="shared" si="188"/>
        <v>0.95075131479262454</v>
      </c>
      <c r="BL82" s="1294">
        <f t="shared" si="188"/>
        <v>0.95219129198939412</v>
      </c>
      <c r="BM82" s="1294">
        <f t="shared" si="188"/>
        <v>0.95219129198939412</v>
      </c>
      <c r="BN82" s="1294">
        <f t="shared" si="188"/>
        <v>0.95219129198939412</v>
      </c>
      <c r="BO82" s="1294">
        <f t="shared" si="188"/>
        <v>0.95219129198939412</v>
      </c>
      <c r="BP82" s="1294">
        <f t="shared" si="182"/>
        <v>0.95219129198939412</v>
      </c>
      <c r="BQ82" s="1294">
        <f t="shared" si="182"/>
        <v>0.95219129198939412</v>
      </c>
      <c r="BR82" s="1294">
        <f t="shared" si="182"/>
        <v>0.95219129198939412</v>
      </c>
      <c r="BS82" s="1294">
        <f t="shared" si="182"/>
        <v>0.95219129198939412</v>
      </c>
      <c r="BT82" s="1294"/>
    </row>
    <row r="84" spans="1:72" ht="15" thickBot="1"/>
    <row r="85" spans="1:72" s="1265" customFormat="1" ht="15" thickTop="1"/>
    <row r="86" spans="1:72" s="1514" customFormat="1">
      <c r="A86" s="1513" t="s">
        <v>1076</v>
      </c>
      <c r="D86" s="1515">
        <f>SUM(D87:D89)</f>
        <v>4446636</v>
      </c>
      <c r="E86" s="1515">
        <f t="shared" ref="E86" si="189">SUM(E87:E88)</f>
        <v>2870042.5</v>
      </c>
      <c r="F86" s="1515">
        <f t="shared" ref="F86" si="190">SUM(F87:F88)</f>
        <v>4378484</v>
      </c>
      <c r="G86" s="1515">
        <f t="shared" ref="G86" si="191">SUM(G87:G88)</f>
        <v>1687225</v>
      </c>
      <c r="H86" s="1515">
        <f t="shared" ref="H86" si="192">SUM(H87:H88)</f>
        <v>4631156</v>
      </c>
      <c r="I86" s="1515">
        <f t="shared" ref="I86" si="193">SUM(I87:I88)</f>
        <v>5211556.9400000004</v>
      </c>
      <c r="J86" s="1515">
        <f t="shared" ref="J86" si="194">SUM(J87:J88)</f>
        <v>2476382.29</v>
      </c>
      <c r="K86" s="1515">
        <f t="shared" ref="K86" si="195">SUM(K87:K88)</f>
        <v>2791727.76</v>
      </c>
      <c r="L86" s="1515">
        <f t="shared" ref="L86" si="196">SUM(L87:L88)</f>
        <v>2986259.4000000008</v>
      </c>
      <c r="M86" s="1515">
        <f t="shared" ref="M86" si="197">SUM(M87:M88)</f>
        <v>4034362.4399999995</v>
      </c>
      <c r="N86" s="1515">
        <f t="shared" ref="N86" si="198">SUM(N87:N88)</f>
        <v>4281165</v>
      </c>
      <c r="O86" s="1515">
        <f t="shared" ref="O86:P86" si="199">SUM(O87:O88)</f>
        <v>4436479</v>
      </c>
      <c r="P86" s="1515">
        <f t="shared" si="199"/>
        <v>44231476.329999998</v>
      </c>
      <c r="AF86" s="1515">
        <f>SUM(AF87:AF89)</f>
        <v>2211198</v>
      </c>
      <c r="AG86" s="1515">
        <f t="shared" ref="AG86" si="200">SUM(AG87:AG88)</f>
        <v>2623393</v>
      </c>
      <c r="AH86" s="1515">
        <f t="shared" ref="AH86" si="201">SUM(AH87:AH88)</f>
        <v>2254747.7700000005</v>
      </c>
      <c r="AI86" s="1515">
        <f t="shared" ref="AI86" si="202">SUM(AI87:AI88)</f>
        <v>4779357.3279999997</v>
      </c>
      <c r="AJ86" s="1515">
        <f t="shared" ref="AJ86" si="203">SUM(AJ87:AJ88)</f>
        <v>3419254.0000000005</v>
      </c>
      <c r="AK86" s="1515">
        <f t="shared" ref="AK86" si="204">SUM(AK87:AK88)</f>
        <v>3993697.0000000005</v>
      </c>
      <c r="AL86" s="1515">
        <f t="shared" ref="AL86" si="205">SUM(AL87:AL88)</f>
        <v>3302289.6719999998</v>
      </c>
      <c r="AM86" s="1515">
        <f t="shared" ref="AM86" si="206">SUM(AM87:AM88)</f>
        <v>3791594</v>
      </c>
      <c r="AN86" s="1515">
        <f t="shared" ref="AN86" si="207">SUM(AN87:AN88)</f>
        <v>2361207</v>
      </c>
      <c r="AO86" s="1515">
        <f t="shared" ref="AO86" si="208">SUM(AO87:AO88)</f>
        <v>5073333</v>
      </c>
      <c r="AP86" s="1515">
        <f t="shared" ref="AP86" si="209">SUM(AP87:AP88)</f>
        <v>3547304</v>
      </c>
      <c r="AQ86" s="1515">
        <f t="shared" ref="AQ86:AR86" si="210">SUM(AQ87:AQ88)</f>
        <v>3829163</v>
      </c>
      <c r="AR86" s="1515">
        <f t="shared" si="210"/>
        <v>41168937.769999996</v>
      </c>
      <c r="BH86" s="1515">
        <f>SUM(BH87:BH89)</f>
        <v>2316307</v>
      </c>
      <c r="BI86" s="1515">
        <f t="shared" ref="BI86:BT86" si="211">SUM(BI87:BI88)</f>
        <v>1781071</v>
      </c>
      <c r="BJ86" s="1515">
        <f t="shared" si="211"/>
        <v>3253076</v>
      </c>
      <c r="BK86" s="1515">
        <f t="shared" si="211"/>
        <v>0</v>
      </c>
      <c r="BL86" s="1515">
        <f t="shared" si="211"/>
        <v>0</v>
      </c>
      <c r="BM86" s="1515">
        <f t="shared" si="211"/>
        <v>0</v>
      </c>
      <c r="BN86" s="1515">
        <f t="shared" si="211"/>
        <v>0</v>
      </c>
      <c r="BO86" s="1515">
        <f t="shared" si="211"/>
        <v>0</v>
      </c>
      <c r="BP86" s="1515">
        <f t="shared" si="211"/>
        <v>0</v>
      </c>
      <c r="BQ86" s="1515">
        <f t="shared" si="211"/>
        <v>0</v>
      </c>
      <c r="BR86" s="1515">
        <f t="shared" si="211"/>
        <v>0</v>
      </c>
      <c r="BS86" s="1515">
        <f t="shared" si="211"/>
        <v>0</v>
      </c>
      <c r="BT86" s="1515">
        <f t="shared" si="211"/>
        <v>7350454</v>
      </c>
    </row>
    <row r="87" spans="1:72">
      <c r="A87" s="1044" t="s">
        <v>1074</v>
      </c>
      <c r="D87" s="1269">
        <f>SUMIFS(Table1[Xuất],Table1[Năm],'Tác động-GM-Data'!D$1,Table1[Tháng],'Tác động-GM-Data'!D$2,Table1[Loại vảy],"MN")</f>
        <v>3498057.0000000005</v>
      </c>
      <c r="E87" s="1269">
        <f>SUMIFS(Table1[Xuất],Table1[Năm],'Tác động-GM-Data'!E$1,Table1[Tháng],'Tác động-GM-Data'!E$2,Table1[Loại vảy],"MN")</f>
        <v>2183351.5</v>
      </c>
      <c r="F87" s="1269">
        <f>SUMIFS(Table1[Xuất],Table1[Năm],'Tác động-GM-Data'!F$1,Table1[Tháng],'Tác động-GM-Data'!F$2,Table1[Loại vảy],"MN")</f>
        <v>3230434.0000000005</v>
      </c>
      <c r="G87" s="1269">
        <f>SUMIFS(Table1[Xuất],Table1[Năm],'Tác động-GM-Data'!G$1,Table1[Tháng],'Tác động-GM-Data'!G$2,Table1[Loại vảy],"MN")</f>
        <v>1504225</v>
      </c>
      <c r="H87" s="1269">
        <f>SUMIFS(Table1[Xuất],Table1[Năm],'Tác động-GM-Data'!H$1,Table1[Tháng],'Tác động-GM-Data'!H$2,Table1[Loại vảy],"MN")</f>
        <v>3619104</v>
      </c>
      <c r="I87" s="1269">
        <f>SUMIFS(Table1[Xuất],Table1[Năm],'Tác động-GM-Data'!I$1,Table1[Tháng],'Tác động-GM-Data'!I$2,Table1[Loại vảy],"MN")</f>
        <v>4088844.9400000004</v>
      </c>
      <c r="J87" s="1269">
        <f>SUMIFS(Table1[Xuất],Table1[Năm],'Tác động-GM-Data'!J$1,Table1[Tháng],'Tác động-GM-Data'!J$2,Table1[Loại vảy],"MN")</f>
        <v>1312797.06</v>
      </c>
      <c r="K87" s="1269">
        <f>SUMIFS(Table1[Xuất],Table1[Năm],'Tác động-GM-Data'!K$1,Table1[Tháng],'Tác động-GM-Data'!K$2,Table1[Loại vảy],"MN")</f>
        <v>1707263.1599999997</v>
      </c>
      <c r="L87" s="1269">
        <f>SUMIFS(Table1[Xuất],Table1[Năm],'Tác động-GM-Data'!L$1,Table1[Tháng],'Tác động-GM-Data'!L$2,Table1[Loại vảy],"MN")</f>
        <v>2224941.4000000008</v>
      </c>
      <c r="M87" s="1269">
        <f>SUMIFS(Table1[Xuất],Table1[Năm],'Tác động-GM-Data'!M$1,Table1[Tháng],'Tác động-GM-Data'!M$2,Table1[Loại vảy],"MN")</f>
        <v>2245729.0399999996</v>
      </c>
      <c r="N87" s="1269">
        <f>SUMIFS(Table1[Xuất],Table1[Năm],'Tác động-GM-Data'!N$1,Table1[Tháng],'Tác động-GM-Data'!N$2,Table1[Loại vảy],"MN")</f>
        <v>2886561.0000000005</v>
      </c>
      <c r="O87" s="1269">
        <f>SUMIFS(Table1[Xuất],Table1[Năm],'Tác động-GM-Data'!O$1,Table1[Tháng],'Tác động-GM-Data'!O$2,Table1[Loại vảy],"MN")</f>
        <v>2660107</v>
      </c>
      <c r="P87" s="1269">
        <f>SUM(D87:O87)</f>
        <v>31161415.100000001</v>
      </c>
      <c r="AF87" s="1269">
        <f>SUMIFS(Table1[Xuất],Table1[Năm],'Tác động-GM-Data'!AF$1,Table1[Tháng],'Tác động-GM-Data'!AF$2,Table1[Loại vảy],"MN")</f>
        <v>1092798</v>
      </c>
      <c r="AG87" s="1269">
        <f>SUMIFS(Table1[Xuất],Table1[Năm],'Tác động-GM-Data'!AG$1,Table1[Tháng],'Tác động-GM-Data'!AG$2,Table1[Loại vảy],"MN")</f>
        <v>1163093</v>
      </c>
      <c r="AH87" s="1269">
        <f>SUMIFS(Table1[Xuất],Table1[Năm],'Tác động-GM-Data'!AH$1,Table1[Tháng],'Tác động-GM-Data'!AH$2,Table1[Loại vảy],"MN")</f>
        <v>1620663.0000000005</v>
      </c>
      <c r="AI87" s="1269">
        <f>SUMIFS(Table1[Xuất],Table1[Năm],'Tác động-GM-Data'!AI$1,Table1[Tháng],'Tác động-GM-Data'!AI$2,Table1[Loại vảy],"MN")</f>
        <v>3900475.3280000002</v>
      </c>
      <c r="AJ87" s="1269">
        <f>SUMIFS(Table1[Xuất],Table1[Năm],'Tác động-GM-Data'!AJ$1,Table1[Tháng],'Tác động-GM-Data'!AJ$2,Table1[Loại vảy],"MN")</f>
        <v>2836483.0000000005</v>
      </c>
      <c r="AK87" s="1269">
        <f>SUMIFS(Table1[Xuất],Table1[Năm],'Tác động-GM-Data'!AK$1,Table1[Tháng],'Tác động-GM-Data'!AK$2,Table1[Loại vảy],"MN")</f>
        <v>2981870.0000000005</v>
      </c>
      <c r="AL87" s="1269">
        <f>SUMIFS(Table1[Xuất],Table1[Năm],'Tác động-GM-Data'!AL$1,Table1[Tháng],'Tác động-GM-Data'!AL$2,Table1[Loại vảy],"MN")</f>
        <v>2340849.6719999998</v>
      </c>
      <c r="AM87" s="1269">
        <f>SUMIFS(Table1[Xuất],Table1[Năm],'Tác động-GM-Data'!AM$1,Table1[Tháng],'Tác động-GM-Data'!AM$2,Table1[Loại vảy],"MN")</f>
        <v>2923377</v>
      </c>
      <c r="AN87" s="1269">
        <f>SUMIFS(Table1[Xuất],Table1[Năm],'Tác động-GM-Data'!AN$1,Table1[Tháng],'Tác động-GM-Data'!AN$2,Table1[Loại vảy],"MN")</f>
        <v>1302877</v>
      </c>
      <c r="AO87" s="1269">
        <f>SUMIFS(Table1[Xuất],Table1[Năm],'Tác động-GM-Data'!AO$1,Table1[Tháng],'Tác động-GM-Data'!AO$2,Table1[Loại vảy],"MN")</f>
        <v>1722185</v>
      </c>
      <c r="AP87" s="1269">
        <f>SUMIFS(Table1[Xuất],Table1[Năm],'Tác động-GM-Data'!AP$1,Table1[Tháng],'Tác động-GM-Data'!AP$2,Table1[Loại vảy],"MN")</f>
        <v>1917089.0000000002</v>
      </c>
      <c r="AQ87" s="1269">
        <f>SUMIFS(Table1[Xuất],Table1[Năm],'Tác động-GM-Data'!AQ$1,Table1[Tháng],'Tác động-GM-Data'!AQ$2,Table1[Loại vảy],"MN")</f>
        <v>2710713</v>
      </c>
      <c r="AR87" s="1269">
        <f>SUM(AF87:AQ87)</f>
        <v>26512473</v>
      </c>
      <c r="BH87" s="1269">
        <f>SUMIFS(Table1[Xuất],Table1[Năm],'Tác động-GM-Data'!BH$1,Table1[Tháng],'Tác động-GM-Data'!BH$2,Table1[Loại vảy],"MN")</f>
        <v>1102707</v>
      </c>
      <c r="BI87" s="1269">
        <f>SUMIFS(Table1[Xuất],Table1[Năm],'Tác động-GM-Data'!BI$1,Table1[Tháng],'Tác động-GM-Data'!BI$2,Table1[Loại vảy],"MN")</f>
        <v>1341071</v>
      </c>
      <c r="BJ87" s="1269">
        <f>SUMIFS(Table1[Xuất],Table1[Năm],'Tác động-GM-Data'!BJ$1,Table1[Tháng],'Tác động-GM-Data'!BJ$2,Table1[Loại vảy],"MN")</f>
        <v>1793051</v>
      </c>
      <c r="BK87" s="1269">
        <f>SUMIFS(Table1[Xuất],Table1[Năm],'Tác động-GM-Data'!BK$1,Table1[Tháng],'Tác động-GM-Data'!BK$2,Table1[Loại vảy],"MN")</f>
        <v>0</v>
      </c>
      <c r="BL87" s="1269">
        <f>SUMIFS(Table1[Xuất],Table1[Năm],'Tác động-GM-Data'!BL$1,Table1[Tháng],'Tác động-GM-Data'!BL$2,Table1[Loại vảy],"MN")</f>
        <v>0</v>
      </c>
      <c r="BM87" s="1269">
        <f>SUMIFS(Table1[Xuất],Table1[Năm],'Tác động-GM-Data'!BM$1,Table1[Tháng],'Tác động-GM-Data'!BM$2,Table1[Loại vảy],"MN")</f>
        <v>0</v>
      </c>
      <c r="BN87" s="1269">
        <f>SUMIFS(Table1[Xuất],Table1[Năm],'Tác động-GM-Data'!BN$1,Table1[Tháng],'Tác động-GM-Data'!BN$2,Table1[Loại vảy],"MN")</f>
        <v>0</v>
      </c>
      <c r="BO87" s="1269">
        <f>SUMIFS(Table1[Xuất],Table1[Năm],'Tác động-GM-Data'!BO$1,Table1[Tháng],'Tác động-GM-Data'!BO$2,Table1[Loại vảy],"MN")</f>
        <v>0</v>
      </c>
      <c r="BP87" s="1269">
        <f>SUMIFS(Table1[Xuất],Table1[Năm],'Tác động-GM-Data'!BP$1,Table1[Tháng],'Tác động-GM-Data'!BP$2,Table1[Loại vảy],"MN")</f>
        <v>0</v>
      </c>
      <c r="BQ87" s="1269">
        <f>SUMIFS(Table1[Xuất],Table1[Năm],'Tác động-GM-Data'!BQ$1,Table1[Tháng],'Tác động-GM-Data'!BQ$2,Table1[Loại vảy],"MN")</f>
        <v>0</v>
      </c>
      <c r="BR87" s="1269">
        <f>SUMIFS(Table1[Xuất],Table1[Năm],'Tác động-GM-Data'!BR$1,Table1[Tháng],'Tác động-GM-Data'!BR$2,Table1[Loại vảy],"MN")</f>
        <v>0</v>
      </c>
      <c r="BS87" s="1269">
        <f>SUMIFS(Table1[Xuất],Table1[Năm],'Tác động-GM-Data'!BS$1,Table1[Tháng],'Tác động-GM-Data'!BS$2,Table1[Loại vảy],"MN")</f>
        <v>0</v>
      </c>
      <c r="BT87" s="1269">
        <f>SUM(BH87:BS87)</f>
        <v>4236829</v>
      </c>
    </row>
    <row r="88" spans="1:72">
      <c r="A88" s="1044" t="s">
        <v>1075</v>
      </c>
      <c r="D88" s="1269">
        <f>SUMIFS(Table1[Xuất],Table1[Năm],'Tác động-GM-Data'!D$1,Table1[Tháng],'Tác động-GM-Data'!D$2,Table1[Loại vảy],"TSX")</f>
        <v>948579</v>
      </c>
      <c r="E88" s="1269">
        <f>SUMIFS(Table1[Xuất],Table1[Năm],'Tác động-GM-Data'!E$1,Table1[Tháng],'Tác động-GM-Data'!E$2,Table1[Loại vảy],"TSX")</f>
        <v>686691</v>
      </c>
      <c r="F88" s="1269">
        <f>SUMIFS(Table1[Xuất],Table1[Năm],'Tác động-GM-Data'!F$1,Table1[Tháng],'Tác động-GM-Data'!F$2,Table1[Loại vảy],"TSX")</f>
        <v>1148050</v>
      </c>
      <c r="G88" s="1269">
        <f>SUMIFS(Table1[Xuất],Table1[Năm],'Tác động-GM-Data'!G$1,Table1[Tháng],'Tác động-GM-Data'!G$2,Table1[Loại vảy],"TSX")</f>
        <v>183000</v>
      </c>
      <c r="H88" s="1269">
        <f>SUMIFS(Table1[Xuất],Table1[Năm],'Tác động-GM-Data'!H$1,Table1[Tháng],'Tác động-GM-Data'!H$2,Table1[Loại vảy],"TSX")</f>
        <v>1012052</v>
      </c>
      <c r="I88" s="1269">
        <f>SUMIFS(Table1[Xuất],Table1[Năm],'Tác động-GM-Data'!I$1,Table1[Tháng],'Tác động-GM-Data'!I$2,Table1[Loại vảy],"TSX")</f>
        <v>1122712</v>
      </c>
      <c r="J88" s="1269">
        <f>SUMIFS(Table1[Xuất],Table1[Năm],'Tác động-GM-Data'!J$1,Table1[Tháng],'Tác động-GM-Data'!J$2,Table1[Loại vảy],"TSX")</f>
        <v>1163585.23</v>
      </c>
      <c r="K88" s="1269">
        <f>SUMIFS(Table1[Xuất],Table1[Năm],'Tác động-GM-Data'!K$1,Table1[Tháng],'Tác động-GM-Data'!K$2,Table1[Loại vảy],"TSX")</f>
        <v>1084464.6000000001</v>
      </c>
      <c r="L88" s="1269">
        <f>SUMIFS(Table1[Xuất],Table1[Năm],'Tác động-GM-Data'!L$1,Table1[Tháng],'Tác động-GM-Data'!L$2,Table1[Loại vảy],"TSX")</f>
        <v>761318</v>
      </c>
      <c r="M88" s="1269">
        <f>SUMIFS(Table1[Xuất],Table1[Năm],'Tác động-GM-Data'!M$1,Table1[Tháng],'Tác động-GM-Data'!M$2,Table1[Loại vảy],"TSX")</f>
        <v>1788633.4</v>
      </c>
      <c r="N88" s="1269">
        <f>SUMIFS(Table1[Xuất],Table1[Năm],'Tác động-GM-Data'!N$1,Table1[Tháng],'Tác động-GM-Data'!N$2,Table1[Loại vảy],"TSX")</f>
        <v>1394604</v>
      </c>
      <c r="O88" s="1269">
        <f>SUMIFS(Table1[Xuất],Table1[Năm],'Tác động-GM-Data'!O$1,Table1[Tháng],'Tác động-GM-Data'!O$2,Table1[Loại vảy],"TSX")</f>
        <v>1776372</v>
      </c>
      <c r="P88" s="1269">
        <f t="shared" ref="P88:P89" si="212">SUM(D88:O88)</f>
        <v>13070061.23</v>
      </c>
      <c r="AF88" s="1269">
        <f>SUMIFS(Table1[Xuất],Table1[Năm],'Tác động-GM-Data'!AF$1,Table1[Tháng],'Tác động-GM-Data'!AF$2,Table1[Loại vảy],"TSX")</f>
        <v>1100800</v>
      </c>
      <c r="AG88" s="1269">
        <f>SUMIFS(Table1[Xuất],Table1[Năm],'Tác động-GM-Data'!AG$1,Table1[Tháng],'Tác động-GM-Data'!AG$2,Table1[Loại vảy],"TSX")</f>
        <v>1460300</v>
      </c>
      <c r="AH88" s="1269">
        <f>SUMIFS(Table1[Xuất],Table1[Năm],'Tác động-GM-Data'!AH$1,Table1[Tháng],'Tác động-GM-Data'!AH$2,Table1[Loại vảy],"TSX")</f>
        <v>634084.77</v>
      </c>
      <c r="AI88" s="1269">
        <f>SUMIFS(Table1[Xuất],Table1[Năm],'Tác động-GM-Data'!AI$1,Table1[Tháng],'Tác động-GM-Data'!AI$2,Table1[Loại vảy],"TSX")</f>
        <v>878882</v>
      </c>
      <c r="AJ88" s="1269">
        <f>SUMIFS(Table1[Xuất],Table1[Năm],'Tác động-GM-Data'!AJ$1,Table1[Tháng],'Tác động-GM-Data'!AJ$2,Table1[Loại vảy],"TSX")</f>
        <v>582771</v>
      </c>
      <c r="AK88" s="1269">
        <f>SUMIFS(Table1[Xuất],Table1[Năm],'Tác động-GM-Data'!AK$1,Table1[Tháng],'Tác động-GM-Data'!AK$2,Table1[Loại vảy],"TSX")</f>
        <v>1011827</v>
      </c>
      <c r="AL88" s="1269">
        <f>SUMIFS(Table1[Xuất],Table1[Năm],'Tác động-GM-Data'!AL$1,Table1[Tháng],'Tác động-GM-Data'!AL$2,Table1[Loại vảy],"TSX")</f>
        <v>961440</v>
      </c>
      <c r="AM88" s="1269">
        <f>SUMIFS(Table1[Xuất],Table1[Năm],'Tác động-GM-Data'!AM$1,Table1[Tháng],'Tác động-GM-Data'!AM$2,Table1[Loại vảy],"TSX")</f>
        <v>868217</v>
      </c>
      <c r="AN88" s="1269">
        <f>SUMIFS(Table1[Xuất],Table1[Năm],'Tác động-GM-Data'!AN$1,Table1[Tháng],'Tác động-GM-Data'!AN$2,Table1[Loại vảy],"TSX")</f>
        <v>1058330</v>
      </c>
      <c r="AO88" s="1269">
        <f>SUMIFS(Table1[Xuất],Table1[Năm],'Tác động-GM-Data'!AO$1,Table1[Tháng],'Tác động-GM-Data'!AO$2,Table1[Loại vảy],"TSX")</f>
        <v>3351148</v>
      </c>
      <c r="AP88" s="1269">
        <f>SUMIFS(Table1[Xuất],Table1[Năm],'Tác động-GM-Data'!AP$1,Table1[Tháng],'Tác động-GM-Data'!AP$2,Table1[Loại vảy],"TSX")</f>
        <v>1630215</v>
      </c>
      <c r="AQ88" s="1269">
        <f>SUMIFS(Table1[Xuất],Table1[Năm],'Tác động-GM-Data'!AQ$1,Table1[Tháng],'Tác động-GM-Data'!AQ$2,Table1[Loại vảy],"TSX")</f>
        <v>1118450</v>
      </c>
      <c r="AR88" s="1269">
        <f t="shared" ref="AR88:AR89" si="213">SUM(AF88:AQ88)</f>
        <v>14656464.77</v>
      </c>
      <c r="BH88" s="1269">
        <f>SUMIFS(Table1[Xuất],Table1[Năm],'Tác động-GM-Data'!BH$1,Table1[Tháng],'Tác động-GM-Data'!BH$2,Table1[Loại vảy],"TSX")</f>
        <v>1213600</v>
      </c>
      <c r="BI88" s="1269">
        <f>SUMIFS(Table1[Xuất],Table1[Năm],'Tác động-GM-Data'!BI$1,Table1[Tháng],'Tác động-GM-Data'!BI$2,Table1[Loại vảy],"TSX")</f>
        <v>440000</v>
      </c>
      <c r="BJ88" s="1269">
        <f>SUMIFS(Table1[Xuất],Table1[Năm],'Tác động-GM-Data'!BJ$1,Table1[Tháng],'Tác động-GM-Data'!BJ$2,Table1[Loại vảy],"TSX")</f>
        <v>1460025</v>
      </c>
      <c r="BK88" s="1269">
        <f>SUMIFS(Table1[Xuất],Table1[Năm],'Tác động-GM-Data'!BK$1,Table1[Tháng],'Tác động-GM-Data'!BK$2,Table1[Loại vảy],"TSX")</f>
        <v>0</v>
      </c>
      <c r="BL88" s="1269">
        <f>SUMIFS(Table1[Xuất],Table1[Năm],'Tác động-GM-Data'!BL$1,Table1[Tháng],'Tác động-GM-Data'!BL$2,Table1[Loại vảy],"TSX")</f>
        <v>0</v>
      </c>
      <c r="BM88" s="1269">
        <f>SUMIFS(Table1[Xuất],Table1[Năm],'Tác động-GM-Data'!BM$1,Table1[Tháng],'Tác động-GM-Data'!BM$2,Table1[Loại vảy],"TSX")</f>
        <v>0</v>
      </c>
      <c r="BN88" s="1269">
        <f>SUMIFS(Table1[Xuất],Table1[Năm],'Tác động-GM-Data'!BN$1,Table1[Tháng],'Tác động-GM-Data'!BN$2,Table1[Loại vảy],"TSX")</f>
        <v>0</v>
      </c>
      <c r="BO88" s="1269">
        <f>SUMIFS(Table1[Xuất],Table1[Năm],'Tác động-GM-Data'!BO$1,Table1[Tháng],'Tác động-GM-Data'!BO$2,Table1[Loại vảy],"TSX")</f>
        <v>0</v>
      </c>
      <c r="BP88" s="1269">
        <f>SUMIFS(Table1[Xuất],Table1[Năm],'Tác động-GM-Data'!BP$1,Table1[Tháng],'Tác động-GM-Data'!BP$2,Table1[Loại vảy],"TSX")</f>
        <v>0</v>
      </c>
      <c r="BQ88" s="1269">
        <f>SUMIFS(Table1[Xuất],Table1[Năm],'Tác động-GM-Data'!BQ$1,Table1[Tháng],'Tác động-GM-Data'!BQ$2,Table1[Loại vảy],"TSX")</f>
        <v>0</v>
      </c>
      <c r="BR88" s="1269">
        <f>SUMIFS(Table1[Xuất],Table1[Năm],'Tác động-GM-Data'!BR$1,Table1[Tháng],'Tác động-GM-Data'!BR$2,Table1[Loại vảy],"TSX")</f>
        <v>0</v>
      </c>
      <c r="BS88" s="1269">
        <f>SUMIFS(Table1[Xuất],Table1[Năm],'Tác động-GM-Data'!BS$1,Table1[Tháng],'Tác động-GM-Data'!BS$2,Table1[Loại vảy],"TSX")</f>
        <v>0</v>
      </c>
      <c r="BT88" s="1269">
        <f t="shared" ref="BT88:BT89" si="214">SUM(BH88:BS88)</f>
        <v>3113625</v>
      </c>
    </row>
    <row r="89" spans="1:72">
      <c r="A89" s="1044" t="s">
        <v>1224</v>
      </c>
      <c r="D89" s="1269">
        <f>SUMIFS(Table1[Xuất],Table1[Năm],'Tác động-GM-Data'!D$1,Table1[Tháng],'Tác động-GM-Data'!D$2,Table1[Loại vảy],"Unknown")</f>
        <v>0</v>
      </c>
      <c r="E89" s="1269">
        <f>SUMIFS(Table1[Xuất],Table1[Năm],'Tác động-GM-Data'!E$1,Table1[Tháng],'Tác động-GM-Data'!E$2,Table1[Loại vảy],"Unknown")</f>
        <v>0</v>
      </c>
      <c r="F89" s="1269">
        <f>SUMIFS(Table1[Xuất],Table1[Năm],'Tác động-GM-Data'!F$1,Table1[Tháng],'Tác động-GM-Data'!F$2,Table1[Loại vảy],"Unknown")</f>
        <v>0</v>
      </c>
      <c r="G89" s="1269">
        <f>SUMIFS(Table1[Xuất],Table1[Năm],'Tác động-GM-Data'!G$1,Table1[Tháng],'Tác động-GM-Data'!G$2,Table1[Loại vảy],"Unknown")</f>
        <v>0</v>
      </c>
      <c r="H89" s="1269">
        <f>SUMIFS(Table1[Xuất],Table1[Năm],'Tác động-GM-Data'!H$1,Table1[Tháng],'Tác động-GM-Data'!H$2,Table1[Loại vảy],"Unknown")</f>
        <v>0</v>
      </c>
      <c r="I89" s="1269">
        <f>SUMIFS(Table1[Xuất],Table1[Năm],'Tác động-GM-Data'!I$1,Table1[Tháng],'Tác động-GM-Data'!I$2,Table1[Loại vảy],"Unknown")</f>
        <v>47732</v>
      </c>
      <c r="J89" s="1269">
        <f>SUMIFS(Table1[Xuất],Table1[Năm],'Tác động-GM-Data'!J$1,Table1[Tháng],'Tác động-GM-Data'!J$2,Table1[Loại vảy],"Unknown")</f>
        <v>0</v>
      </c>
      <c r="K89" s="1269">
        <f>SUMIFS(Table1[Xuất],Table1[Năm],'Tác động-GM-Data'!K$1,Table1[Tháng],'Tác động-GM-Data'!K$2,Table1[Loại vảy],"Unknown")</f>
        <v>0</v>
      </c>
      <c r="L89" s="1269">
        <f>SUMIFS(Table1[Xuất],Table1[Năm],'Tác động-GM-Data'!L$1,Table1[Tháng],'Tác động-GM-Data'!L$2,Table1[Loại vảy],"Unknown")</f>
        <v>0</v>
      </c>
      <c r="M89" s="1269">
        <f>SUMIFS(Table1[Xuất],Table1[Năm],'Tác động-GM-Data'!M$1,Table1[Tháng],'Tác động-GM-Data'!M$2,Table1[Loại vảy],"Unknown")</f>
        <v>15000</v>
      </c>
      <c r="N89" s="1269">
        <f>SUMIFS(Table1[Xuất],Table1[Năm],'Tác động-GM-Data'!N$1,Table1[Tháng],'Tác động-GM-Data'!N$2,Table1[Loại vảy],"Unknown")</f>
        <v>0</v>
      </c>
      <c r="O89" s="1269">
        <f>SUMIFS(Table1[Xuất],Table1[Năm],'Tác động-GM-Data'!O$1,Table1[Tháng],'Tác động-GM-Data'!O$2,Table1[Loại vảy],"Unknown")</f>
        <v>0</v>
      </c>
      <c r="P89" s="1269">
        <f t="shared" si="212"/>
        <v>62732</v>
      </c>
      <c r="AF89" s="1269">
        <f>SUMIFS(Table1[Xuất],Table1[Năm],'Tác động-GM-Data'!AF$1,Table1[Tháng],'Tác động-GM-Data'!AF$2,Table1[Loại vảy],"Unknown")</f>
        <v>17600</v>
      </c>
      <c r="AG89" s="1269">
        <f>SUMIFS(Table1[Xuất],Table1[Năm],'Tác động-GM-Data'!AG$1,Table1[Tháng],'Tác động-GM-Data'!AG$2,Table1[Loại vảy],"Unknown")</f>
        <v>25000</v>
      </c>
      <c r="AH89" s="1269">
        <f>SUMIFS(Table1[Xuất],Table1[Năm],'Tác động-GM-Data'!AH$1,Table1[Tháng],'Tác động-GM-Data'!AH$2,Table1[Loại vảy],"Unknown")</f>
        <v>0</v>
      </c>
      <c r="AI89" s="1269">
        <f>SUMIFS(Table1[Xuất],Table1[Năm],'Tác động-GM-Data'!AI$1,Table1[Tháng],'Tác động-GM-Data'!AI$2,Table1[Loại vảy],"Unknown")</f>
        <v>0</v>
      </c>
      <c r="AJ89" s="1269">
        <f>SUMIFS(Table1[Xuất],Table1[Năm],'Tác động-GM-Data'!AJ$1,Table1[Tháng],'Tác động-GM-Data'!AJ$2,Table1[Loại vảy],"Unknown")</f>
        <v>0</v>
      </c>
      <c r="AK89" s="1269">
        <f>SUMIFS(Table1[Xuất],Table1[Năm],'Tác động-GM-Data'!AK$1,Table1[Tháng],'Tác động-GM-Data'!AK$2,Table1[Loại vảy],"Unknown")</f>
        <v>89300</v>
      </c>
      <c r="AL89" s="1269">
        <f>SUMIFS(Table1[Xuất],Table1[Năm],'Tác động-GM-Data'!AL$1,Table1[Tháng],'Tác động-GM-Data'!AL$2,Table1[Loại vảy],"Unknown")</f>
        <v>107450</v>
      </c>
      <c r="AM89" s="1269">
        <f>SUMIFS(Table1[Xuất],Table1[Năm],'Tác động-GM-Data'!AM$1,Table1[Tháng],'Tác động-GM-Data'!AM$2,Table1[Loại vảy],"Unknown")</f>
        <v>24879</v>
      </c>
      <c r="AN89" s="1269">
        <f>SUMIFS(Table1[Xuất],Table1[Năm],'Tác động-GM-Data'!AN$1,Table1[Tháng],'Tác động-GM-Data'!AN$2,Table1[Loại vảy],"Unknown")</f>
        <v>142800</v>
      </c>
      <c r="AO89" s="1269">
        <f>SUMIFS(Table1[Xuất],Table1[Năm],'Tác động-GM-Data'!AO$1,Table1[Tháng],'Tác động-GM-Data'!AO$2,Table1[Loại vảy],"Unknown")</f>
        <v>186256</v>
      </c>
      <c r="AP89" s="1269">
        <f>SUMIFS(Table1[Xuất],Table1[Năm],'Tác động-GM-Data'!AP$1,Table1[Tháng],'Tác động-GM-Data'!AP$2,Table1[Loại vảy],"Unknown")</f>
        <v>0</v>
      </c>
      <c r="AQ89" s="1269">
        <f>SUMIFS(Table1[Xuất],Table1[Năm],'Tác động-GM-Data'!AQ$1,Table1[Tháng],'Tác động-GM-Data'!AQ$2,Table1[Loại vảy],"Unknown")</f>
        <v>17000</v>
      </c>
      <c r="AR89" s="1269">
        <f t="shared" si="213"/>
        <v>610285</v>
      </c>
      <c r="BH89" s="1269">
        <f>SUMIFS(Table1[Xuất],Table1[Năm],'Tác động-GM-Data'!BH$1,Table1[Tháng],'Tác động-GM-Data'!BH$2,Table1[Loại vảy],"Unknown")</f>
        <v>0</v>
      </c>
      <c r="BI89" s="1269">
        <f>SUMIFS(Table1[Xuất],Table1[Năm],'Tác động-GM-Data'!BI$1,Table1[Tháng],'Tác động-GM-Data'!BI$2,Table1[Loại vảy],"Unknown")</f>
        <v>0</v>
      </c>
      <c r="BJ89" s="1269">
        <f>SUMIFS(Table1[Xuất],Table1[Năm],'Tác động-GM-Data'!BJ$1,Table1[Tháng],'Tác động-GM-Data'!BJ$2,Table1[Loại vảy],"Unknown")</f>
        <v>0</v>
      </c>
      <c r="BK89" s="1269">
        <f>SUMIFS(Table1[Xuất],Table1[Năm],'Tác động-GM-Data'!BK$1,Table1[Tháng],'Tác động-GM-Data'!BK$2,Table1[Loại vảy],"Unknown")</f>
        <v>0</v>
      </c>
      <c r="BL89" s="1269">
        <f>SUMIFS(Table1[Xuất],Table1[Năm],'Tác động-GM-Data'!BL$1,Table1[Tháng],'Tác động-GM-Data'!BL$2,Table1[Loại vảy],"Unknown")</f>
        <v>0</v>
      </c>
      <c r="BM89" s="1269">
        <f>SUMIFS(Table1[Xuất],Table1[Năm],'Tác động-GM-Data'!BM$1,Table1[Tháng],'Tác động-GM-Data'!BM$2,Table1[Loại vảy],"Unknown")</f>
        <v>0</v>
      </c>
      <c r="BN89" s="1269">
        <f>SUMIFS(Table1[Xuất],Table1[Năm],'Tác động-GM-Data'!BN$1,Table1[Tháng],'Tác động-GM-Data'!BN$2,Table1[Loại vảy],"Unknown")</f>
        <v>0</v>
      </c>
      <c r="BO89" s="1269">
        <f>SUMIFS(Table1[Xuất],Table1[Năm],'Tác động-GM-Data'!BO$1,Table1[Tháng],'Tác động-GM-Data'!BO$2,Table1[Loại vảy],"Unknown")</f>
        <v>0</v>
      </c>
      <c r="BP89" s="1269">
        <f>SUMIFS(Table1[Xuất],Table1[Năm],'Tác động-GM-Data'!BP$1,Table1[Tháng],'Tác động-GM-Data'!BP$2,Table1[Loại vảy],"Unknown")</f>
        <v>0</v>
      </c>
      <c r="BQ89" s="1269">
        <f>SUMIFS(Table1[Xuất],Table1[Năm],'Tác động-GM-Data'!BQ$1,Table1[Tháng],'Tác động-GM-Data'!BQ$2,Table1[Loại vảy],"Unknown")</f>
        <v>0</v>
      </c>
      <c r="BR89" s="1269">
        <f>SUMIFS(Table1[Xuất],Table1[Năm],'Tác động-GM-Data'!BR$1,Table1[Tháng],'Tác động-GM-Data'!BR$2,Table1[Loại vảy],"Unknown")</f>
        <v>0</v>
      </c>
      <c r="BS89" s="1269">
        <f>SUMIFS(Table1[Xuất],Table1[Năm],'Tác động-GM-Data'!BS$1,Table1[Tháng],'Tác động-GM-Data'!BS$2,Table1[Loại vảy],"Unknown")</f>
        <v>0</v>
      </c>
      <c r="BT89" s="1269">
        <f t="shared" si="214"/>
        <v>0</v>
      </c>
    </row>
    <row r="91" spans="1:72" s="1514" customFormat="1">
      <c r="A91" s="1513" t="s">
        <v>1227</v>
      </c>
      <c r="D91" s="1515">
        <f>SUM(D92:D94)</f>
        <v>4226040</v>
      </c>
      <c r="E91" s="1515">
        <f t="shared" ref="E91" si="215">SUM(E92:E93)</f>
        <v>2694000</v>
      </c>
      <c r="F91" s="1515">
        <f t="shared" ref="F91" si="216">SUM(F92:F93)</f>
        <v>4134000</v>
      </c>
      <c r="G91" s="1515">
        <f t="shared" ref="G91" si="217">SUM(G92:G93)</f>
        <v>1600199.9999999998</v>
      </c>
      <c r="H91" s="1515">
        <f t="shared" ref="H91" si="218">SUM(H92:H93)</f>
        <v>4408521.2</v>
      </c>
      <c r="I91" s="1515">
        <f t="shared" ref="I91" si="219">SUM(I92:I93)</f>
        <v>5008300</v>
      </c>
      <c r="J91" s="1515">
        <f t="shared" ref="J91" si="220">SUM(J92:J93)</f>
        <v>2429200</v>
      </c>
      <c r="K91" s="1515">
        <f t="shared" ref="K91" si="221">SUM(K92:K93)</f>
        <v>2665090</v>
      </c>
      <c r="L91" s="1515">
        <f t="shared" ref="L91" si="222">SUM(L92:L93)</f>
        <v>2853500</v>
      </c>
      <c r="M91" s="1515">
        <f t="shared" ref="M91" si="223">SUM(M92:M93)</f>
        <v>3867315</v>
      </c>
      <c r="N91" s="1515">
        <f t="shared" ref="N91" si="224">SUM(N92:N93)</f>
        <v>4170602</v>
      </c>
      <c r="O91" s="1515">
        <f t="shared" ref="O91" si="225">SUM(O92:O93)</f>
        <v>4141701.0140883368</v>
      </c>
      <c r="P91" s="1515">
        <f t="shared" ref="P91" si="226">SUM(P92:P93)</f>
        <v>42198469.214088336</v>
      </c>
      <c r="AF91" s="1515">
        <f>SUM(AF92:AF94)</f>
        <v>2083649.9999999998</v>
      </c>
      <c r="AG91" s="1515">
        <f t="shared" ref="AG91" si="227">SUM(AG92:AG93)</f>
        <v>2472844.2804428041</v>
      </c>
      <c r="AH91" s="1515">
        <f t="shared" ref="AH91" si="228">SUM(AH92:AH93)</f>
        <v>2132800</v>
      </c>
      <c r="AI91" s="1515">
        <f t="shared" ref="AI91" si="229">SUM(AI92:AI93)</f>
        <v>4532900</v>
      </c>
      <c r="AJ91" s="1515">
        <f t="shared" ref="AJ91" si="230">SUM(AJ92:AJ93)</f>
        <v>3227200</v>
      </c>
      <c r="AK91" s="1515">
        <f t="shared" ref="AK91" si="231">SUM(AK92:AK93)</f>
        <v>3777470</v>
      </c>
      <c r="AL91" s="1515">
        <f t="shared" ref="AL91" si="232">SUM(AL92:AL93)</f>
        <v>3104918.3947645873</v>
      </c>
      <c r="AM91" s="1515">
        <f t="shared" ref="AM91" si="233">SUM(AM92:AM93)</f>
        <v>3493622.3144189734</v>
      </c>
      <c r="AN91" s="1515">
        <f t="shared" ref="AN91" si="234">SUM(AN92:AN93)</f>
        <v>2203830.3210538775</v>
      </c>
      <c r="AO91" s="1515">
        <f t="shared" ref="AO91" si="235">SUM(AO92:AO93)</f>
        <v>4618751.8031967841</v>
      </c>
      <c r="AP91" s="1515">
        <f t="shared" ref="AP91" si="236">SUM(AP92:AP93)</f>
        <v>3320230</v>
      </c>
      <c r="AQ91" s="1515">
        <f t="shared" ref="AQ91" si="237">SUM(AQ92:AQ93)</f>
        <v>3560812.0996441282</v>
      </c>
      <c r="AR91" s="1515">
        <f t="shared" ref="AR91" si="238">SUM(AR92:AR93)</f>
        <v>38516929.213521153</v>
      </c>
      <c r="BH91" s="1515">
        <f>SUM(BH92:BH94)</f>
        <v>2156400</v>
      </c>
      <c r="BI91" s="1515">
        <f t="shared" ref="BI91" si="239">SUM(BI92:BI93)</f>
        <v>1625600</v>
      </c>
      <c r="BJ91" s="1515">
        <f t="shared" ref="BJ91" si="240">SUM(BJ92:BJ93)</f>
        <v>2962580</v>
      </c>
      <c r="BK91" s="1515">
        <f t="shared" ref="BK91" si="241">SUM(BK92:BK93)</f>
        <v>0</v>
      </c>
      <c r="BL91" s="1515">
        <f t="shared" ref="BL91" si="242">SUM(BL92:BL93)</f>
        <v>0</v>
      </c>
      <c r="BM91" s="1515">
        <f t="shared" ref="BM91" si="243">SUM(BM92:BM93)</f>
        <v>0</v>
      </c>
      <c r="BN91" s="1515">
        <f t="shared" ref="BN91" si="244">SUM(BN92:BN93)</f>
        <v>0</v>
      </c>
      <c r="BO91" s="1515">
        <f t="shared" ref="BO91" si="245">SUM(BO92:BO93)</f>
        <v>0</v>
      </c>
      <c r="BP91" s="1515">
        <f t="shared" ref="BP91" si="246">SUM(BP92:BP93)</f>
        <v>0</v>
      </c>
      <c r="BQ91" s="1515">
        <f t="shared" ref="BQ91" si="247">SUM(BQ92:BQ93)</f>
        <v>0</v>
      </c>
      <c r="BR91" s="1515">
        <f t="shared" ref="BR91" si="248">SUM(BR92:BR93)</f>
        <v>0</v>
      </c>
      <c r="BS91" s="1515">
        <f t="shared" ref="BS91" si="249">SUM(BS92:BS93)</f>
        <v>0</v>
      </c>
      <c r="BT91" s="1515">
        <f t="shared" ref="BT91" si="250">SUM(BT92:BT93)</f>
        <v>6744580</v>
      </c>
    </row>
    <row r="92" spans="1:72">
      <c r="A92" s="1044" t="s">
        <v>1074</v>
      </c>
      <c r="D92" s="1269">
        <f>SUMIFS(Table1[Nhập-SPC],Table1[Năm],'Tác động-GM-Data'!D$1,Table1[Tháng],'Tác động-GM-Data'!D$2,Table1[Loại vảy],"MN")+SUMIFS(Table1[Nhập-SPP],Table1[Năm],'Tác động-GM-Data'!D$1,Table1[Tháng],'Tác động-GM-Data'!D$2,Table1[Loại vảy],"MN")</f>
        <v>3325340</v>
      </c>
      <c r="E92" s="1269">
        <f>SUMIFS(Table1[Nhập-SPC],Table1[Năm],'Tác động-GM-Data'!E$1,Table1[Tháng],'Tác động-GM-Data'!E$2,Table1[Loại vảy],"MN")+SUMIFS(Table1[Nhập-SPP],Table1[Năm],'Tác động-GM-Data'!E$1,Table1[Tháng],'Tác động-GM-Data'!E$2,Table1[Loại vảy],"MN")</f>
        <v>2037075</v>
      </c>
      <c r="F92" s="1269">
        <f>SUMIFS(Table1[Nhập-SPC],Table1[Năm],'Tác động-GM-Data'!F$1,Table1[Tháng],'Tác động-GM-Data'!F$2,Table1[Loại vảy],"MN")+SUMIFS(Table1[Nhập-SPP],Table1[Năm],'Tác động-GM-Data'!F$1,Table1[Tháng],'Tác động-GM-Data'!F$2,Table1[Loại vảy],"MN")</f>
        <v>3038000</v>
      </c>
      <c r="G92" s="1269">
        <f>SUMIFS(Table1[Nhập-SPC],Table1[Năm],'Tác động-GM-Data'!G$1,Table1[Tháng],'Tác động-GM-Data'!G$2,Table1[Loại vảy],"MN")+SUMIFS(Table1[Nhập-SPP],Table1[Năm],'Tác động-GM-Data'!G$1,Table1[Tháng],'Tác động-GM-Data'!G$2,Table1[Loại vảy],"MN")</f>
        <v>1427519.3867722601</v>
      </c>
      <c r="H92" s="1269">
        <f>SUMIFS(Table1[Nhập-SPC],Table1[Năm],'Tác động-GM-Data'!H$1,Table1[Tháng],'Tác động-GM-Data'!H$2,Table1[Loại vảy],"MN")+SUMIFS(Table1[Nhập-SPP],Table1[Năm],'Tác động-GM-Data'!H$1,Table1[Tháng],'Tác động-GM-Data'!H$2,Table1[Loại vảy],"MN")</f>
        <v>3437221.2</v>
      </c>
      <c r="I92" s="1269">
        <f>SUMIFS(Table1[Nhập-SPC],Table1[Năm],'Tác động-GM-Data'!I$1,Table1[Tháng],'Tác động-GM-Data'!I$2,Table1[Loại vảy],"MN")+SUMIFS(Table1[Nhập-SPP],Table1[Năm],'Tác động-GM-Data'!I$1,Table1[Tháng],'Tác động-GM-Data'!I$2,Table1[Loại vảy],"MN")</f>
        <v>3921100</v>
      </c>
      <c r="J92" s="1269">
        <f>SUMIFS(Table1[Nhập-SPC],Table1[Năm],'Tác động-GM-Data'!J$1,Table1[Tháng],'Tác động-GM-Data'!J$2,Table1[Loại vảy],"MN")+SUMIFS(Table1[Nhập-SPP],Table1[Năm],'Tác động-GM-Data'!J$1,Table1[Tháng],'Tác động-GM-Data'!J$2,Table1[Loại vảy],"MN")</f>
        <v>1289765.2210321324</v>
      </c>
      <c r="K92" s="1269">
        <f>SUMIFS(Table1[Nhập-SPC],Table1[Năm],'Tác động-GM-Data'!K$1,Table1[Tháng],'Tác động-GM-Data'!K$2,Table1[Loại vảy],"MN")+SUMIFS(Table1[Nhập-SPP],Table1[Năm],'Tác động-GM-Data'!K$1,Table1[Tháng],'Tác động-GM-Data'!K$2,Table1[Loại vảy],"MN")</f>
        <v>1631300</v>
      </c>
      <c r="L92" s="1269">
        <f>SUMIFS(Table1[Nhập-SPC],Table1[Năm],'Tác động-GM-Data'!L$1,Table1[Tháng],'Tác động-GM-Data'!L$2,Table1[Loại vảy],"MN")+SUMIFS(Table1[Nhập-SPP],Table1[Năm],'Tác động-GM-Data'!L$1,Table1[Tháng],'Tác động-GM-Data'!L$2,Table1[Loại vảy],"MN")</f>
        <v>2135500</v>
      </c>
      <c r="M92" s="1269">
        <f>SUMIFS(Table1[Nhập-SPC],Table1[Năm],'Tác động-GM-Data'!M$1,Table1[Tháng],'Tác động-GM-Data'!M$2,Table1[Loại vảy],"MN")+SUMIFS(Table1[Nhập-SPP],Table1[Năm],'Tác động-GM-Data'!M$1,Table1[Tháng],'Tác động-GM-Data'!M$2,Table1[Loại vảy],"MN")</f>
        <v>2163500</v>
      </c>
      <c r="N92" s="1269">
        <f>SUMIFS(Table1[Nhập-SPC],Table1[Năm],'Tác động-GM-Data'!N$1,Table1[Tháng],'Tác động-GM-Data'!N$2,Table1[Loại vảy],"MN")+SUMIFS(Table1[Nhập-SPP],Table1[Năm],'Tác động-GM-Data'!N$1,Table1[Tháng],'Tác động-GM-Data'!N$2,Table1[Loại vảy],"MN")</f>
        <v>2824502</v>
      </c>
      <c r="O92" s="1269">
        <f>SUMIFS(Table1[Nhập-SPC],Table1[Năm],'Tác động-GM-Data'!O$1,Table1[Tháng],'Tác động-GM-Data'!O$2,Table1[Loại vảy],"MN")+SUMIFS(Table1[Nhập-SPP],Table1[Năm],'Tác động-GM-Data'!O$1,Table1[Tháng],'Tác động-GM-Data'!O$2,Table1[Loại vảy],"MN")</f>
        <v>2497001</v>
      </c>
      <c r="P92" s="1269">
        <f>SUM(D92:O92)</f>
        <v>29727823.807804391</v>
      </c>
      <c r="AF92" s="1269">
        <f>SUMIFS(Table1[Nhập-SPC],Table1[Năm],'Tác động-GM-Data'!AF$1,Table1[Tháng],'Tác động-GM-Data'!AF$2,Table1[Loại vảy],"MN")+SUMIFS(Table1[Nhập-SPP],Table1[Năm],'Tác động-GM-Data'!AF$1,Table1[Tháng],'Tác động-GM-Data'!AF$2,Table1[Loại vảy],"MN")</f>
        <v>1031699.9999999999</v>
      </c>
      <c r="AG92" s="1269">
        <f>SUMIFS(Table1[Nhập-SPC],Table1[Năm],'Tác động-GM-Data'!AG$1,Table1[Tháng],'Tác động-GM-Data'!AG$2,Table1[Loại vảy],"MN")+SUMIFS(Table1[Nhập-SPP],Table1[Năm],'Tác động-GM-Data'!AG$1,Table1[Tháng],'Tác động-GM-Data'!AG$2,Table1[Loại vảy],"MN")</f>
        <v>1104544.2804428043</v>
      </c>
      <c r="AH92" s="1269">
        <f>SUMIFS(Table1[Nhập-SPC],Table1[Năm],'Tác động-GM-Data'!AH$1,Table1[Tháng],'Tác động-GM-Data'!AH$2,Table1[Loại vảy],"MN")+SUMIFS(Table1[Nhập-SPP],Table1[Năm],'Tác động-GM-Data'!AH$1,Table1[Tháng],'Tác động-GM-Data'!AH$2,Table1[Loại vảy],"MN")</f>
        <v>1530000</v>
      </c>
      <c r="AI92" s="1269">
        <f>SUMIFS(Table1[Nhập-SPC],Table1[Năm],'Tác động-GM-Data'!AI$1,Table1[Tháng],'Tác động-GM-Data'!AI$2,Table1[Loại vảy],"MN")+SUMIFS(Table1[Nhập-SPP],Table1[Năm],'Tác động-GM-Data'!AI$1,Table1[Tháng],'Tác động-GM-Data'!AI$2,Table1[Loại vảy],"MN")</f>
        <v>3697500</v>
      </c>
      <c r="AJ92" s="1269">
        <f>SUMIFS(Table1[Nhập-SPC],Table1[Năm],'Tác động-GM-Data'!AJ$1,Table1[Tháng],'Tác động-GM-Data'!AJ$2,Table1[Loại vảy],"MN")+SUMIFS(Table1[Nhập-SPP],Table1[Năm],'Tác động-GM-Data'!AJ$1,Table1[Tháng],'Tác động-GM-Data'!AJ$2,Table1[Loại vảy],"MN")</f>
        <v>2689545.4545454546</v>
      </c>
      <c r="AK92" s="1269">
        <f>SUMIFS(Table1[Nhập-SPC],Table1[Năm],'Tác động-GM-Data'!AK$1,Table1[Tháng],'Tác động-GM-Data'!AK$2,Table1[Loại vảy],"MN")+SUMIFS(Table1[Nhập-SPP],Table1[Năm],'Tác động-GM-Data'!AK$1,Table1[Tháng],'Tác động-GM-Data'!AK$2,Table1[Loại vảy],"MN")</f>
        <v>2834670</v>
      </c>
      <c r="AL92" s="1269">
        <f>SUMIFS(Table1[Nhập-SPC],Table1[Năm],'Tác động-GM-Data'!AL$1,Table1[Tháng],'Tác động-GM-Data'!AL$2,Table1[Loại vảy],"MN")+SUMIFS(Table1[Nhập-SPP],Table1[Năm],'Tác động-GM-Data'!AL$1,Table1[Tháng],'Tác động-GM-Data'!AL$2,Table1[Loại vảy],"MN")</f>
        <v>2221268.3947645873</v>
      </c>
      <c r="AM92" s="1269">
        <f>SUMIFS(Table1[Nhập-SPC],Table1[Năm],'Tác động-GM-Data'!AM$1,Table1[Tháng],'Tác động-GM-Data'!AM$2,Table1[Loại vảy],"MN")+SUMIFS(Table1[Nhập-SPP],Table1[Năm],'Tác động-GM-Data'!AM$1,Table1[Tháng],'Tác động-GM-Data'!AM$2,Table1[Loại vảy],"MN")</f>
        <v>2697932.3144189734</v>
      </c>
      <c r="AN92" s="1269">
        <f>SUMIFS(Table1[Nhập-SPC],Table1[Năm],'Tác động-GM-Data'!AN$1,Table1[Tháng],'Tác động-GM-Data'!AN$2,Table1[Loại vảy],"MN")+SUMIFS(Table1[Nhập-SPP],Table1[Năm],'Tác động-GM-Data'!AN$1,Table1[Tháng],'Tác động-GM-Data'!AN$2,Table1[Loại vảy],"MN")</f>
        <v>1224655.3210538775</v>
      </c>
      <c r="AO92" s="1269">
        <f>SUMIFS(Table1[Nhập-SPC],Table1[Năm],'Tác động-GM-Data'!AO$1,Table1[Tháng],'Tác động-GM-Data'!AO$2,Table1[Loại vảy],"MN")+SUMIFS(Table1[Nhập-SPP],Table1[Năm],'Tác động-GM-Data'!AO$1,Table1[Tháng],'Tác động-GM-Data'!AO$2,Table1[Loại vảy],"MN")</f>
        <v>1580251.8031967841</v>
      </c>
      <c r="AP92" s="1269">
        <f>SUMIFS(Table1[Nhập-SPC],Table1[Năm],'Tác động-GM-Data'!AP$1,Table1[Tháng],'Tác động-GM-Data'!AP$2,Table1[Loại vảy],"MN")+SUMIFS(Table1[Nhập-SPP],Table1[Năm],'Tác động-GM-Data'!AP$1,Table1[Tháng],'Tác động-GM-Data'!AP$2,Table1[Loại vảy],"MN")</f>
        <v>1794500</v>
      </c>
      <c r="AQ92" s="1269">
        <f>SUMIFS(Table1[Nhập-SPC],Table1[Năm],'Tác động-GM-Data'!AQ$1,Table1[Tháng],'Tác động-GM-Data'!AQ$2,Table1[Loại vảy],"MN")+SUMIFS(Table1[Nhập-SPP],Table1[Năm],'Tác động-GM-Data'!AQ$1,Table1[Tháng],'Tác động-GM-Data'!AQ$2,Table1[Loại vảy],"MN")</f>
        <v>2538612.0996441282</v>
      </c>
      <c r="AR92" s="1269">
        <f>SUM(AF92:AQ92)</f>
        <v>24945179.66806661</v>
      </c>
      <c r="BH92" s="1269">
        <f>SUMIFS(Table1[Nhập-SPC],Table1[Năm],'Tác động-GM-Data'!BH$1,Table1[Tháng],'Tác động-GM-Data'!BH$2,Table1[Loại vảy],"MN")+SUMIFS(Table1[Nhập-SPP],Table1[Năm],'Tác động-GM-Data'!BH$1,Table1[Tháng],'Tác động-GM-Data'!BH$2,Table1[Loại vảy],"MN")</f>
        <v>1030500</v>
      </c>
      <c r="BI92" s="1269">
        <f>SUMIFS(Table1[Nhập-SPC],Table1[Năm],'Tác động-GM-Data'!BI$1,Table1[Tháng],'Tác động-GM-Data'!BI$2,Table1[Loại vảy],"MN")+SUMIFS(Table1[Nhập-SPP],Table1[Năm],'Tác động-GM-Data'!BI$1,Table1[Tháng],'Tác động-GM-Data'!BI$2,Table1[Loại vảy],"MN")</f>
        <v>1237600</v>
      </c>
      <c r="BJ92" s="1269">
        <f>SUMIFS(Table1[Nhập-SPC],Table1[Năm],'Tác động-GM-Data'!BJ$1,Table1[Tháng],'Tác động-GM-Data'!BJ$2,Table1[Loại vảy],"MN")+SUMIFS(Table1[Nhập-SPP],Table1[Năm],'Tác động-GM-Data'!BJ$1,Table1[Tháng],'Tác động-GM-Data'!BJ$2,Table1[Loại vảy],"MN")</f>
        <v>1619000</v>
      </c>
      <c r="BK92" s="1269">
        <f>SUMIFS(Table1[Nhập-SPC],Table1[Năm],'Tác động-GM-Data'!BK$1,Table1[Tháng],'Tác động-GM-Data'!BK$2,Table1[Loại vảy],"MN")+SUMIFS(Table1[Nhập-SPP],Table1[Năm],'Tác động-GM-Data'!BK$1,Table1[Tháng],'Tác động-GM-Data'!BK$2,Table1[Loại vảy],"MN")</f>
        <v>0</v>
      </c>
      <c r="BL92" s="1269">
        <f>SUMIFS(Table1[Nhập-SPC],Table1[Năm],'Tác động-GM-Data'!BL$1,Table1[Tháng],'Tác động-GM-Data'!BL$2,Table1[Loại vảy],"MN")+SUMIFS(Table1[Nhập-SPP],Table1[Năm],'Tác động-GM-Data'!BL$1,Table1[Tháng],'Tác động-GM-Data'!BL$2,Table1[Loại vảy],"MN")</f>
        <v>0</v>
      </c>
      <c r="BM92" s="1269">
        <f>SUMIFS(Table1[Nhập-SPC],Table1[Năm],'Tác động-GM-Data'!BM$1,Table1[Tháng],'Tác động-GM-Data'!BM$2,Table1[Loại vảy],"MN")+SUMIFS(Table1[Nhập-SPP],Table1[Năm],'Tác động-GM-Data'!BM$1,Table1[Tháng],'Tác động-GM-Data'!BM$2,Table1[Loại vảy],"MN")</f>
        <v>0</v>
      </c>
      <c r="BN92" s="1269">
        <f>SUMIFS(Table1[Nhập-SPC],Table1[Năm],'Tác động-GM-Data'!BN$1,Table1[Tháng],'Tác động-GM-Data'!BN$2,Table1[Loại vảy],"MN")+SUMIFS(Table1[Nhập-SPP],Table1[Năm],'Tác động-GM-Data'!BN$1,Table1[Tháng],'Tác động-GM-Data'!BN$2,Table1[Loại vảy],"MN")</f>
        <v>0</v>
      </c>
      <c r="BO92" s="1269">
        <f>SUMIFS(Table1[Nhập-SPC],Table1[Năm],'Tác động-GM-Data'!BO$1,Table1[Tháng],'Tác động-GM-Data'!BO$2,Table1[Loại vảy],"MN")+SUMIFS(Table1[Nhập-SPP],Table1[Năm],'Tác động-GM-Data'!BO$1,Table1[Tháng],'Tác động-GM-Data'!BO$2,Table1[Loại vảy],"MN")</f>
        <v>0</v>
      </c>
      <c r="BP92" s="1269">
        <f>SUMIFS(Table1[Nhập-SPC],Table1[Năm],'Tác động-GM-Data'!BP$1,Table1[Tháng],'Tác động-GM-Data'!BP$2,Table1[Loại vảy],"MN")+SUMIFS(Table1[Nhập-SPP],Table1[Năm],'Tác động-GM-Data'!BP$1,Table1[Tháng],'Tác động-GM-Data'!BP$2,Table1[Loại vảy],"MN")</f>
        <v>0</v>
      </c>
      <c r="BQ92" s="1269">
        <f>SUMIFS(Table1[Nhập-SPC],Table1[Năm],'Tác động-GM-Data'!BQ$1,Table1[Tháng],'Tác động-GM-Data'!BQ$2,Table1[Loại vảy],"MN")+SUMIFS(Table1[Nhập-SPP],Table1[Năm],'Tác động-GM-Data'!BQ$1,Table1[Tháng],'Tác động-GM-Data'!BQ$2,Table1[Loại vảy],"MN")</f>
        <v>0</v>
      </c>
      <c r="BR92" s="1269">
        <f>SUMIFS(Table1[Nhập-SPC],Table1[Năm],'Tác động-GM-Data'!BR$1,Table1[Tháng],'Tác động-GM-Data'!BR$2,Table1[Loại vảy],"MN")+SUMIFS(Table1[Nhập-SPP],Table1[Năm],'Tác động-GM-Data'!BR$1,Table1[Tháng],'Tác động-GM-Data'!BR$2,Table1[Loại vảy],"MN")</f>
        <v>0</v>
      </c>
      <c r="BS92" s="1269">
        <f>SUMIFS(Table1[Nhập-SPC],Table1[Năm],'Tác động-GM-Data'!BS$1,Table1[Tháng],'Tác động-GM-Data'!BS$2,Table1[Loại vảy],"MN")+SUMIFS(Table1[Nhập-SPP],Table1[Năm],'Tác động-GM-Data'!BS$1,Table1[Tháng],'Tác động-GM-Data'!BS$2,Table1[Loại vảy],"MN")</f>
        <v>0</v>
      </c>
      <c r="BT92" s="1269">
        <f>SUM(BH92:BS92)</f>
        <v>3887100</v>
      </c>
    </row>
    <row r="93" spans="1:72">
      <c r="A93" s="1044" t="s">
        <v>1075</v>
      </c>
      <c r="D93" s="1269">
        <f>SUMIFS(Table1[Nhập-SPC],Table1[Năm],'Tác động-GM-Data'!D$1,Table1[Tháng],'Tác động-GM-Data'!D$2,Table1[Loại vảy],"TSX")+SUMIFS(Table1[Nhập-SPP],Table1[Năm],'Tác động-GM-Data'!D$1,Table1[Tháng],'Tác động-GM-Data'!D$2,Table1[Loại vảy],"TSX")</f>
        <v>900699.99999999988</v>
      </c>
      <c r="E93" s="1269">
        <f>SUMIFS(Table1[Nhập-SPC],Table1[Năm],'Tác động-GM-Data'!E$1,Table1[Tháng],'Tác động-GM-Data'!E$2,Table1[Loại vảy],"TSX")+SUMIFS(Table1[Nhập-SPP],Table1[Năm],'Tác động-GM-Data'!E$1,Table1[Tháng],'Tác động-GM-Data'!E$2,Table1[Loại vảy],"TSX")</f>
        <v>656925</v>
      </c>
      <c r="F93" s="1269">
        <f>SUMIFS(Table1[Nhập-SPC],Table1[Năm],'Tác động-GM-Data'!F$1,Table1[Tháng],'Tác động-GM-Data'!F$2,Table1[Loại vảy],"TSX")+SUMIFS(Table1[Nhập-SPP],Table1[Năm],'Tác động-GM-Data'!F$1,Table1[Tháng],'Tác động-GM-Data'!F$2,Table1[Loại vảy],"TSX")</f>
        <v>1096000</v>
      </c>
      <c r="G93" s="1269">
        <f>SUMIFS(Table1[Nhập-SPC],Table1[Năm],'Tác động-GM-Data'!G$1,Table1[Tháng],'Tác động-GM-Data'!G$2,Table1[Loại vảy],"TSX")+SUMIFS(Table1[Nhập-SPP],Table1[Năm],'Tác động-GM-Data'!G$1,Table1[Tháng],'Tác động-GM-Data'!G$2,Table1[Loại vảy],"TSX")</f>
        <v>172680.6132277397</v>
      </c>
      <c r="H93" s="1269">
        <f>SUMIFS(Table1[Nhập-SPC],Table1[Năm],'Tác động-GM-Data'!H$1,Table1[Tháng],'Tác động-GM-Data'!H$2,Table1[Loại vảy],"TSX")+SUMIFS(Table1[Nhập-SPP],Table1[Năm],'Tác động-GM-Data'!H$1,Table1[Tháng],'Tác động-GM-Data'!H$2,Table1[Loại vảy],"TSX")</f>
        <v>971300</v>
      </c>
      <c r="I93" s="1269">
        <f>SUMIFS(Table1[Nhập-SPC],Table1[Năm],'Tác động-GM-Data'!I$1,Table1[Tháng],'Tác động-GM-Data'!I$2,Table1[Loại vảy],"TSX")+SUMIFS(Table1[Nhập-SPP],Table1[Năm],'Tác động-GM-Data'!I$1,Table1[Tháng],'Tác động-GM-Data'!I$2,Table1[Loại vảy],"TSX")</f>
        <v>1087200</v>
      </c>
      <c r="J93" s="1269">
        <f>SUMIFS(Table1[Nhập-SPC],Table1[Năm],'Tác động-GM-Data'!J$1,Table1[Tháng],'Tác động-GM-Data'!J$2,Table1[Loại vảy],"TSX")+SUMIFS(Table1[Nhập-SPP],Table1[Năm],'Tác động-GM-Data'!J$1,Table1[Tháng],'Tác động-GM-Data'!J$2,Table1[Loại vảy],"TSX")</f>
        <v>1139434.7789678676</v>
      </c>
      <c r="K93" s="1269">
        <f>SUMIFS(Table1[Nhập-SPC],Table1[Năm],'Tác động-GM-Data'!K$1,Table1[Tháng],'Tác động-GM-Data'!K$2,Table1[Loại vảy],"TSX")+SUMIFS(Table1[Nhập-SPP],Table1[Năm],'Tác động-GM-Data'!K$1,Table1[Tháng],'Tác động-GM-Data'!K$2,Table1[Loại vảy],"TSX")</f>
        <v>1033790</v>
      </c>
      <c r="L93" s="1269">
        <f>SUMIFS(Table1[Nhập-SPC],Table1[Năm],'Tác động-GM-Data'!L$1,Table1[Tháng],'Tác động-GM-Data'!L$2,Table1[Loại vảy],"TSX")+SUMIFS(Table1[Nhập-SPP],Table1[Năm],'Tác động-GM-Data'!L$1,Table1[Tháng],'Tác động-GM-Data'!L$2,Table1[Loại vảy],"TSX")</f>
        <v>718000</v>
      </c>
      <c r="M93" s="1269">
        <f>SUMIFS(Table1[Nhập-SPC],Table1[Năm],'Tác động-GM-Data'!M$1,Table1[Tháng],'Tác động-GM-Data'!M$2,Table1[Loại vảy],"TSX")+SUMIFS(Table1[Nhập-SPP],Table1[Năm],'Tác động-GM-Data'!M$1,Table1[Tháng],'Tác động-GM-Data'!M$2,Table1[Loại vảy],"TSX")</f>
        <v>1703815</v>
      </c>
      <c r="N93" s="1269">
        <f>SUMIFS(Table1[Nhập-SPC],Table1[Năm],'Tác động-GM-Data'!N$1,Table1[Tháng],'Tác động-GM-Data'!N$2,Table1[Loại vảy],"TSX")+SUMIFS(Table1[Nhập-SPP],Table1[Năm],'Tác động-GM-Data'!N$1,Table1[Tháng],'Tác động-GM-Data'!N$2,Table1[Loại vảy],"TSX")</f>
        <v>1346100</v>
      </c>
      <c r="O93" s="1269">
        <f>SUMIFS(Table1[Nhập-SPC],Table1[Năm],'Tác động-GM-Data'!O$1,Table1[Tháng],'Tác động-GM-Data'!O$2,Table1[Loại vảy],"TSX")+SUMIFS(Table1[Nhập-SPP],Table1[Năm],'Tác động-GM-Data'!O$1,Table1[Tháng],'Tác động-GM-Data'!O$2,Table1[Loại vảy],"TSX")</f>
        <v>1644700.0140883368</v>
      </c>
      <c r="P93" s="1269">
        <f t="shared" ref="P93:P94" si="251">SUM(D93:O93)</f>
        <v>12470645.406283945</v>
      </c>
      <c r="AF93" s="1269">
        <f>SUMIFS(Table1[Nhập-SPC],Table1[Năm],'Tác động-GM-Data'!AF$1,Table1[Tháng],'Tác động-GM-Data'!AF$2,Table1[Loại vảy],"TSX")+SUMIFS(Table1[Nhập-SPP],Table1[Năm],'Tác động-GM-Data'!AF$1,Table1[Tháng],'Tác động-GM-Data'!AF$2,Table1[Loại vảy],"TSX")</f>
        <v>1039849.9999999999</v>
      </c>
      <c r="AG93" s="1269">
        <f>SUMIFS(Table1[Nhập-SPC],Table1[Năm],'Tác động-GM-Data'!AG$1,Table1[Tháng],'Tác động-GM-Data'!AG$2,Table1[Loại vảy],"TSX")+SUMIFS(Table1[Nhập-SPP],Table1[Năm],'Tác động-GM-Data'!AG$1,Table1[Tháng],'Tác động-GM-Data'!AG$2,Table1[Loại vảy],"TSX")</f>
        <v>1368300</v>
      </c>
      <c r="AH93" s="1269">
        <f>SUMIFS(Table1[Nhập-SPC],Table1[Năm],'Tác động-GM-Data'!AH$1,Table1[Tháng],'Tác động-GM-Data'!AH$2,Table1[Loại vảy],"TSX")+SUMIFS(Table1[Nhập-SPP],Table1[Năm],'Tác động-GM-Data'!AH$1,Table1[Tháng],'Tác động-GM-Data'!AH$2,Table1[Loại vảy],"TSX")</f>
        <v>602800</v>
      </c>
      <c r="AI93" s="1269">
        <f>SUMIFS(Table1[Nhập-SPC],Table1[Năm],'Tác động-GM-Data'!AI$1,Table1[Tháng],'Tác động-GM-Data'!AI$2,Table1[Loại vảy],"TSX")+SUMIFS(Table1[Nhập-SPP],Table1[Năm],'Tác động-GM-Data'!AI$1,Table1[Tháng],'Tác động-GM-Data'!AI$2,Table1[Loại vảy],"TSX")</f>
        <v>835400</v>
      </c>
      <c r="AJ93" s="1269">
        <f>SUMIFS(Table1[Nhập-SPC],Table1[Năm],'Tác động-GM-Data'!AJ$1,Table1[Tháng],'Tác động-GM-Data'!AJ$2,Table1[Loại vảy],"TSX")+SUMIFS(Table1[Nhập-SPP],Table1[Năm],'Tác động-GM-Data'!AJ$1,Table1[Tháng],'Tác động-GM-Data'!AJ$2,Table1[Loại vảy],"TSX")</f>
        <v>537654.54545454541</v>
      </c>
      <c r="AK93" s="1269">
        <f>SUMIFS(Table1[Nhập-SPC],Table1[Năm],'Tác động-GM-Data'!AK$1,Table1[Tháng],'Tác động-GM-Data'!AK$2,Table1[Loại vảy],"TSX")+SUMIFS(Table1[Nhập-SPP],Table1[Năm],'Tác động-GM-Data'!AK$1,Table1[Tháng],'Tác động-GM-Data'!AK$2,Table1[Loại vảy],"TSX")</f>
        <v>942800</v>
      </c>
      <c r="AL93" s="1269">
        <f>SUMIFS(Table1[Nhập-SPC],Table1[Năm],'Tác động-GM-Data'!AL$1,Table1[Tháng],'Tác động-GM-Data'!AL$2,Table1[Loại vảy],"TSX")+SUMIFS(Table1[Nhập-SPP],Table1[Năm],'Tác động-GM-Data'!AL$1,Table1[Tháng],'Tác động-GM-Data'!AL$2,Table1[Loại vảy],"TSX")</f>
        <v>883650</v>
      </c>
      <c r="AM93" s="1269">
        <f>SUMIFS(Table1[Nhập-SPC],Table1[Năm],'Tác động-GM-Data'!AM$1,Table1[Tháng],'Tác động-GM-Data'!AM$2,Table1[Loại vảy],"TSX")+SUMIFS(Table1[Nhập-SPP],Table1[Năm],'Tác động-GM-Data'!AM$1,Table1[Tháng],'Tác động-GM-Data'!AM$2,Table1[Loại vảy],"TSX")</f>
        <v>795690</v>
      </c>
      <c r="AN93" s="1269">
        <f>SUMIFS(Table1[Nhập-SPC],Table1[Năm],'Tác động-GM-Data'!AN$1,Table1[Tháng],'Tác động-GM-Data'!AN$2,Table1[Loại vảy],"TSX")+SUMIFS(Table1[Nhập-SPP],Table1[Năm],'Tác động-GM-Data'!AN$1,Table1[Tháng],'Tác động-GM-Data'!AN$2,Table1[Loại vảy],"TSX")</f>
        <v>979175</v>
      </c>
      <c r="AO93" s="1269">
        <f>SUMIFS(Table1[Nhập-SPC],Table1[Năm],'Tác động-GM-Data'!AO$1,Table1[Tháng],'Tác động-GM-Data'!AO$2,Table1[Loại vảy],"TSX")+SUMIFS(Table1[Nhập-SPP],Table1[Năm],'Tác động-GM-Data'!AO$1,Table1[Tháng],'Tác động-GM-Data'!AO$2,Table1[Loại vảy],"TSX")</f>
        <v>3038500</v>
      </c>
      <c r="AP93" s="1269">
        <f>SUMIFS(Table1[Nhập-SPC],Table1[Năm],'Tác động-GM-Data'!AP$1,Table1[Tháng],'Tác động-GM-Data'!AP$2,Table1[Loại vảy],"TSX")+SUMIFS(Table1[Nhập-SPP],Table1[Năm],'Tác động-GM-Data'!AP$1,Table1[Tháng],'Tác động-GM-Data'!AP$2,Table1[Loại vảy],"TSX")</f>
        <v>1525730</v>
      </c>
      <c r="AQ93" s="1269">
        <f>SUMIFS(Table1[Nhập-SPC],Table1[Năm],'Tác động-GM-Data'!AQ$1,Table1[Tháng],'Tác động-GM-Data'!AQ$2,Table1[Loại vảy],"TSX")+SUMIFS(Table1[Nhập-SPP],Table1[Năm],'Tác động-GM-Data'!AQ$1,Table1[Tháng],'Tác động-GM-Data'!AQ$2,Table1[Loại vảy],"TSX")</f>
        <v>1022200.0000000001</v>
      </c>
      <c r="AR93" s="1269">
        <f t="shared" ref="AR93:AR94" si="252">SUM(AF93:AQ93)</f>
        <v>13571749.545454545</v>
      </c>
      <c r="BH93" s="1269">
        <f>SUMIFS(Table1[Nhập-SPC],Table1[Năm],'Tác động-GM-Data'!BH$1,Table1[Tháng],'Tác động-GM-Data'!BH$2,Table1[Loại vảy],"TSX")+SUMIFS(Table1[Nhập-SPP],Table1[Năm],'Tác động-GM-Data'!BH$1,Table1[Tháng],'Tác động-GM-Data'!BH$2,Table1[Loại vảy],"TSX")</f>
        <v>1125900</v>
      </c>
      <c r="BI93" s="1269">
        <f>SUMIFS(Table1[Nhập-SPC],Table1[Năm],'Tác động-GM-Data'!BI$1,Table1[Tháng],'Tác động-GM-Data'!BI$2,Table1[Loại vảy],"TSX")+SUMIFS(Table1[Nhập-SPP],Table1[Năm],'Tác động-GM-Data'!BI$1,Table1[Tháng],'Tác động-GM-Data'!BI$2,Table1[Loại vảy],"TSX")</f>
        <v>388000</v>
      </c>
      <c r="BJ93" s="1269">
        <f>SUMIFS(Table1[Nhập-SPC],Table1[Năm],'Tác động-GM-Data'!BJ$1,Table1[Tháng],'Tác động-GM-Data'!BJ$2,Table1[Loại vảy],"TSX")+SUMIFS(Table1[Nhập-SPP],Table1[Năm],'Tác động-GM-Data'!BJ$1,Table1[Tháng],'Tác động-GM-Data'!BJ$2,Table1[Loại vảy],"TSX")</f>
        <v>1343580</v>
      </c>
      <c r="BK93" s="1269">
        <f>SUMIFS(Table1[Nhập-SPC],Table1[Năm],'Tác động-GM-Data'!BK$1,Table1[Tháng],'Tác động-GM-Data'!BK$2,Table1[Loại vảy],"TSX")+SUMIFS(Table1[Nhập-SPP],Table1[Năm],'Tác động-GM-Data'!BK$1,Table1[Tháng],'Tác động-GM-Data'!BK$2,Table1[Loại vảy],"TSX")</f>
        <v>0</v>
      </c>
      <c r="BL93" s="1269">
        <f>SUMIFS(Table1[Nhập-SPC],Table1[Năm],'Tác động-GM-Data'!BL$1,Table1[Tháng],'Tác động-GM-Data'!BL$2,Table1[Loại vảy],"TSX")+SUMIFS(Table1[Nhập-SPP],Table1[Năm],'Tác động-GM-Data'!BL$1,Table1[Tháng],'Tác động-GM-Data'!BL$2,Table1[Loại vảy],"TSX")</f>
        <v>0</v>
      </c>
      <c r="BM93" s="1269">
        <f>SUMIFS(Table1[Nhập-SPC],Table1[Năm],'Tác động-GM-Data'!BM$1,Table1[Tháng],'Tác động-GM-Data'!BM$2,Table1[Loại vảy],"TSX")+SUMIFS(Table1[Nhập-SPP],Table1[Năm],'Tác động-GM-Data'!BM$1,Table1[Tháng],'Tác động-GM-Data'!BM$2,Table1[Loại vảy],"TSX")</f>
        <v>0</v>
      </c>
      <c r="BN93" s="1269">
        <f>SUMIFS(Table1[Nhập-SPC],Table1[Năm],'Tác động-GM-Data'!BN$1,Table1[Tháng],'Tác động-GM-Data'!BN$2,Table1[Loại vảy],"TSX")+SUMIFS(Table1[Nhập-SPP],Table1[Năm],'Tác động-GM-Data'!BN$1,Table1[Tháng],'Tác động-GM-Data'!BN$2,Table1[Loại vảy],"TSX")</f>
        <v>0</v>
      </c>
      <c r="BO93" s="1269">
        <f>SUMIFS(Table1[Nhập-SPC],Table1[Năm],'Tác động-GM-Data'!BO$1,Table1[Tháng],'Tác động-GM-Data'!BO$2,Table1[Loại vảy],"TSX")+SUMIFS(Table1[Nhập-SPP],Table1[Năm],'Tác động-GM-Data'!BO$1,Table1[Tháng],'Tác động-GM-Data'!BO$2,Table1[Loại vảy],"TSX")</f>
        <v>0</v>
      </c>
      <c r="BP93" s="1269">
        <f>SUMIFS(Table1[Nhập-SPC],Table1[Năm],'Tác động-GM-Data'!BP$1,Table1[Tháng],'Tác động-GM-Data'!BP$2,Table1[Loại vảy],"TSX")+SUMIFS(Table1[Nhập-SPP],Table1[Năm],'Tác động-GM-Data'!BP$1,Table1[Tháng],'Tác động-GM-Data'!BP$2,Table1[Loại vảy],"TSX")</f>
        <v>0</v>
      </c>
      <c r="BQ93" s="1269">
        <f>SUMIFS(Table1[Nhập-SPC],Table1[Năm],'Tác động-GM-Data'!BQ$1,Table1[Tháng],'Tác động-GM-Data'!BQ$2,Table1[Loại vảy],"TSX")+SUMIFS(Table1[Nhập-SPP],Table1[Năm],'Tác động-GM-Data'!BQ$1,Table1[Tháng],'Tác động-GM-Data'!BQ$2,Table1[Loại vảy],"TSX")</f>
        <v>0</v>
      </c>
      <c r="BR93" s="1269">
        <f>SUMIFS(Table1[Nhập-SPC],Table1[Năm],'Tác động-GM-Data'!BR$1,Table1[Tháng],'Tác động-GM-Data'!BR$2,Table1[Loại vảy],"TSX")+SUMIFS(Table1[Nhập-SPP],Table1[Năm],'Tác động-GM-Data'!BR$1,Table1[Tháng],'Tác động-GM-Data'!BR$2,Table1[Loại vảy],"TSX")</f>
        <v>0</v>
      </c>
      <c r="BS93" s="1269">
        <f>SUMIFS(Table1[Nhập-SPC],Table1[Năm],'Tác động-GM-Data'!BS$1,Table1[Tháng],'Tác động-GM-Data'!BS$2,Table1[Loại vảy],"TSX")+SUMIFS(Table1[Nhập-SPP],Table1[Năm],'Tác động-GM-Data'!BS$1,Table1[Tháng],'Tác động-GM-Data'!BS$2,Table1[Loại vảy],"TSX")</f>
        <v>0</v>
      </c>
      <c r="BT93" s="1269">
        <f t="shared" ref="BT93:BT94" si="253">SUM(BH93:BS93)</f>
        <v>2857480</v>
      </c>
    </row>
    <row r="94" spans="1:72">
      <c r="A94" s="1044" t="s">
        <v>1224</v>
      </c>
      <c r="D94" s="1269">
        <f>SUMIFS(Table1[Nhập-SPC],Table1[Năm],'Tác động-GM-Data'!D$1,Table1[Tháng],'Tác động-GM-Data'!D$2,Table1[Loại vảy],"UNKNOWN")+SUMIFS(Table1[Nhập-SPP],Table1[Năm],'Tác động-GM-Data'!D$1,Table1[Tháng],'Tác động-GM-Data'!D$2,Table1[Loại vảy],"UNKNOWN")</f>
        <v>0</v>
      </c>
      <c r="E94" s="1269">
        <f>SUMIFS(Table1[Nhập-SPC],Table1[Năm],'Tác động-GM-Data'!E$1,Table1[Tháng],'Tác động-GM-Data'!E$2,Table1[Loại vảy],"UNKNOWN")+SUMIFS(Table1[Nhập-SPP],Table1[Năm],'Tác động-GM-Data'!E$1,Table1[Tháng],'Tác động-GM-Data'!E$2,Table1[Loại vảy],"UNKNOWN")</f>
        <v>0</v>
      </c>
      <c r="F94" s="1269">
        <f>SUMIFS(Table1[Nhập-SPC],Table1[Năm],'Tác động-GM-Data'!F$1,Table1[Tháng],'Tác động-GM-Data'!F$2,Table1[Loại vảy],"UNKNOWN")+SUMIFS(Table1[Nhập-SPP],Table1[Năm],'Tác động-GM-Data'!F$1,Table1[Tháng],'Tác động-GM-Data'!F$2,Table1[Loại vảy],"UNKNOWN")</f>
        <v>0</v>
      </c>
      <c r="G94" s="1269">
        <f>SUMIFS(Table1[Nhập-SPC],Table1[Năm],'Tác động-GM-Data'!G$1,Table1[Tháng],'Tác động-GM-Data'!G$2,Table1[Loại vảy],"UNKNOWN")+SUMIFS(Table1[Nhập-SPP],Table1[Năm],'Tác động-GM-Data'!G$1,Table1[Tháng],'Tác động-GM-Data'!G$2,Table1[Loại vảy],"UNKNOWN")</f>
        <v>0</v>
      </c>
      <c r="H94" s="1269">
        <f>SUMIFS(Table1[Nhập-SPC],Table1[Năm],'Tác động-GM-Data'!H$1,Table1[Tháng],'Tác động-GM-Data'!H$2,Table1[Loại vảy],"UNKNOWN")+SUMIFS(Table1[Nhập-SPP],Table1[Năm],'Tác động-GM-Data'!H$1,Table1[Tháng],'Tác động-GM-Data'!H$2,Table1[Loại vảy],"UNKNOWN")</f>
        <v>0</v>
      </c>
      <c r="I94" s="1269">
        <f>SUMIFS(Table1[Nhập-SPC],Table1[Năm],'Tác động-GM-Data'!I$1,Table1[Tháng],'Tác động-GM-Data'!I$2,Table1[Loại vảy],"UNKNOWN")+SUMIFS(Table1[Nhập-SPP],Table1[Năm],'Tác động-GM-Data'!I$1,Table1[Tháng],'Tác động-GM-Data'!I$2,Table1[Loại vảy],"UNKNOWN")</f>
        <v>39200</v>
      </c>
      <c r="J94" s="1269">
        <f>SUMIFS(Table1[Nhập-SPC],Table1[Năm],'Tác động-GM-Data'!J$1,Table1[Tháng],'Tác động-GM-Data'!J$2,Table1[Loại vảy],"UNKNOWN")+SUMIFS(Table1[Nhập-SPP],Table1[Năm],'Tác động-GM-Data'!J$1,Table1[Tháng],'Tác động-GM-Data'!J$2,Table1[Loại vảy],"UNKNOWN")</f>
        <v>0</v>
      </c>
      <c r="K94" s="1269">
        <f>SUMIFS(Table1[Nhập-SPC],Table1[Năm],'Tác động-GM-Data'!K$1,Table1[Tháng],'Tác động-GM-Data'!K$2,Table1[Loại vảy],"UNKNOWN")+SUMIFS(Table1[Nhập-SPP],Table1[Năm],'Tác động-GM-Data'!K$1,Table1[Tháng],'Tác động-GM-Data'!K$2,Table1[Loại vảy],"UNKNOWN")</f>
        <v>0</v>
      </c>
      <c r="L94" s="1269">
        <f>SUMIFS(Table1[Nhập-SPC],Table1[Năm],'Tác động-GM-Data'!L$1,Table1[Tháng],'Tác động-GM-Data'!L$2,Table1[Loại vảy],"UNKNOWN")+SUMIFS(Table1[Nhập-SPP],Table1[Năm],'Tác động-GM-Data'!L$1,Table1[Tháng],'Tác động-GM-Data'!L$2,Table1[Loại vảy],"UNKNOWN")</f>
        <v>0</v>
      </c>
      <c r="M94" s="1269">
        <f>SUMIFS(Table1[Nhập-SPC],Table1[Năm],'Tác động-GM-Data'!M$1,Table1[Tháng],'Tác động-GM-Data'!M$2,Table1[Loại vảy],"UNKNOWN")+SUMIFS(Table1[Nhập-SPP],Table1[Năm],'Tác động-GM-Data'!M$1,Table1[Tháng],'Tác động-GM-Data'!M$2,Table1[Loại vảy],"UNKNOWN")</f>
        <v>15000</v>
      </c>
      <c r="N94" s="1269">
        <f>SUMIFS(Table1[Nhập-SPC],Table1[Năm],'Tác động-GM-Data'!N$1,Table1[Tháng],'Tác động-GM-Data'!N$2,Table1[Loại vảy],"UNKNOWN")+SUMIFS(Table1[Nhập-SPP],Table1[Năm],'Tác động-GM-Data'!N$1,Table1[Tháng],'Tác động-GM-Data'!N$2,Table1[Loại vảy],"UNKNOWN")</f>
        <v>0</v>
      </c>
      <c r="O94" s="1269">
        <f>SUMIFS(Table1[Nhập-SPC],Table1[Năm],'Tác động-GM-Data'!O$1,Table1[Tháng],'Tác động-GM-Data'!O$2,Table1[Loại vảy],"UNKNOWN")+SUMIFS(Table1[Nhập-SPP],Table1[Năm],'Tác động-GM-Data'!O$1,Table1[Tháng],'Tác động-GM-Data'!O$2,Table1[Loại vảy],"UNKNOWN")</f>
        <v>0</v>
      </c>
      <c r="P94" s="1269">
        <f t="shared" si="251"/>
        <v>54200</v>
      </c>
      <c r="AF94" s="1269">
        <f>SUMIFS(Table1[Nhập-SPC],Table1[Năm],'Tác động-GM-Data'!AF$1,Table1[Tháng],'Tác động-GM-Data'!AF$2,Table1[Loại vảy],"UNKNOWN")+SUMIFS(Table1[Nhập-SPP],Table1[Năm],'Tác động-GM-Data'!AF$1,Table1[Tháng],'Tác động-GM-Data'!AF$2,Table1[Loại vảy],"UNKNOWN")</f>
        <v>12100</v>
      </c>
      <c r="AG94" s="1269">
        <f>SUMIFS(Table1[Nhập-SPC],Table1[Năm],'Tác động-GM-Data'!AG$1,Table1[Tháng],'Tác động-GM-Data'!AG$2,Table1[Loại vảy],"UNKNOWN")+SUMIFS(Table1[Nhập-SPP],Table1[Năm],'Tác động-GM-Data'!AG$1,Table1[Tháng],'Tác động-GM-Data'!AG$2,Table1[Loại vảy],"UNKNOWN")</f>
        <v>20855.719557195574</v>
      </c>
      <c r="AH94" s="1269">
        <f>SUMIFS(Table1[Nhập-SPC],Table1[Năm],'Tác động-GM-Data'!AH$1,Table1[Tháng],'Tác động-GM-Data'!AH$2,Table1[Loại vảy],"UNKNOWN")+SUMIFS(Table1[Nhập-SPP],Table1[Năm],'Tác động-GM-Data'!AH$1,Table1[Tháng],'Tác động-GM-Data'!AH$2,Table1[Loại vảy],"UNKNOWN")</f>
        <v>0</v>
      </c>
      <c r="AI94" s="1269">
        <f>SUMIFS(Table1[Nhập-SPC],Table1[Năm],'Tác động-GM-Data'!AI$1,Table1[Tháng],'Tác động-GM-Data'!AI$2,Table1[Loại vảy],"UNKNOWN")+SUMIFS(Table1[Nhập-SPP],Table1[Năm],'Tác động-GM-Data'!AI$1,Table1[Tháng],'Tác động-GM-Data'!AI$2,Table1[Loại vảy],"UNKNOWN")</f>
        <v>0</v>
      </c>
      <c r="AJ94" s="1269">
        <f>SUMIFS(Table1[Nhập-SPC],Table1[Năm],'Tác động-GM-Data'!AJ$1,Table1[Tháng],'Tác động-GM-Data'!AJ$2,Table1[Loại vảy],"UNKNOWN")+SUMIFS(Table1[Nhập-SPP],Table1[Năm],'Tác động-GM-Data'!AJ$1,Table1[Tháng],'Tác động-GM-Data'!AJ$2,Table1[Loại vảy],"UNKNOWN")</f>
        <v>0</v>
      </c>
      <c r="AK94" s="1269">
        <f>SUMIFS(Table1[Nhập-SPC],Table1[Năm],'Tác động-GM-Data'!AK$1,Table1[Tháng],'Tác động-GM-Data'!AK$2,Table1[Loại vảy],"UNKNOWN")+SUMIFS(Table1[Nhập-SPP],Table1[Năm],'Tác động-GM-Data'!AK$1,Table1[Tháng],'Tác động-GM-Data'!AK$2,Table1[Loại vảy],"UNKNOWN")</f>
        <v>56700</v>
      </c>
      <c r="AL94" s="1269">
        <f>SUMIFS(Table1[Nhập-SPC],Table1[Năm],'Tác động-GM-Data'!AL$1,Table1[Tháng],'Tác động-GM-Data'!AL$2,Table1[Loại vảy],"UNKNOWN")+SUMIFS(Table1[Nhập-SPP],Table1[Năm],'Tác động-GM-Data'!AL$1,Table1[Tháng],'Tác động-GM-Data'!AL$2,Table1[Loại vảy],"UNKNOWN")</f>
        <v>80400</v>
      </c>
      <c r="AM94" s="1269">
        <f>SUMIFS(Table1[Nhập-SPC],Table1[Năm],'Tác động-GM-Data'!AM$1,Table1[Tháng],'Tác động-GM-Data'!AM$2,Table1[Loại vảy],"UNKNOWN")+SUMIFS(Table1[Nhập-SPP],Table1[Năm],'Tác động-GM-Data'!AM$1,Table1[Tháng],'Tác động-GM-Data'!AM$2,Table1[Loại vảy],"UNKNOWN")</f>
        <v>21300</v>
      </c>
      <c r="AN94" s="1269">
        <f>SUMIFS(Table1[Nhập-SPC],Table1[Năm],'Tác động-GM-Data'!AN$1,Table1[Tháng],'Tác động-GM-Data'!AN$2,Table1[Loại vảy],"UNKNOWN")+SUMIFS(Table1[Nhập-SPP],Table1[Năm],'Tác động-GM-Data'!AN$1,Table1[Tháng],'Tác động-GM-Data'!AN$2,Table1[Loại vảy],"UNKNOWN")</f>
        <v>133000</v>
      </c>
      <c r="AO94" s="1269">
        <f>SUMIFS(Table1[Nhập-SPC],Table1[Năm],'Tác động-GM-Data'!AO$1,Table1[Tháng],'Tác động-GM-Data'!AO$2,Table1[Loại vảy],"UNKNOWN")+SUMIFS(Table1[Nhập-SPP],Table1[Năm],'Tác động-GM-Data'!AO$1,Table1[Tháng],'Tác động-GM-Data'!AO$2,Table1[Loại vảy],"UNKNOWN")</f>
        <v>154274.48347937936</v>
      </c>
      <c r="AP94" s="1269">
        <f>SUMIFS(Table1[Nhập-SPC],Table1[Năm],'Tác động-GM-Data'!AP$1,Table1[Tháng],'Tác động-GM-Data'!AP$2,Table1[Loại vảy],"UNKNOWN")+SUMIFS(Table1[Nhập-SPP],Table1[Năm],'Tác động-GM-Data'!AP$1,Table1[Tháng],'Tác động-GM-Data'!AP$2,Table1[Loại vảy],"UNKNOWN")</f>
        <v>0</v>
      </c>
      <c r="AQ94" s="1269">
        <f>SUMIFS(Table1[Nhập-SPC],Table1[Năm],'Tác động-GM-Data'!AQ$1,Table1[Tháng],'Tác động-GM-Data'!AQ$2,Table1[Loại vảy],"UNKNOWN")+SUMIFS(Table1[Nhập-SPP],Table1[Năm],'Tác động-GM-Data'!AQ$1,Table1[Tháng],'Tác động-GM-Data'!AQ$2,Table1[Loại vảy],"UNKNOWN")</f>
        <v>16500</v>
      </c>
      <c r="AR94" s="1269">
        <f t="shared" si="252"/>
        <v>495130.20303657488</v>
      </c>
      <c r="BH94" s="1269">
        <f>SUMIFS(Table1[Nhập-SPC],Table1[Năm],'Tác động-GM-Data'!BH$1,Table1[Tháng],'Tác động-GM-Data'!BH$2,Table1[Loại vảy],"UNKNOWN")+SUMIFS(Table1[Nhập-SPP],Table1[Năm],'Tác động-GM-Data'!BH$1,Table1[Tháng],'Tác động-GM-Data'!BH$2,Table1[Loại vảy],"UNKNOWN")</f>
        <v>0</v>
      </c>
      <c r="BI94" s="1269">
        <f>SUMIFS(Table1[Nhập-SPC],Table1[Năm],'Tác động-GM-Data'!BI$1,Table1[Tháng],'Tác động-GM-Data'!BI$2,Table1[Loại vảy],"UNKNOWN")+SUMIFS(Table1[Nhập-SPP],Table1[Năm],'Tác động-GM-Data'!BI$1,Table1[Tháng],'Tác động-GM-Data'!BI$2,Table1[Loại vảy],"UNKNOWN")</f>
        <v>0</v>
      </c>
      <c r="BJ94" s="1269">
        <f>SUMIFS(Table1[Nhập-SPC],Table1[Năm],'Tác động-GM-Data'!BJ$1,Table1[Tháng],'Tác động-GM-Data'!BJ$2,Table1[Loại vảy],"UNKNOWN")+SUMIFS(Table1[Nhập-SPP],Table1[Năm],'Tác động-GM-Data'!BJ$1,Table1[Tháng],'Tác động-GM-Data'!BJ$2,Table1[Loại vảy],"UNKNOWN")</f>
        <v>0</v>
      </c>
      <c r="BK94" s="1269">
        <f>SUMIFS(Table1[Nhập-SPC],Table1[Năm],'Tác động-GM-Data'!BK$1,Table1[Tháng],'Tác động-GM-Data'!BK$2,Table1[Loại vảy],"UNKNOWN")+SUMIFS(Table1[Nhập-SPP],Table1[Năm],'Tác động-GM-Data'!BK$1,Table1[Tháng],'Tác động-GM-Data'!BK$2,Table1[Loại vảy],"UNKNOWN")</f>
        <v>0</v>
      </c>
      <c r="BL94" s="1269">
        <f>SUMIFS(Table1[Nhập-SPC],Table1[Năm],'Tác động-GM-Data'!BL$1,Table1[Tháng],'Tác động-GM-Data'!BL$2,Table1[Loại vảy],"UNKNOWN")+SUMIFS(Table1[Nhập-SPP],Table1[Năm],'Tác động-GM-Data'!BL$1,Table1[Tháng],'Tác động-GM-Data'!BL$2,Table1[Loại vảy],"UNKNOWN")</f>
        <v>0</v>
      </c>
      <c r="BM94" s="1269">
        <f>SUMIFS(Table1[Nhập-SPC],Table1[Năm],'Tác động-GM-Data'!BM$1,Table1[Tháng],'Tác động-GM-Data'!BM$2,Table1[Loại vảy],"UNKNOWN")+SUMIFS(Table1[Nhập-SPP],Table1[Năm],'Tác động-GM-Data'!BM$1,Table1[Tháng],'Tác động-GM-Data'!BM$2,Table1[Loại vảy],"UNKNOWN")</f>
        <v>0</v>
      </c>
      <c r="BN94" s="1269">
        <f>SUMIFS(Table1[Nhập-SPC],Table1[Năm],'Tác động-GM-Data'!BN$1,Table1[Tháng],'Tác động-GM-Data'!BN$2,Table1[Loại vảy],"UNKNOWN")+SUMIFS(Table1[Nhập-SPP],Table1[Năm],'Tác động-GM-Data'!BN$1,Table1[Tháng],'Tác động-GM-Data'!BN$2,Table1[Loại vảy],"UNKNOWN")</f>
        <v>0</v>
      </c>
      <c r="BO94" s="1269">
        <f>SUMIFS(Table1[Nhập-SPC],Table1[Năm],'Tác động-GM-Data'!BO$1,Table1[Tháng],'Tác động-GM-Data'!BO$2,Table1[Loại vảy],"UNKNOWN")+SUMIFS(Table1[Nhập-SPP],Table1[Năm],'Tác động-GM-Data'!BO$1,Table1[Tháng],'Tác động-GM-Data'!BO$2,Table1[Loại vảy],"UNKNOWN")</f>
        <v>0</v>
      </c>
      <c r="BP94" s="1269">
        <f>SUMIFS(Table1[Nhập-SPC],Table1[Năm],'Tác động-GM-Data'!BP$1,Table1[Tháng],'Tác động-GM-Data'!BP$2,Table1[Loại vảy],"UNKNOWN")+SUMIFS(Table1[Nhập-SPP],Table1[Năm],'Tác động-GM-Data'!BP$1,Table1[Tháng],'Tác động-GM-Data'!BP$2,Table1[Loại vảy],"UNKNOWN")</f>
        <v>0</v>
      </c>
      <c r="BQ94" s="1269">
        <f>SUMIFS(Table1[Nhập-SPC],Table1[Năm],'Tác động-GM-Data'!BQ$1,Table1[Tháng],'Tác động-GM-Data'!BQ$2,Table1[Loại vảy],"UNKNOWN")+SUMIFS(Table1[Nhập-SPP],Table1[Năm],'Tác động-GM-Data'!BQ$1,Table1[Tháng],'Tác động-GM-Data'!BQ$2,Table1[Loại vảy],"UNKNOWN")</f>
        <v>0</v>
      </c>
      <c r="BR94" s="1269">
        <f>SUMIFS(Table1[Nhập-SPC],Table1[Năm],'Tác động-GM-Data'!BR$1,Table1[Tháng],'Tác động-GM-Data'!BR$2,Table1[Loại vảy],"UNKNOWN")+SUMIFS(Table1[Nhập-SPP],Table1[Năm],'Tác động-GM-Data'!BR$1,Table1[Tháng],'Tác động-GM-Data'!BR$2,Table1[Loại vảy],"UNKNOWN")</f>
        <v>0</v>
      </c>
      <c r="BS94" s="1269">
        <f>SUMIFS(Table1[Nhập-SPC],Table1[Năm],'Tác động-GM-Data'!BS$1,Table1[Tháng],'Tác động-GM-Data'!BS$2,Table1[Loại vảy],"UNKNOWN")+SUMIFS(Table1[Nhập-SPP],Table1[Năm],'Tác động-GM-Data'!BS$1,Table1[Tháng],'Tác động-GM-Data'!BS$2,Table1[Loại vảy],"UNKNOWN")</f>
        <v>0</v>
      </c>
      <c r="BT94" s="1269">
        <f t="shared" si="253"/>
        <v>0</v>
      </c>
    </row>
    <row r="96" spans="1:72" s="1285" customFormat="1" ht="16">
      <c r="A96" s="1287" t="s">
        <v>919</v>
      </c>
      <c r="B96" s="1287"/>
      <c r="D96" s="1306">
        <f>IFERROR(D91/D86,0)</f>
        <v>0.95039036251224518</v>
      </c>
      <c r="E96" s="1306">
        <f t="shared" ref="E96:P97" si="254">IFERROR(E91/E86,0)</f>
        <v>0.93866205814025405</v>
      </c>
      <c r="F96" s="1306">
        <f t="shared" si="254"/>
        <v>0.9441624087241155</v>
      </c>
      <c r="G96" s="1306">
        <f t="shared" si="254"/>
        <v>0.94842122419949904</v>
      </c>
      <c r="H96" s="1306">
        <f t="shared" si="254"/>
        <v>0.95192673276391471</v>
      </c>
      <c r="I96" s="1306">
        <f t="shared" si="254"/>
        <v>0.96099880662533821</v>
      </c>
      <c r="J96" s="1306">
        <f t="shared" si="254"/>
        <v>0.98094708955457766</v>
      </c>
      <c r="K96" s="1306">
        <f t="shared" si="254"/>
        <v>0.95463821300397866</v>
      </c>
      <c r="L96" s="1306">
        <f t="shared" si="254"/>
        <v>0.9555432458412686</v>
      </c>
      <c r="M96" s="1306">
        <f t="shared" si="254"/>
        <v>0.95859384413662163</v>
      </c>
      <c r="N96" s="1306">
        <f t="shared" si="254"/>
        <v>0.97417455295462796</v>
      </c>
      <c r="O96" s="1306">
        <f t="shared" si="254"/>
        <v>0.9335558703395952</v>
      </c>
      <c r="P96" s="1306">
        <f t="shared" si="254"/>
        <v>0.95403709564781636</v>
      </c>
      <c r="R96" s="1287"/>
      <c r="S96" s="1287"/>
      <c r="T96" s="1287"/>
      <c r="U96" s="1287"/>
      <c r="V96" s="1287"/>
      <c r="W96" s="1287"/>
      <c r="X96" s="1287"/>
      <c r="Y96" s="1287"/>
      <c r="Z96" s="1287"/>
      <c r="AA96" s="1287"/>
      <c r="AB96" s="1287"/>
      <c r="AC96" s="1287"/>
      <c r="AD96" s="1287"/>
      <c r="AF96" s="1521">
        <f>IFERROR(AF91/AF86,0)</f>
        <v>0.94231724160387254</v>
      </c>
      <c r="AG96" s="1521">
        <f t="shared" ref="AG96:AR96" si="255">IFERROR(AG91/AG86,0)</f>
        <v>0.94261297504521968</v>
      </c>
      <c r="AH96" s="1521">
        <f t="shared" si="255"/>
        <v>0.94591511670504924</v>
      </c>
      <c r="AI96" s="1521">
        <f t="shared" si="255"/>
        <v>0.94843295633994085</v>
      </c>
      <c r="AJ96" s="1521">
        <f t="shared" si="255"/>
        <v>0.94383160771326136</v>
      </c>
      <c r="AK96" s="1521">
        <f t="shared" si="255"/>
        <v>0.94585793564208787</v>
      </c>
      <c r="AL96" s="1521">
        <f t="shared" si="255"/>
        <v>0.94023199148490311</v>
      </c>
      <c r="AM96" s="1521">
        <f t="shared" si="255"/>
        <v>0.92141255483023066</v>
      </c>
      <c r="AN96" s="1521">
        <f t="shared" si="255"/>
        <v>0.93334905455297967</v>
      </c>
      <c r="AO96" s="1521">
        <f t="shared" si="255"/>
        <v>0.91039791852748164</v>
      </c>
      <c r="AP96" s="1521">
        <f t="shared" si="255"/>
        <v>0.93598687904955424</v>
      </c>
      <c r="AQ96" s="1522">
        <f t="shared" si="255"/>
        <v>0.92991917545534841</v>
      </c>
      <c r="AR96" s="1522">
        <f t="shared" si="255"/>
        <v>0.9355822933471124</v>
      </c>
      <c r="AT96" s="1287"/>
      <c r="AU96" s="1287"/>
      <c r="AV96" s="1287"/>
      <c r="AW96" s="1287"/>
      <c r="AX96" s="1287"/>
      <c r="AY96" s="1287"/>
      <c r="AZ96" s="1287"/>
      <c r="BA96" s="1287"/>
      <c r="BB96" s="1287"/>
      <c r="BC96" s="1287"/>
      <c r="BD96" s="1287"/>
      <c r="BE96" s="1288"/>
      <c r="BF96" s="1288"/>
      <c r="BH96" s="1521">
        <f>IFERROR(BH91/BH86,0)</f>
        <v>0.93096467782552139</v>
      </c>
      <c r="BI96" s="1521">
        <f t="shared" ref="BI96:BT96" si="256">IFERROR(BI91/BI86,0)</f>
        <v>0.91270926313437251</v>
      </c>
      <c r="BJ96" s="1521">
        <f t="shared" si="256"/>
        <v>0.91070113332734925</v>
      </c>
      <c r="BK96" s="1521">
        <f t="shared" si="256"/>
        <v>0</v>
      </c>
      <c r="BL96" s="1521">
        <f t="shared" si="256"/>
        <v>0</v>
      </c>
      <c r="BM96" s="1521">
        <f t="shared" si="256"/>
        <v>0</v>
      </c>
      <c r="BN96" s="1521">
        <f t="shared" si="256"/>
        <v>0</v>
      </c>
      <c r="BO96" s="1521">
        <f t="shared" si="256"/>
        <v>0</v>
      </c>
      <c r="BP96" s="1521">
        <f t="shared" si="256"/>
        <v>0</v>
      </c>
      <c r="BQ96" s="1521">
        <f t="shared" si="256"/>
        <v>0</v>
      </c>
      <c r="BR96" s="1521">
        <f t="shared" si="256"/>
        <v>0</v>
      </c>
      <c r="BS96" s="1522">
        <f t="shared" si="256"/>
        <v>0</v>
      </c>
      <c r="BT96" s="1522">
        <f t="shared" si="256"/>
        <v>0.91757325465882789</v>
      </c>
    </row>
    <row r="97" spans="1:72">
      <c r="A97" s="1279" t="s">
        <v>1074</v>
      </c>
      <c r="B97" s="1279"/>
      <c r="D97" s="1299">
        <f>IFERROR(D92/D87,0)</f>
        <v>0.95062487546658037</v>
      </c>
      <c r="E97" s="1299">
        <f t="shared" si="254"/>
        <v>0.93300368722122851</v>
      </c>
      <c r="F97" s="1299">
        <f t="shared" si="254"/>
        <v>0.94043091423629133</v>
      </c>
      <c r="G97" s="1299">
        <f t="shared" si="254"/>
        <v>0.94900655604863637</v>
      </c>
      <c r="H97" s="1299">
        <f t="shared" si="254"/>
        <v>0.9497436934666702</v>
      </c>
      <c r="I97" s="1299">
        <f t="shared" si="254"/>
        <v>0.95897498133054648</v>
      </c>
      <c r="J97" s="1299">
        <f t="shared" si="254"/>
        <v>0.98245590299549601</v>
      </c>
      <c r="K97" s="1299">
        <f t="shared" si="254"/>
        <v>0.95550588697761174</v>
      </c>
      <c r="L97" s="1299">
        <f t="shared" si="254"/>
        <v>0.95980055924169472</v>
      </c>
      <c r="M97" s="1299">
        <f t="shared" si="254"/>
        <v>0.96338425583168319</v>
      </c>
      <c r="N97" s="1299">
        <f t="shared" si="254"/>
        <v>0.97850071417163864</v>
      </c>
      <c r="O97" s="1299">
        <f t="shared" si="254"/>
        <v>0.9386844213409461</v>
      </c>
      <c r="P97" s="1301">
        <f t="shared" si="254"/>
        <v>0.95399466655814325</v>
      </c>
      <c r="Q97" s="311"/>
      <c r="R97" s="1280"/>
      <c r="S97" s="1280"/>
      <c r="T97" s="1280"/>
      <c r="U97" s="1280"/>
      <c r="V97" s="1280"/>
      <c r="W97" s="1280"/>
      <c r="X97" s="1280"/>
      <c r="Y97" s="1280"/>
      <c r="Z97" s="1280"/>
      <c r="AA97" s="1280"/>
      <c r="AB97" s="1280"/>
      <c r="AC97" s="1280"/>
      <c r="AD97" s="1280"/>
      <c r="AE97" s="311"/>
      <c r="AF97" s="1282">
        <f>IFERROR(AF92/AF87,0)</f>
        <v>0.94409030763233448</v>
      </c>
      <c r="AG97" s="1282">
        <f t="shared" ref="AG97:AR97" si="257">IFERROR(AG92/AG87,0)</f>
        <v>0.94966118826508661</v>
      </c>
      <c r="AH97" s="1282">
        <f t="shared" si="257"/>
        <v>0.94405807993395263</v>
      </c>
      <c r="AI97" s="1282">
        <f t="shared" si="257"/>
        <v>0.94796138651540263</v>
      </c>
      <c r="AJ97" s="1282">
        <f t="shared" si="257"/>
        <v>0.94819727618513994</v>
      </c>
      <c r="AK97" s="1282">
        <f t="shared" si="257"/>
        <v>0.95063500420876812</v>
      </c>
      <c r="AL97" s="1282">
        <f t="shared" si="257"/>
        <v>0.94891543926729671</v>
      </c>
      <c r="AM97" s="1282">
        <f t="shared" si="257"/>
        <v>0.92288210327267861</v>
      </c>
      <c r="AN97" s="1282">
        <f t="shared" si="257"/>
        <v>0.93996234568104087</v>
      </c>
      <c r="AO97" s="1282">
        <f t="shared" si="257"/>
        <v>0.91758539483085966</v>
      </c>
      <c r="AP97" s="1282">
        <f t="shared" si="257"/>
        <v>0.93605461196637185</v>
      </c>
      <c r="AQ97" s="1281">
        <f t="shared" si="257"/>
        <v>0.93651083668545076</v>
      </c>
      <c r="AR97" s="1281">
        <f t="shared" si="257"/>
        <v>0.94088467975305845</v>
      </c>
      <c r="AT97" s="1282"/>
      <c r="AU97" s="1282"/>
      <c r="AV97" s="1282"/>
      <c r="AW97" s="1282"/>
      <c r="AX97" s="1282"/>
      <c r="AY97" s="1282"/>
      <c r="AZ97" s="1282"/>
      <c r="BA97" s="1282"/>
      <c r="BB97" s="1282"/>
      <c r="BC97" s="1282"/>
      <c r="BD97" s="1282"/>
      <c r="BE97" s="1281"/>
      <c r="BF97" s="1281"/>
      <c r="BG97" s="311"/>
      <c r="BH97" s="1282">
        <f>IFERROR(BH92/BH87,0)</f>
        <v>0.93451841695028692</v>
      </c>
      <c r="BI97" s="1282">
        <f t="shared" ref="BI97:BT97" si="258">IFERROR(BI92/BI87,0)</f>
        <v>0.92284450264005413</v>
      </c>
      <c r="BJ97" s="1282">
        <f t="shared" si="258"/>
        <v>0.90293025686385942</v>
      </c>
      <c r="BK97" s="1282">
        <f t="shared" si="258"/>
        <v>0</v>
      </c>
      <c r="BL97" s="1282">
        <f t="shared" si="258"/>
        <v>0</v>
      </c>
      <c r="BM97" s="1282">
        <f t="shared" si="258"/>
        <v>0</v>
      </c>
      <c r="BN97" s="1282">
        <f t="shared" si="258"/>
        <v>0</v>
      </c>
      <c r="BO97" s="1282">
        <f t="shared" si="258"/>
        <v>0</v>
      </c>
      <c r="BP97" s="1282">
        <f t="shared" si="258"/>
        <v>0</v>
      </c>
      <c r="BQ97" s="1282">
        <f t="shared" si="258"/>
        <v>0</v>
      </c>
      <c r="BR97" s="1282">
        <f t="shared" si="258"/>
        <v>0</v>
      </c>
      <c r="BS97" s="1281">
        <f t="shared" si="258"/>
        <v>0</v>
      </c>
      <c r="BT97" s="1281">
        <f t="shared" si="258"/>
        <v>0.91745501175525379</v>
      </c>
    </row>
    <row r="98" spans="1:72">
      <c r="A98" s="1279" t="s">
        <v>1075</v>
      </c>
      <c r="B98" s="1279"/>
      <c r="D98" s="1299">
        <f t="shared" ref="D98:P98" si="259">IFERROR(D93/D88,0)</f>
        <v>0.94952555348579282</v>
      </c>
      <c r="E98" s="1299">
        <f t="shared" si="259"/>
        <v>0.95665299239395885</v>
      </c>
      <c r="F98" s="1299">
        <f t="shared" si="259"/>
        <v>0.95466225338617661</v>
      </c>
      <c r="G98" s="1299">
        <f t="shared" si="259"/>
        <v>0.94360990834830438</v>
      </c>
      <c r="H98" s="1299">
        <f t="shared" si="259"/>
        <v>0.95973329433665466</v>
      </c>
      <c r="I98" s="1299">
        <f t="shared" si="259"/>
        <v>0.9683694482645594</v>
      </c>
      <c r="J98" s="1299">
        <f t="shared" si="259"/>
        <v>0.97924479409889698</v>
      </c>
      <c r="K98" s="1299">
        <f t="shared" si="259"/>
        <v>0.95327224143600442</v>
      </c>
      <c r="L98" s="1299">
        <f t="shared" si="259"/>
        <v>0.94310130589320096</v>
      </c>
      <c r="M98" s="1299">
        <f t="shared" si="259"/>
        <v>0.95257921494700937</v>
      </c>
      <c r="N98" s="1299">
        <f t="shared" si="259"/>
        <v>0.96522023456120876</v>
      </c>
      <c r="O98" s="1299">
        <f t="shared" si="259"/>
        <v>0.9258758942880978</v>
      </c>
      <c r="P98" s="1301">
        <f t="shared" si="259"/>
        <v>0.95413825435337651</v>
      </c>
      <c r="Q98" s="311"/>
      <c r="R98" s="1280"/>
      <c r="S98" s="1280"/>
      <c r="T98" s="1280"/>
      <c r="U98" s="1280"/>
      <c r="V98" s="1280"/>
      <c r="W98" s="1280"/>
      <c r="X98" s="1280"/>
      <c r="Y98" s="1280"/>
      <c r="Z98" s="1280"/>
      <c r="AA98" s="1280"/>
      <c r="AB98" s="1280"/>
      <c r="AC98" s="1280"/>
      <c r="AD98" s="1280"/>
      <c r="AE98" s="311"/>
      <c r="AF98" s="1282">
        <f t="shared" ref="AF98:AR98" si="260">IFERROR(AF93/AF88,0)</f>
        <v>0.94463117732558133</v>
      </c>
      <c r="AG98" s="1282">
        <f t="shared" si="260"/>
        <v>0.93699924673012391</v>
      </c>
      <c r="AH98" s="1282">
        <f t="shared" si="260"/>
        <v>0.95066153378829776</v>
      </c>
      <c r="AI98" s="1282">
        <f t="shared" si="260"/>
        <v>0.95052578161801016</v>
      </c>
      <c r="AJ98" s="1282">
        <f t="shared" si="260"/>
        <v>0.92258287638634284</v>
      </c>
      <c r="AK98" s="1282">
        <f t="shared" si="260"/>
        <v>0.93177983983427992</v>
      </c>
      <c r="AL98" s="1282">
        <f t="shared" si="260"/>
        <v>0.91909011482775838</v>
      </c>
      <c r="AM98" s="1282">
        <f t="shared" si="260"/>
        <v>0.91646443227902696</v>
      </c>
      <c r="AN98" s="1282">
        <f t="shared" si="260"/>
        <v>0.92520763844925491</v>
      </c>
      <c r="AO98" s="1282">
        <f t="shared" si="260"/>
        <v>0.90670421001996926</v>
      </c>
      <c r="AP98" s="1282">
        <f t="shared" si="260"/>
        <v>0.93590722696086104</v>
      </c>
      <c r="AQ98" s="1281">
        <f t="shared" si="260"/>
        <v>0.91394340381778361</v>
      </c>
      <c r="AR98" s="1281">
        <f t="shared" si="260"/>
        <v>0.92599066408116815</v>
      </c>
      <c r="AT98" s="1282"/>
      <c r="AU98" s="1282"/>
      <c r="AV98" s="1282"/>
      <c r="AW98" s="1282"/>
      <c r="AX98" s="1282"/>
      <c r="AY98" s="1282"/>
      <c r="AZ98" s="1282"/>
      <c r="BA98" s="1282"/>
      <c r="BB98" s="1282"/>
      <c r="BC98" s="1282"/>
      <c r="BD98" s="1282"/>
      <c r="BE98" s="1281"/>
      <c r="BF98" s="1281"/>
      <c r="BG98" s="311"/>
      <c r="BH98" s="1282">
        <f t="shared" ref="BH98:BT98" si="261">IFERROR(BH93/BH88,0)</f>
        <v>0.92773566249176009</v>
      </c>
      <c r="BI98" s="1282">
        <f t="shared" si="261"/>
        <v>0.88181818181818183</v>
      </c>
      <c r="BJ98" s="1282">
        <f t="shared" si="261"/>
        <v>0.92024451636102123</v>
      </c>
      <c r="BK98" s="1282">
        <f t="shared" si="261"/>
        <v>0</v>
      </c>
      <c r="BL98" s="1282">
        <f t="shared" si="261"/>
        <v>0</v>
      </c>
      <c r="BM98" s="1282">
        <f t="shared" si="261"/>
        <v>0</v>
      </c>
      <c r="BN98" s="1282">
        <f t="shared" si="261"/>
        <v>0</v>
      </c>
      <c r="BO98" s="1282">
        <f t="shared" si="261"/>
        <v>0</v>
      </c>
      <c r="BP98" s="1282">
        <f t="shared" si="261"/>
        <v>0</v>
      </c>
      <c r="BQ98" s="1282">
        <f t="shared" si="261"/>
        <v>0</v>
      </c>
      <c r="BR98" s="1282">
        <f t="shared" si="261"/>
        <v>0</v>
      </c>
      <c r="BS98" s="1281">
        <f t="shared" si="261"/>
        <v>0</v>
      </c>
      <c r="BT98" s="1281">
        <f t="shared" si="261"/>
        <v>0.91773415231442446</v>
      </c>
    </row>
    <row r="99" spans="1:72">
      <c r="A99" s="1279" t="s">
        <v>1224</v>
      </c>
      <c r="B99" s="1279"/>
      <c r="D99" s="1299">
        <f t="shared" ref="D99:P99" si="262">IFERROR(D94/D89,0)</f>
        <v>0</v>
      </c>
      <c r="E99" s="1299">
        <f t="shared" si="262"/>
        <v>0</v>
      </c>
      <c r="F99" s="1299">
        <f t="shared" si="262"/>
        <v>0</v>
      </c>
      <c r="G99" s="1299">
        <f t="shared" si="262"/>
        <v>0</v>
      </c>
      <c r="H99" s="1299">
        <f t="shared" si="262"/>
        <v>0</v>
      </c>
      <c r="I99" s="1299">
        <f t="shared" si="262"/>
        <v>0.82125199027905804</v>
      </c>
      <c r="J99" s="1299">
        <f t="shared" si="262"/>
        <v>0</v>
      </c>
      <c r="K99" s="1299">
        <f t="shared" si="262"/>
        <v>0</v>
      </c>
      <c r="L99" s="1299">
        <f t="shared" si="262"/>
        <v>0</v>
      </c>
      <c r="M99" s="1299">
        <f t="shared" si="262"/>
        <v>1</v>
      </c>
      <c r="N99" s="1299">
        <f t="shared" si="262"/>
        <v>0</v>
      </c>
      <c r="O99" s="1299">
        <f t="shared" si="262"/>
        <v>0</v>
      </c>
      <c r="P99" s="1301">
        <f t="shared" si="262"/>
        <v>0.86399285850921381</v>
      </c>
      <c r="Q99" s="311"/>
      <c r="R99" s="1280"/>
      <c r="S99" s="1280"/>
      <c r="T99" s="1280"/>
      <c r="U99" s="1280"/>
      <c r="V99" s="1280"/>
      <c r="W99" s="1280"/>
      <c r="X99" s="1280"/>
      <c r="Y99" s="1280"/>
      <c r="Z99" s="1280"/>
      <c r="AA99" s="1280"/>
      <c r="AB99" s="1280"/>
      <c r="AC99" s="1280"/>
      <c r="AD99" s="1280"/>
      <c r="AE99" s="311"/>
      <c r="AF99" s="1282">
        <f t="shared" ref="AF99:AR99" si="263">IFERROR(AF94/AF89,0)</f>
        <v>0.6875</v>
      </c>
      <c r="AG99" s="1282">
        <f t="shared" si="263"/>
        <v>0.83422878228782293</v>
      </c>
      <c r="AH99" s="1282">
        <f t="shared" si="263"/>
        <v>0</v>
      </c>
      <c r="AI99" s="1282">
        <f t="shared" si="263"/>
        <v>0</v>
      </c>
      <c r="AJ99" s="1282">
        <f t="shared" si="263"/>
        <v>0</v>
      </c>
      <c r="AK99" s="1282">
        <f t="shared" si="263"/>
        <v>0.63493840985442329</v>
      </c>
      <c r="AL99" s="1282">
        <f t="shared" si="263"/>
        <v>0.74825500232666353</v>
      </c>
      <c r="AM99" s="1282">
        <f t="shared" si="263"/>
        <v>0.85614373568069457</v>
      </c>
      <c r="AN99" s="1282">
        <f t="shared" si="263"/>
        <v>0.93137254901960786</v>
      </c>
      <c r="AO99" s="1282">
        <f t="shared" si="263"/>
        <v>0.82829269113144999</v>
      </c>
      <c r="AP99" s="1282">
        <f t="shared" si="263"/>
        <v>0</v>
      </c>
      <c r="AQ99" s="1281">
        <f t="shared" si="263"/>
        <v>0.97058823529411764</v>
      </c>
      <c r="AR99" s="1281">
        <f t="shared" si="263"/>
        <v>0.81130980285698462</v>
      </c>
      <c r="AT99" s="1282"/>
      <c r="AU99" s="1282"/>
      <c r="AV99" s="1282"/>
      <c r="AW99" s="1282"/>
      <c r="AX99" s="1282"/>
      <c r="AY99" s="1282"/>
      <c r="AZ99" s="1282"/>
      <c r="BA99" s="1282"/>
      <c r="BB99" s="1282"/>
      <c r="BC99" s="1282"/>
      <c r="BD99" s="1282"/>
      <c r="BE99" s="1281"/>
      <c r="BF99" s="1281"/>
      <c r="BG99" s="311"/>
      <c r="BH99" s="1282">
        <f t="shared" ref="BH99:BT99" si="264">IFERROR(BH94/BH89,0)</f>
        <v>0</v>
      </c>
      <c r="BI99" s="1282">
        <f t="shared" si="264"/>
        <v>0</v>
      </c>
      <c r="BJ99" s="1282">
        <f t="shared" si="264"/>
        <v>0</v>
      </c>
      <c r="BK99" s="1282">
        <f t="shared" si="264"/>
        <v>0</v>
      </c>
      <c r="BL99" s="1282">
        <f t="shared" si="264"/>
        <v>0</v>
      </c>
      <c r="BM99" s="1282">
        <f t="shared" si="264"/>
        <v>0</v>
      </c>
      <c r="BN99" s="1282">
        <f t="shared" si="264"/>
        <v>0</v>
      </c>
      <c r="BO99" s="1282">
        <f t="shared" si="264"/>
        <v>0</v>
      </c>
      <c r="BP99" s="1282">
        <f t="shared" si="264"/>
        <v>0</v>
      </c>
      <c r="BQ99" s="1282">
        <f t="shared" si="264"/>
        <v>0</v>
      </c>
      <c r="BR99" s="1282">
        <f t="shared" si="264"/>
        <v>0</v>
      </c>
      <c r="BS99" s="1281">
        <f t="shared" si="264"/>
        <v>0</v>
      </c>
      <c r="BT99" s="1281">
        <f t="shared" si="264"/>
        <v>0</v>
      </c>
    </row>
    <row r="104" spans="1:72">
      <c r="BK104" s="144">
        <f>BK47+BK49</f>
        <v>1984972.9995799996</v>
      </c>
    </row>
    <row r="105" spans="1:72">
      <c r="BK105" s="144">
        <f>BK53+BK55</f>
        <v>1693200</v>
      </c>
    </row>
    <row r="106" spans="1:72">
      <c r="BK106" s="311">
        <f>BK105/BK104</f>
        <v>0.85300908393124952</v>
      </c>
      <c r="BL106" s="311">
        <f>1-BK106</f>
        <v>0.14699091606875048</v>
      </c>
    </row>
    <row r="107" spans="1:72">
      <c r="BL107" s="311">
        <f>1-BK60</f>
        <v>8.752237696462184E-2</v>
      </c>
    </row>
    <row r="108" spans="1:72">
      <c r="BL108" s="311">
        <f>1-BK63</f>
        <v>4.4225883757283424E-2</v>
      </c>
    </row>
    <row r="109" spans="1:72">
      <c r="BL109" s="311">
        <f>SUM(BL106:BL108)</f>
        <v>0.27873917679065574</v>
      </c>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EE11E-1A68-48A0-B07A-C8C967E2395E}">
  <dimension ref="A1:O458"/>
  <sheetViews>
    <sheetView showGridLines="0" zoomScaleNormal="100" workbookViewId="0">
      <pane xSplit="4" ySplit="2" topLeftCell="E54" activePane="bottomRight" state="frozen"/>
      <selection activeCell="AJ99" sqref="AJ99"/>
      <selection pane="topRight" activeCell="AJ99" sqref="AJ99"/>
      <selection pane="bottomLeft" activeCell="AJ99" sqref="AJ99"/>
      <selection pane="bottomRight" activeCell="AJ99" sqref="AJ99"/>
    </sheetView>
  </sheetViews>
  <sheetFormatPr defaultRowHeight="14.5"/>
  <cols>
    <col min="3" max="3" width="10.54296875" bestFit="1" customWidth="1"/>
    <col min="4" max="4" width="23.453125" bestFit="1" customWidth="1"/>
    <col min="5" max="5" width="13.453125" bestFit="1" customWidth="1"/>
    <col min="6" max="7" width="11.54296875" bestFit="1" customWidth="1"/>
    <col min="8" max="9" width="10.54296875" bestFit="1" customWidth="1"/>
    <col min="13" max="13" width="10" bestFit="1" customWidth="1"/>
    <col min="14" max="14" width="32.08984375" bestFit="1" customWidth="1"/>
  </cols>
  <sheetData>
    <row r="1" spans="1:15">
      <c r="J1" s="1520" t="s">
        <v>1228</v>
      </c>
    </row>
    <row r="2" spans="1:15">
      <c r="A2" s="1516" t="s">
        <v>1077</v>
      </c>
      <c r="B2" s="1516" t="s">
        <v>366</v>
      </c>
      <c r="C2" s="1516" t="s">
        <v>1106</v>
      </c>
      <c r="D2" s="1516" t="s">
        <v>1107</v>
      </c>
      <c r="E2" s="1516" t="s">
        <v>1102</v>
      </c>
      <c r="F2" s="1516" t="s">
        <v>1103</v>
      </c>
      <c r="G2" s="1516" t="s">
        <v>1104</v>
      </c>
      <c r="H2" s="1516" t="s">
        <v>1105</v>
      </c>
      <c r="I2" s="1516" t="s">
        <v>416</v>
      </c>
      <c r="J2" s="1516" t="s">
        <v>1226</v>
      </c>
      <c r="M2" s="292" t="s">
        <v>1106</v>
      </c>
      <c r="N2" s="292" t="s">
        <v>1107</v>
      </c>
      <c r="O2" s="292" t="s">
        <v>1222</v>
      </c>
    </row>
    <row r="3" spans="1:15">
      <c r="A3">
        <v>2026</v>
      </c>
      <c r="B3">
        <v>1</v>
      </c>
      <c r="C3" t="s">
        <v>1078</v>
      </c>
      <c r="D3" t="s">
        <v>1079</v>
      </c>
      <c r="E3" s="143">
        <v>926830.99999999988</v>
      </c>
      <c r="F3" s="143">
        <v>355500</v>
      </c>
      <c r="G3" s="143">
        <v>518500</v>
      </c>
      <c r="H3" s="143">
        <v>28182</v>
      </c>
      <c r="I3" s="143">
        <v>24648.999999999884</v>
      </c>
      <c r="J3" s="143" t="str">
        <f>_xlfn.XLOOKUP(Table1[[#This Row],[Mã xuất]],$M$3:$M$72,$O$3:$O$72)</f>
        <v>MN</v>
      </c>
      <c r="M3" s="294" t="s">
        <v>1078</v>
      </c>
      <c r="N3" s="294" t="s">
        <v>1079</v>
      </c>
      <c r="O3" s="294" t="s">
        <v>1225</v>
      </c>
    </row>
    <row r="4" spans="1:15">
      <c r="A4">
        <v>2026</v>
      </c>
      <c r="B4">
        <v>1</v>
      </c>
      <c r="C4" t="s">
        <v>1084</v>
      </c>
      <c r="D4" t="s">
        <v>1085</v>
      </c>
      <c r="E4" s="143">
        <v>379500</v>
      </c>
      <c r="F4" s="143">
        <v>227954.54545454544</v>
      </c>
      <c r="G4" s="143">
        <v>125818.18181818182</v>
      </c>
      <c r="H4" s="143">
        <v>15764.636363636364</v>
      </c>
      <c r="I4" s="143">
        <v>9962.6363636363712</v>
      </c>
      <c r="J4" s="143" t="str">
        <f>_xlfn.XLOOKUP(Table1[[#This Row],[Mã xuất]],$M$3:$M$72,$O$3:$O$72)</f>
        <v>TSX</v>
      </c>
      <c r="M4" s="294" t="s">
        <v>1084</v>
      </c>
      <c r="N4" s="294" t="s">
        <v>1085</v>
      </c>
      <c r="O4" s="294" t="s">
        <v>1223</v>
      </c>
    </row>
    <row r="5" spans="1:15">
      <c r="A5">
        <v>2026</v>
      </c>
      <c r="B5">
        <v>1</v>
      </c>
      <c r="C5" t="s">
        <v>1082</v>
      </c>
      <c r="D5" t="s">
        <v>1083</v>
      </c>
      <c r="E5" s="143">
        <v>357200</v>
      </c>
      <c r="F5" s="143">
        <v>110500</v>
      </c>
      <c r="G5" s="143">
        <v>213500</v>
      </c>
      <c r="H5" s="143">
        <v>22813</v>
      </c>
      <c r="I5" s="143">
        <v>10387</v>
      </c>
      <c r="J5" s="143" t="str">
        <f>_xlfn.XLOOKUP(Table1[[#This Row],[Mã xuất]],$M$3:$M$72,$O$3:$O$72)</f>
        <v>TSX</v>
      </c>
      <c r="M5" s="294" t="s">
        <v>1082</v>
      </c>
      <c r="N5" s="294" t="s">
        <v>1083</v>
      </c>
      <c r="O5" s="294" t="s">
        <v>1223</v>
      </c>
    </row>
    <row r="6" spans="1:15">
      <c r="A6">
        <v>2026</v>
      </c>
      <c r="B6">
        <v>1</v>
      </c>
      <c r="C6" t="s">
        <v>1080</v>
      </c>
      <c r="D6" t="s">
        <v>1081</v>
      </c>
      <c r="E6" s="143">
        <v>303500</v>
      </c>
      <c r="F6" s="143">
        <v>76545.454545454544</v>
      </c>
      <c r="G6" s="143">
        <v>208181.81818181821</v>
      </c>
      <c r="H6" s="143">
        <v>10586.363636363638</v>
      </c>
      <c r="I6" s="143">
        <v>8186.3636363636269</v>
      </c>
      <c r="J6" s="143" t="str">
        <f>_xlfn.XLOOKUP(Table1[[#This Row],[Mã xuất]],$M$3:$M$72,$O$3:$O$72)</f>
        <v>TSX</v>
      </c>
      <c r="M6" s="294" t="s">
        <v>1080</v>
      </c>
      <c r="N6" s="294" t="s">
        <v>1081</v>
      </c>
      <c r="O6" s="294" t="s">
        <v>1223</v>
      </c>
    </row>
    <row r="7" spans="1:15">
      <c r="A7">
        <v>2026</v>
      </c>
      <c r="B7">
        <v>1</v>
      </c>
      <c r="C7" t="s">
        <v>1086</v>
      </c>
      <c r="D7" t="s">
        <v>1087</v>
      </c>
      <c r="E7" s="143">
        <v>119800</v>
      </c>
      <c r="F7" s="143">
        <v>27000</v>
      </c>
      <c r="G7" s="143">
        <v>79500</v>
      </c>
      <c r="H7" s="143">
        <v>8339</v>
      </c>
      <c r="I7" s="143">
        <v>4961</v>
      </c>
      <c r="J7" s="143" t="str">
        <f>_xlfn.XLOOKUP(Table1[[#This Row],[Mã xuất]],$M$3:$M$72,$O$3:$O$72)</f>
        <v>MN</v>
      </c>
      <c r="M7" s="294" t="s">
        <v>1086</v>
      </c>
      <c r="N7" s="294" t="s">
        <v>1087</v>
      </c>
      <c r="O7" s="294" t="s">
        <v>1225</v>
      </c>
    </row>
    <row r="8" spans="1:15">
      <c r="A8">
        <v>2026</v>
      </c>
      <c r="B8">
        <v>1</v>
      </c>
      <c r="C8" t="s">
        <v>1088</v>
      </c>
      <c r="D8" t="s">
        <v>1089</v>
      </c>
      <c r="E8" s="143">
        <v>66000</v>
      </c>
      <c r="F8" s="143">
        <v>0</v>
      </c>
      <c r="G8" s="143">
        <v>64000</v>
      </c>
      <c r="H8" s="143">
        <v>138</v>
      </c>
      <c r="I8" s="143">
        <v>1862</v>
      </c>
      <c r="J8" s="143" t="str">
        <f>_xlfn.XLOOKUP(Table1[[#This Row],[Mã xuất]],$M$3:$M$72,$O$3:$O$72)</f>
        <v>TSX</v>
      </c>
      <c r="M8" s="294" t="s">
        <v>1088</v>
      </c>
      <c r="N8" s="294" t="s">
        <v>1089</v>
      </c>
      <c r="O8" s="294" t="s">
        <v>1223</v>
      </c>
    </row>
    <row r="9" spans="1:15">
      <c r="A9">
        <v>2026</v>
      </c>
      <c r="B9">
        <v>1</v>
      </c>
      <c r="C9" t="s">
        <v>1092</v>
      </c>
      <c r="D9" t="s">
        <v>1093</v>
      </c>
      <c r="E9" s="143">
        <v>56076</v>
      </c>
      <c r="F9" s="143">
        <v>9500</v>
      </c>
      <c r="G9" s="143">
        <v>40500</v>
      </c>
      <c r="H9" s="143">
        <v>4000</v>
      </c>
      <c r="I9" s="143">
        <v>2076</v>
      </c>
      <c r="J9" s="143" t="str">
        <f>_xlfn.XLOOKUP(Table1[[#This Row],[Mã xuất]],$M$3:$M$72,$O$3:$O$72)</f>
        <v>MN</v>
      </c>
      <c r="M9" s="294" t="s">
        <v>1092</v>
      </c>
      <c r="N9" s="294" t="s">
        <v>1093</v>
      </c>
      <c r="O9" s="294" t="s">
        <v>1225</v>
      </c>
    </row>
    <row r="10" spans="1:15">
      <c r="A10">
        <v>2026</v>
      </c>
      <c r="B10">
        <v>1</v>
      </c>
      <c r="C10" t="s">
        <v>1094</v>
      </c>
      <c r="D10" t="s">
        <v>1095</v>
      </c>
      <c r="E10" s="143">
        <v>53600</v>
      </c>
      <c r="F10" s="143">
        <v>44972.602739726026</v>
      </c>
      <c r="G10" s="143">
        <v>4313.6986301369861</v>
      </c>
      <c r="H10" s="143">
        <v>2753.4246575342468</v>
      </c>
      <c r="I10" s="143">
        <v>1560.2739726027412</v>
      </c>
      <c r="J10" s="143" t="str">
        <f>_xlfn.XLOOKUP(Table1[[#This Row],[Mã xuất]],$M$3:$M$72,$O$3:$O$72)</f>
        <v>TSX</v>
      </c>
      <c r="M10" s="294" t="s">
        <v>1094</v>
      </c>
      <c r="N10" s="294" t="s">
        <v>1095</v>
      </c>
      <c r="O10" s="294" t="s">
        <v>1223</v>
      </c>
    </row>
    <row r="11" spans="1:15">
      <c r="A11">
        <v>2026</v>
      </c>
      <c r="B11">
        <v>1</v>
      </c>
      <c r="C11" t="s">
        <v>1096</v>
      </c>
      <c r="D11" t="s">
        <v>1097</v>
      </c>
      <c r="E11" s="143">
        <v>23000</v>
      </c>
      <c r="F11" s="143">
        <v>0</v>
      </c>
      <c r="G11" s="143">
        <v>21200</v>
      </c>
      <c r="H11" s="143">
        <v>1100</v>
      </c>
      <c r="I11" s="143">
        <v>700</v>
      </c>
      <c r="J11" s="143" t="str">
        <f>_xlfn.XLOOKUP(Table1[[#This Row],[Mã xuất]],$M$3:$M$72,$O$3:$O$72)</f>
        <v>TSX</v>
      </c>
      <c r="M11" s="294" t="s">
        <v>1096</v>
      </c>
      <c r="N11" s="294" t="s">
        <v>1097</v>
      </c>
      <c r="O11" s="294" t="s">
        <v>1223</v>
      </c>
    </row>
    <row r="12" spans="1:15">
      <c r="A12">
        <v>2026</v>
      </c>
      <c r="B12">
        <v>1</v>
      </c>
      <c r="C12" t="s">
        <v>1112</v>
      </c>
      <c r="D12" t="s">
        <v>1113</v>
      </c>
      <c r="E12" s="143">
        <v>16500</v>
      </c>
      <c r="F12" s="143">
        <v>10000</v>
      </c>
      <c r="G12" s="143">
        <v>5500</v>
      </c>
      <c r="H12" s="143">
        <v>550</v>
      </c>
      <c r="I12" s="143">
        <v>450</v>
      </c>
      <c r="J12" s="143" t="str">
        <f>_xlfn.XLOOKUP(Table1[[#This Row],[Mã xuất]],$M$3:$M$72,$O$3:$O$72)</f>
        <v>TSX</v>
      </c>
      <c r="M12" s="294" t="s">
        <v>1112</v>
      </c>
      <c r="N12" s="294" t="s">
        <v>1113</v>
      </c>
      <c r="O12" s="294" t="s">
        <v>1223</v>
      </c>
    </row>
    <row r="13" spans="1:15">
      <c r="A13">
        <v>2026</v>
      </c>
      <c r="B13">
        <v>1</v>
      </c>
      <c r="C13" t="s">
        <v>1120</v>
      </c>
      <c r="D13" t="s">
        <v>1121</v>
      </c>
      <c r="E13" s="143">
        <v>9500</v>
      </c>
      <c r="F13" s="143">
        <v>9000</v>
      </c>
      <c r="G13" s="143">
        <v>0</v>
      </c>
      <c r="H13" s="143">
        <v>300</v>
      </c>
      <c r="I13" s="143">
        <v>200</v>
      </c>
      <c r="J13" s="143" t="str">
        <f>_xlfn.XLOOKUP(Table1[[#This Row],[Mã xuất]],$M$3:$M$72,$O$3:$O$72)</f>
        <v>TSX</v>
      </c>
      <c r="M13" s="294" t="s">
        <v>1120</v>
      </c>
      <c r="N13" s="294" t="s">
        <v>1121</v>
      </c>
      <c r="O13" s="294" t="s">
        <v>1223</v>
      </c>
    </row>
    <row r="14" spans="1:15">
      <c r="A14">
        <v>2026</v>
      </c>
      <c r="B14">
        <v>1</v>
      </c>
      <c r="C14" t="s">
        <v>1122</v>
      </c>
      <c r="D14" t="s">
        <v>1123</v>
      </c>
      <c r="E14" s="143">
        <v>4799.9999999999991</v>
      </c>
      <c r="F14" s="143">
        <v>4027.3972602739727</v>
      </c>
      <c r="G14" s="143">
        <v>386.30136986301369</v>
      </c>
      <c r="H14" s="143">
        <v>246.57534246575344</v>
      </c>
      <c r="I14" s="143">
        <v>139.72602739725923</v>
      </c>
      <c r="J14" s="143" t="str">
        <f>_xlfn.XLOOKUP(Table1[[#This Row],[Mã xuất]],$M$3:$M$72,$O$3:$O$72)</f>
        <v>TSX</v>
      </c>
      <c r="M14" s="294" t="s">
        <v>1122</v>
      </c>
      <c r="N14" s="294" t="s">
        <v>1123</v>
      </c>
      <c r="O14" s="294" t="s">
        <v>1223</v>
      </c>
    </row>
    <row r="15" spans="1:15">
      <c r="A15">
        <v>2026</v>
      </c>
      <c r="B15">
        <v>2</v>
      </c>
      <c r="C15" t="s">
        <v>1078</v>
      </c>
      <c r="D15" t="s">
        <v>1079</v>
      </c>
      <c r="E15" s="143">
        <v>1065980</v>
      </c>
      <c r="F15" s="143">
        <v>270600</v>
      </c>
      <c r="G15" s="143">
        <v>712500</v>
      </c>
      <c r="H15" s="143">
        <v>44721</v>
      </c>
      <c r="I15" s="143">
        <v>38159</v>
      </c>
      <c r="J15" s="143" t="str">
        <f>_xlfn.XLOOKUP(Table1[[#This Row],[Mã xuất]],$M$3:$M$72,$O$3:$O$72)</f>
        <v>MN</v>
      </c>
      <c r="M15" s="294" t="s">
        <v>1108</v>
      </c>
      <c r="N15" s="294" t="s">
        <v>1109</v>
      </c>
      <c r="O15" s="294" t="s">
        <v>1223</v>
      </c>
    </row>
    <row r="16" spans="1:15">
      <c r="A16">
        <v>2026</v>
      </c>
      <c r="B16">
        <v>2</v>
      </c>
      <c r="C16" t="s">
        <v>1108</v>
      </c>
      <c r="D16" t="s">
        <v>1109</v>
      </c>
      <c r="E16" s="143">
        <v>130000</v>
      </c>
      <c r="F16" s="143">
        <v>111000</v>
      </c>
      <c r="G16" s="143">
        <v>8000</v>
      </c>
      <c r="H16" s="143">
        <v>7200</v>
      </c>
      <c r="I16" s="143">
        <v>3800</v>
      </c>
      <c r="J16" s="143" t="str">
        <f>_xlfn.XLOOKUP(Table1[[#This Row],[Mã xuất]],$M$3:$M$72,$O$3:$O$72)</f>
        <v>TSX</v>
      </c>
      <c r="M16" s="294" t="s">
        <v>1110</v>
      </c>
      <c r="N16" s="294" t="s">
        <v>1111</v>
      </c>
      <c r="O16" s="294" t="s">
        <v>1225</v>
      </c>
    </row>
    <row r="17" spans="1:15">
      <c r="A17">
        <v>2026</v>
      </c>
      <c r="B17">
        <v>2</v>
      </c>
      <c r="C17" t="s">
        <v>1086</v>
      </c>
      <c r="D17" t="s">
        <v>1087</v>
      </c>
      <c r="E17" s="143">
        <v>122783</v>
      </c>
      <c r="F17" s="143">
        <v>22000</v>
      </c>
      <c r="G17" s="143">
        <v>93500</v>
      </c>
      <c r="H17" s="143">
        <v>3240</v>
      </c>
      <c r="I17" s="143">
        <v>4043</v>
      </c>
      <c r="J17" s="143" t="str">
        <f>_xlfn.XLOOKUP(Table1[[#This Row],[Mã xuất]],$M$3:$M$72,$O$3:$O$72)</f>
        <v>MN</v>
      </c>
      <c r="M17" s="294" t="s">
        <v>1114</v>
      </c>
      <c r="N17" s="294" t="s">
        <v>1115</v>
      </c>
      <c r="O17" s="294" t="s">
        <v>1225</v>
      </c>
    </row>
    <row r="18" spans="1:15">
      <c r="A18">
        <v>2026</v>
      </c>
      <c r="B18">
        <v>2</v>
      </c>
      <c r="C18" t="s">
        <v>1082</v>
      </c>
      <c r="D18" t="s">
        <v>1083</v>
      </c>
      <c r="E18" s="143">
        <v>100000</v>
      </c>
      <c r="F18" s="143">
        <v>48000</v>
      </c>
      <c r="G18" s="143">
        <v>44000</v>
      </c>
      <c r="H18" s="143">
        <v>5525</v>
      </c>
      <c r="I18" s="143">
        <v>2475</v>
      </c>
      <c r="J18" s="143" t="str">
        <f>_xlfn.XLOOKUP(Table1[[#This Row],[Mã xuất]],$M$3:$M$72,$O$3:$O$72)</f>
        <v>TSX</v>
      </c>
      <c r="M18" s="294" t="s">
        <v>1090</v>
      </c>
      <c r="N18" s="294" t="s">
        <v>1091</v>
      </c>
      <c r="O18" s="294" t="s">
        <v>1225</v>
      </c>
    </row>
    <row r="19" spans="1:15">
      <c r="A19">
        <v>2026</v>
      </c>
      <c r="B19">
        <v>2</v>
      </c>
      <c r="C19" t="s">
        <v>1080</v>
      </c>
      <c r="D19" t="s">
        <v>1081</v>
      </c>
      <c r="E19" s="143">
        <v>67000</v>
      </c>
      <c r="F19" s="143">
        <v>18500</v>
      </c>
      <c r="G19" s="143">
        <v>42000</v>
      </c>
      <c r="H19" s="143">
        <v>4668</v>
      </c>
      <c r="I19" s="143">
        <v>1832</v>
      </c>
      <c r="J19" s="143" t="str">
        <f>_xlfn.XLOOKUP(Table1[[#This Row],[Mã xuất]],$M$3:$M$72,$O$3:$O$72)</f>
        <v>TSX</v>
      </c>
      <c r="M19" s="294" t="s">
        <v>1116</v>
      </c>
      <c r="N19" s="294" t="s">
        <v>1117</v>
      </c>
      <c r="O19" s="294" t="s">
        <v>1223</v>
      </c>
    </row>
    <row r="20" spans="1:15">
      <c r="A20">
        <v>2026</v>
      </c>
      <c r="B20">
        <v>2</v>
      </c>
      <c r="C20" t="s">
        <v>1110</v>
      </c>
      <c r="D20" t="s">
        <v>1111</v>
      </c>
      <c r="E20" s="143">
        <v>66551</v>
      </c>
      <c r="F20" s="143">
        <v>4500</v>
      </c>
      <c r="G20" s="143">
        <v>58500</v>
      </c>
      <c r="H20" s="143">
        <v>900</v>
      </c>
      <c r="I20" s="143">
        <v>2651</v>
      </c>
      <c r="J20" s="143" t="str">
        <f>_xlfn.XLOOKUP(Table1[[#This Row],[Mã xuất]],$M$3:$M$72,$O$3:$O$72)</f>
        <v>MN</v>
      </c>
      <c r="M20" s="294" t="s">
        <v>1118</v>
      </c>
      <c r="N20" s="294" t="s">
        <v>1119</v>
      </c>
      <c r="O20" s="294" t="s">
        <v>1223</v>
      </c>
    </row>
    <row r="21" spans="1:15">
      <c r="A21">
        <v>2026</v>
      </c>
      <c r="B21">
        <v>2</v>
      </c>
      <c r="C21" t="s">
        <v>1112</v>
      </c>
      <c r="D21" t="s">
        <v>1113</v>
      </c>
      <c r="E21" s="143">
        <v>61000</v>
      </c>
      <c r="F21" s="143">
        <v>43000</v>
      </c>
      <c r="G21" s="143">
        <v>14000</v>
      </c>
      <c r="H21" s="143">
        <v>2261</v>
      </c>
      <c r="I21" s="143">
        <v>1739</v>
      </c>
      <c r="J21" s="143" t="str">
        <f>_xlfn.XLOOKUP(Table1[[#This Row],[Mã xuất]],$M$3:$M$72,$O$3:$O$72)</f>
        <v>TSX</v>
      </c>
      <c r="M21" s="294" t="s">
        <v>1098</v>
      </c>
      <c r="N21" s="294" t="s">
        <v>1099</v>
      </c>
      <c r="O21" s="294" t="s">
        <v>1225</v>
      </c>
    </row>
    <row r="22" spans="1:15">
      <c r="A22">
        <v>2026</v>
      </c>
      <c r="B22">
        <v>2</v>
      </c>
      <c r="C22" t="s">
        <v>1114</v>
      </c>
      <c r="D22" t="s">
        <v>1115</v>
      </c>
      <c r="E22" s="143">
        <v>53000</v>
      </c>
      <c r="F22" s="143">
        <v>48000</v>
      </c>
      <c r="G22" s="143">
        <v>0</v>
      </c>
      <c r="H22" s="143">
        <v>3550</v>
      </c>
      <c r="I22" s="143">
        <v>1450</v>
      </c>
      <c r="J22" s="143" t="str">
        <f>_xlfn.XLOOKUP(Table1[[#This Row],[Mã xuất]],$M$3:$M$72,$O$3:$O$72)</f>
        <v>MN</v>
      </c>
      <c r="M22" s="294" t="s">
        <v>1100</v>
      </c>
      <c r="N22" s="294" t="s">
        <v>1101</v>
      </c>
      <c r="O22" s="294" t="s">
        <v>1223</v>
      </c>
    </row>
    <row r="23" spans="1:15">
      <c r="A23">
        <v>2026</v>
      </c>
      <c r="B23">
        <v>2</v>
      </c>
      <c r="C23" t="s">
        <v>1090</v>
      </c>
      <c r="D23" t="s">
        <v>1091</v>
      </c>
      <c r="E23" s="143">
        <v>32757</v>
      </c>
      <c r="F23" s="143">
        <v>13500</v>
      </c>
      <c r="G23" s="143">
        <v>14500</v>
      </c>
      <c r="H23" s="143">
        <v>3400</v>
      </c>
      <c r="I23" s="143">
        <v>1357</v>
      </c>
      <c r="J23" s="143" t="str">
        <f>_xlfn.XLOOKUP(Table1[[#This Row],[Mã xuất]],$M$3:$M$72,$O$3:$O$72)</f>
        <v>MN</v>
      </c>
      <c r="M23" s="294" t="s">
        <v>1124</v>
      </c>
      <c r="N23" s="294" t="s">
        <v>1125</v>
      </c>
      <c r="O23" s="294" t="s">
        <v>1223</v>
      </c>
    </row>
    <row r="24" spans="1:15">
      <c r="A24">
        <v>2026</v>
      </c>
      <c r="B24">
        <v>2</v>
      </c>
      <c r="C24" t="s">
        <v>1116</v>
      </c>
      <c r="D24" t="s">
        <v>1117</v>
      </c>
      <c r="E24" s="143">
        <v>30000</v>
      </c>
      <c r="F24" s="143">
        <v>0</v>
      </c>
      <c r="G24" s="143">
        <v>29000</v>
      </c>
      <c r="H24" s="143">
        <v>400</v>
      </c>
      <c r="I24" s="143">
        <v>600</v>
      </c>
      <c r="J24" s="143" t="str">
        <f>_xlfn.XLOOKUP(Table1[[#This Row],[Mã xuất]],$M$3:$M$72,$O$3:$O$72)</f>
        <v>TSX</v>
      </c>
      <c r="M24" s="294" t="s">
        <v>1126</v>
      </c>
      <c r="N24" s="294" t="s">
        <v>1127</v>
      </c>
      <c r="O24" s="294" t="s">
        <v>1223</v>
      </c>
    </row>
    <row r="25" spans="1:15">
      <c r="A25">
        <v>2026</v>
      </c>
      <c r="B25">
        <v>2</v>
      </c>
      <c r="C25" t="s">
        <v>1096</v>
      </c>
      <c r="D25" t="s">
        <v>1097</v>
      </c>
      <c r="E25" s="143">
        <v>27500</v>
      </c>
      <c r="F25" s="143">
        <v>0</v>
      </c>
      <c r="G25" s="143">
        <v>9500</v>
      </c>
      <c r="H25" s="143">
        <v>14550</v>
      </c>
      <c r="I25" s="143">
        <v>3450</v>
      </c>
      <c r="J25" s="143" t="str">
        <f>_xlfn.XLOOKUP(Table1[[#This Row],[Mã xuất]],$M$3:$M$72,$O$3:$O$72)</f>
        <v>TSX</v>
      </c>
      <c r="M25" s="294" t="s">
        <v>1128</v>
      </c>
      <c r="N25" s="294" t="s">
        <v>1129</v>
      </c>
      <c r="O25" s="294" t="s">
        <v>1224</v>
      </c>
    </row>
    <row r="26" spans="1:15">
      <c r="A26">
        <v>2026</v>
      </c>
      <c r="B26">
        <v>2</v>
      </c>
      <c r="C26" t="s">
        <v>1118</v>
      </c>
      <c r="D26" t="s">
        <v>1119</v>
      </c>
      <c r="E26" s="143">
        <v>24500</v>
      </c>
      <c r="F26" s="143">
        <v>15000</v>
      </c>
      <c r="G26" s="143">
        <v>6000</v>
      </c>
      <c r="H26" s="143">
        <v>2800</v>
      </c>
      <c r="I26" s="143">
        <v>700</v>
      </c>
      <c r="J26" s="143" t="str">
        <f>_xlfn.XLOOKUP(Table1[[#This Row],[Mã xuất]],$M$3:$M$72,$O$3:$O$72)</f>
        <v>TSX</v>
      </c>
      <c r="M26" s="294" t="s">
        <v>1130</v>
      </c>
      <c r="N26" s="294" t="s">
        <v>1131</v>
      </c>
      <c r="O26" s="294" t="s">
        <v>1223</v>
      </c>
    </row>
    <row r="27" spans="1:15">
      <c r="A27">
        <v>2026</v>
      </c>
      <c r="B27">
        <v>3</v>
      </c>
      <c r="C27" t="s">
        <v>1078</v>
      </c>
      <c r="D27" t="s">
        <v>1079</v>
      </c>
      <c r="E27" s="143">
        <v>1203389</v>
      </c>
      <c r="F27" s="143">
        <v>486000</v>
      </c>
      <c r="G27" s="143">
        <v>598500</v>
      </c>
      <c r="H27" s="143">
        <v>75450</v>
      </c>
      <c r="I27" s="143">
        <v>43439</v>
      </c>
      <c r="J27" s="143" t="str">
        <f>_xlfn.XLOOKUP(Table1[[#This Row],[Mã xuất]],$M$3:$M$72,$O$3:$O$72)</f>
        <v>MN</v>
      </c>
      <c r="M27" s="294" t="s">
        <v>1132</v>
      </c>
      <c r="N27" s="294" t="s">
        <v>1133</v>
      </c>
      <c r="O27" s="294" t="s">
        <v>1225</v>
      </c>
    </row>
    <row r="28" spans="1:15">
      <c r="A28">
        <v>2026</v>
      </c>
      <c r="B28">
        <v>3</v>
      </c>
      <c r="C28" t="s">
        <v>1080</v>
      </c>
      <c r="D28" t="s">
        <v>1081</v>
      </c>
      <c r="E28" s="143">
        <v>433010</v>
      </c>
      <c r="F28" s="143">
        <v>163192.21183800625</v>
      </c>
      <c r="G28" s="143">
        <v>237969.47040498443</v>
      </c>
      <c r="H28" s="143">
        <v>21196.07165109034</v>
      </c>
      <c r="I28" s="143">
        <v>10652.246105918955</v>
      </c>
      <c r="J28" s="143" t="str">
        <f>_xlfn.XLOOKUP(Table1[[#This Row],[Mã xuất]],$M$3:$M$72,$O$3:$O$72)</f>
        <v>TSX</v>
      </c>
      <c r="M28" s="294" t="s">
        <v>1134</v>
      </c>
      <c r="N28" s="294" t="s">
        <v>1135</v>
      </c>
      <c r="O28" s="294" t="s">
        <v>1223</v>
      </c>
    </row>
    <row r="29" spans="1:15">
      <c r="A29">
        <v>2026</v>
      </c>
      <c r="B29">
        <v>3</v>
      </c>
      <c r="C29" t="s">
        <v>1082</v>
      </c>
      <c r="D29" t="s">
        <v>1083</v>
      </c>
      <c r="E29" s="143">
        <v>398000</v>
      </c>
      <c r="F29" s="143">
        <v>102000</v>
      </c>
      <c r="G29" s="143">
        <v>267728.03332754731</v>
      </c>
      <c r="H29" s="143">
        <v>17438.428571428572</v>
      </c>
      <c r="I29" s="143">
        <v>10833.538101024118</v>
      </c>
      <c r="J29" s="143" t="str">
        <f>_xlfn.XLOOKUP(Table1[[#This Row],[Mã xuất]],$M$3:$M$72,$O$3:$O$72)</f>
        <v>TSX</v>
      </c>
      <c r="M29" s="294" t="s">
        <v>1136</v>
      </c>
      <c r="N29" s="294" t="s">
        <v>1137</v>
      </c>
      <c r="O29" s="294" t="s">
        <v>1223</v>
      </c>
    </row>
    <row r="30" spans="1:15">
      <c r="A30">
        <v>2026</v>
      </c>
      <c r="B30">
        <v>3</v>
      </c>
      <c r="C30" t="s">
        <v>1084</v>
      </c>
      <c r="D30" t="s">
        <v>1085</v>
      </c>
      <c r="E30" s="143">
        <v>313000</v>
      </c>
      <c r="F30" s="143">
        <v>155607.78816199378</v>
      </c>
      <c r="G30" s="143">
        <v>133530.52959501557</v>
      </c>
      <c r="H30" s="143">
        <v>14280.928348909658</v>
      </c>
      <c r="I30" s="143">
        <v>9580.7538940809882</v>
      </c>
      <c r="J30" s="143" t="str">
        <f>_xlfn.XLOOKUP(Table1[[#This Row],[Mã xuất]],$M$3:$M$72,$O$3:$O$72)</f>
        <v>TSX</v>
      </c>
      <c r="M30" s="294" t="s">
        <v>1138</v>
      </c>
      <c r="N30" s="294" t="s">
        <v>1139</v>
      </c>
      <c r="O30" s="294" t="s">
        <v>1223</v>
      </c>
    </row>
    <row r="31" spans="1:15">
      <c r="A31">
        <v>2026</v>
      </c>
      <c r="B31">
        <v>3</v>
      </c>
      <c r="C31" t="s">
        <v>1086</v>
      </c>
      <c r="D31" t="s">
        <v>1087</v>
      </c>
      <c r="E31" s="143">
        <v>293968.00000000006</v>
      </c>
      <c r="F31" s="143">
        <v>99000</v>
      </c>
      <c r="G31" s="143">
        <v>169500</v>
      </c>
      <c r="H31" s="143">
        <v>14720</v>
      </c>
      <c r="I31" s="143">
        <v>10748.000000000058</v>
      </c>
      <c r="J31" s="143" t="str">
        <f>_xlfn.XLOOKUP(Table1[[#This Row],[Mã xuất]],$M$3:$M$72,$O$3:$O$72)</f>
        <v>MN</v>
      </c>
      <c r="M31" s="294" t="s">
        <v>1140</v>
      </c>
      <c r="N31" s="294" t="s">
        <v>1141</v>
      </c>
      <c r="O31" s="294" t="s">
        <v>1223</v>
      </c>
    </row>
    <row r="32" spans="1:15">
      <c r="A32">
        <v>2026</v>
      </c>
      <c r="B32">
        <v>3</v>
      </c>
      <c r="C32" t="s">
        <v>1088</v>
      </c>
      <c r="D32" t="s">
        <v>1089</v>
      </c>
      <c r="E32" s="143">
        <v>199999.99999999997</v>
      </c>
      <c r="F32" s="143">
        <v>41500</v>
      </c>
      <c r="G32" s="143">
        <v>144000</v>
      </c>
      <c r="H32" s="143">
        <v>9350</v>
      </c>
      <c r="I32" s="143">
        <v>5149.9999999999709</v>
      </c>
      <c r="J32" s="143" t="str">
        <f>_xlfn.XLOOKUP(Table1[[#This Row],[Mã xuất]],$M$3:$M$72,$O$3:$O$72)</f>
        <v>TSX</v>
      </c>
      <c r="M32" s="294" t="s">
        <v>1142</v>
      </c>
      <c r="N32" s="294" t="s">
        <v>1143</v>
      </c>
      <c r="O32" s="294" t="s">
        <v>1225</v>
      </c>
    </row>
    <row r="33" spans="1:15">
      <c r="A33">
        <v>2026</v>
      </c>
      <c r="B33">
        <v>3</v>
      </c>
      <c r="C33" t="s">
        <v>1090</v>
      </c>
      <c r="D33" t="s">
        <v>1091</v>
      </c>
      <c r="E33" s="143">
        <v>187620.99999999997</v>
      </c>
      <c r="F33" s="143">
        <v>137500</v>
      </c>
      <c r="G33" s="143">
        <v>28000</v>
      </c>
      <c r="H33" s="143">
        <v>17015</v>
      </c>
      <c r="I33" s="143">
        <v>5105.9999999999709</v>
      </c>
      <c r="J33" s="143" t="str">
        <f>_xlfn.XLOOKUP(Table1[[#This Row],[Mã xuất]],$M$3:$M$72,$O$3:$O$72)</f>
        <v>MN</v>
      </c>
      <c r="M33" s="294" t="s">
        <v>1144</v>
      </c>
      <c r="N33" s="294" t="s">
        <v>1145</v>
      </c>
      <c r="O33" s="294" t="s">
        <v>1223</v>
      </c>
    </row>
    <row r="34" spans="1:15">
      <c r="A34">
        <v>2026</v>
      </c>
      <c r="B34">
        <v>3</v>
      </c>
      <c r="C34" t="s">
        <v>1092</v>
      </c>
      <c r="D34" t="s">
        <v>1093</v>
      </c>
      <c r="E34" s="143">
        <v>81073</v>
      </c>
      <c r="F34" s="143">
        <v>15500</v>
      </c>
      <c r="G34" s="143">
        <v>61000</v>
      </c>
      <c r="H34" s="143">
        <v>1783</v>
      </c>
      <c r="I34" s="143">
        <v>2790</v>
      </c>
      <c r="J34" s="143" t="str">
        <f>_xlfn.XLOOKUP(Table1[[#This Row],[Mã xuất]],$M$3:$M$72,$O$3:$O$72)</f>
        <v>MN</v>
      </c>
      <c r="M34" s="294" t="s">
        <v>1146</v>
      </c>
      <c r="N34" s="294" t="s">
        <v>1147</v>
      </c>
      <c r="O34" s="294" t="s">
        <v>1223</v>
      </c>
    </row>
    <row r="35" spans="1:15">
      <c r="A35">
        <v>2026</v>
      </c>
      <c r="B35">
        <v>3</v>
      </c>
      <c r="C35" t="s">
        <v>1094</v>
      </c>
      <c r="D35" t="s">
        <v>1095</v>
      </c>
      <c r="E35" s="143">
        <v>80800</v>
      </c>
      <c r="F35" s="143">
        <v>76300</v>
      </c>
      <c r="G35" s="143">
        <v>0</v>
      </c>
      <c r="H35" s="143">
        <v>2187</v>
      </c>
      <c r="I35" s="143">
        <v>2313</v>
      </c>
      <c r="J35" s="143" t="str">
        <f>_xlfn.XLOOKUP(Table1[[#This Row],[Mã xuất]],$M$3:$M$72,$O$3:$O$72)</f>
        <v>TSX</v>
      </c>
      <c r="M35" s="294" t="s">
        <v>1148</v>
      </c>
      <c r="N35" s="294" t="s">
        <v>1149</v>
      </c>
      <c r="O35" s="294" t="s">
        <v>1223</v>
      </c>
    </row>
    <row r="36" spans="1:15">
      <c r="A36">
        <v>2026</v>
      </c>
      <c r="B36">
        <v>3</v>
      </c>
      <c r="C36" t="s">
        <v>1096</v>
      </c>
      <c r="D36" t="s">
        <v>1097</v>
      </c>
      <c r="E36" s="143">
        <v>31500</v>
      </c>
      <c r="F36" s="143">
        <v>0</v>
      </c>
      <c r="G36" s="143">
        <v>18500</v>
      </c>
      <c r="H36" s="143">
        <v>9690</v>
      </c>
      <c r="I36" s="143">
        <v>3310</v>
      </c>
      <c r="J36" s="143" t="str">
        <f>_xlfn.XLOOKUP(Table1[[#This Row],[Mã xuất]],$M$3:$M$72,$O$3:$O$72)</f>
        <v>TSX</v>
      </c>
      <c r="M36" s="294" t="s">
        <v>1150</v>
      </c>
      <c r="N36" s="294" t="s">
        <v>1151</v>
      </c>
      <c r="O36" s="294" t="s">
        <v>1223</v>
      </c>
    </row>
    <row r="37" spans="1:15">
      <c r="A37">
        <v>2026</v>
      </c>
      <c r="B37">
        <v>3</v>
      </c>
      <c r="C37" t="s">
        <v>1098</v>
      </c>
      <c r="D37" t="s">
        <v>1099</v>
      </c>
      <c r="E37" s="143">
        <v>27000</v>
      </c>
      <c r="F37" s="143">
        <v>21500</v>
      </c>
      <c r="G37" s="143">
        <v>2500</v>
      </c>
      <c r="H37" s="143">
        <v>2300</v>
      </c>
      <c r="I37" s="143">
        <v>700</v>
      </c>
      <c r="J37" s="143" t="str">
        <f>_xlfn.XLOOKUP(Table1[[#This Row],[Mã xuất]],$M$3:$M$72,$O$3:$O$72)</f>
        <v>MN</v>
      </c>
      <c r="M37" s="294" t="s">
        <v>1152</v>
      </c>
      <c r="N37" s="294" t="s">
        <v>1153</v>
      </c>
      <c r="O37" s="294" t="s">
        <v>1223</v>
      </c>
    </row>
    <row r="38" spans="1:15">
      <c r="A38">
        <v>2026</v>
      </c>
      <c r="B38">
        <v>3</v>
      </c>
      <c r="C38" t="s">
        <v>1100</v>
      </c>
      <c r="D38" t="s">
        <v>1101</v>
      </c>
      <c r="E38" s="143">
        <v>3715</v>
      </c>
      <c r="F38" s="143">
        <v>0</v>
      </c>
      <c r="G38" s="143">
        <v>3251.9666724526987</v>
      </c>
      <c r="H38" s="143">
        <v>398.57142857142856</v>
      </c>
      <c r="I38" s="143">
        <v>64.461898975872714</v>
      </c>
      <c r="J38" s="143" t="str">
        <f>_xlfn.XLOOKUP(Table1[[#This Row],[Mã xuất]],$M$3:$M$72,$O$3:$O$72)</f>
        <v>TSX</v>
      </c>
      <c r="M38" s="294" t="s">
        <v>1154</v>
      </c>
      <c r="N38" s="294" t="s">
        <v>1155</v>
      </c>
      <c r="O38" s="294" t="s">
        <v>1224</v>
      </c>
    </row>
    <row r="39" spans="1:15">
      <c r="A39">
        <v>2025</v>
      </c>
      <c r="B39">
        <v>1</v>
      </c>
      <c r="C39" t="s">
        <v>1078</v>
      </c>
      <c r="D39" t="s">
        <v>1079</v>
      </c>
      <c r="E39" s="143">
        <v>730500.00000000012</v>
      </c>
      <c r="F39" s="143">
        <v>326000</v>
      </c>
      <c r="G39" s="143">
        <v>379000</v>
      </c>
      <c r="H39" s="143">
        <v>22010</v>
      </c>
      <c r="I39" s="143">
        <v>3490.0000000001164</v>
      </c>
      <c r="J39" s="143" t="str">
        <f>_xlfn.XLOOKUP(Table1[[#This Row],[Mã xuất]],$M$3:$M$72,$O$3:$O$72)</f>
        <v>MN</v>
      </c>
      <c r="M39" s="294" t="s">
        <v>1156</v>
      </c>
      <c r="N39" s="294" t="s">
        <v>1157</v>
      </c>
      <c r="O39" s="294" t="s">
        <v>1225</v>
      </c>
    </row>
    <row r="40" spans="1:15">
      <c r="A40">
        <v>2025</v>
      </c>
      <c r="B40">
        <v>1</v>
      </c>
      <c r="C40" t="s">
        <v>1080</v>
      </c>
      <c r="D40" t="s">
        <v>1081</v>
      </c>
      <c r="E40" s="143">
        <v>501299.99999999994</v>
      </c>
      <c r="F40" s="143">
        <v>352629.09090909088</v>
      </c>
      <c r="G40" s="143">
        <v>111309.09090909091</v>
      </c>
      <c r="H40" s="143">
        <v>36033.090909090912</v>
      </c>
      <c r="I40" s="143">
        <v>1328.7272727272357</v>
      </c>
      <c r="J40" s="143" t="str">
        <f>_xlfn.XLOOKUP(Table1[[#This Row],[Mã xuất]],$M$3:$M$72,$O$3:$O$72)</f>
        <v>TSX</v>
      </c>
      <c r="M40" s="294" t="s">
        <v>1158</v>
      </c>
      <c r="N40" s="294" t="s">
        <v>1159</v>
      </c>
      <c r="O40" s="294" t="s">
        <v>1223</v>
      </c>
    </row>
    <row r="41" spans="1:15">
      <c r="A41">
        <v>2025</v>
      </c>
      <c r="B41">
        <v>1</v>
      </c>
      <c r="C41" t="s">
        <v>1124</v>
      </c>
      <c r="D41" t="s">
        <v>1125</v>
      </c>
      <c r="E41" s="143">
        <v>229500.00000000003</v>
      </c>
      <c r="F41" s="143">
        <v>121845.71428571429</v>
      </c>
      <c r="G41" s="143">
        <v>100404.28571428571</v>
      </c>
      <c r="H41" s="143">
        <v>6020</v>
      </c>
      <c r="I41" s="143">
        <v>1230.0000000000291</v>
      </c>
      <c r="J41" s="143" t="str">
        <f>_xlfn.XLOOKUP(Table1[[#This Row],[Mã xuất]],$M$3:$M$72,$O$3:$O$72)</f>
        <v>TSX</v>
      </c>
      <c r="M41" s="294" t="s">
        <v>1160</v>
      </c>
      <c r="N41" s="294" t="s">
        <v>1161</v>
      </c>
      <c r="O41" s="294" t="s">
        <v>1223</v>
      </c>
    </row>
    <row r="42" spans="1:15">
      <c r="A42">
        <v>2025</v>
      </c>
      <c r="B42">
        <v>1</v>
      </c>
      <c r="C42" t="s">
        <v>1086</v>
      </c>
      <c r="D42" t="s">
        <v>1087</v>
      </c>
      <c r="E42" s="143">
        <v>140000</v>
      </c>
      <c r="F42" s="143">
        <v>29062.317996505531</v>
      </c>
      <c r="G42" s="143">
        <v>98008.444962143272</v>
      </c>
      <c r="H42" s="143">
        <v>12672.334498155698</v>
      </c>
      <c r="I42" s="143">
        <v>256.90254319549786</v>
      </c>
      <c r="J42" s="143" t="str">
        <f>_xlfn.XLOOKUP(Table1[[#This Row],[Mã xuất]],$M$3:$M$72,$O$3:$O$72)</f>
        <v>MN</v>
      </c>
      <c r="M42" s="294" t="s">
        <v>1162</v>
      </c>
      <c r="N42" s="294" t="s">
        <v>1163</v>
      </c>
      <c r="O42" s="294" t="s">
        <v>1225</v>
      </c>
    </row>
    <row r="43" spans="1:15">
      <c r="A43">
        <v>2025</v>
      </c>
      <c r="B43">
        <v>1</v>
      </c>
      <c r="C43" t="s">
        <v>1088</v>
      </c>
      <c r="D43" t="s">
        <v>1089</v>
      </c>
      <c r="E43" s="143">
        <v>140000</v>
      </c>
      <c r="F43" s="143">
        <v>0</v>
      </c>
      <c r="G43" s="143">
        <v>134500</v>
      </c>
      <c r="H43" s="143">
        <v>4850</v>
      </c>
      <c r="I43" s="143">
        <v>650</v>
      </c>
      <c r="J43" s="143" t="str">
        <f>_xlfn.XLOOKUP(Table1[[#This Row],[Mã xuất]],$M$3:$M$72,$O$3:$O$72)</f>
        <v>TSX</v>
      </c>
      <c r="M43" s="294" t="s">
        <v>1164</v>
      </c>
      <c r="N43" s="294" t="s">
        <v>1165</v>
      </c>
      <c r="O43" s="294" t="s">
        <v>1223</v>
      </c>
    </row>
    <row r="44" spans="1:15">
      <c r="A44">
        <v>2025</v>
      </c>
      <c r="B44">
        <v>1</v>
      </c>
      <c r="C44" t="s">
        <v>1098</v>
      </c>
      <c r="D44" t="s">
        <v>1099</v>
      </c>
      <c r="E44" s="143">
        <v>133500.00000000003</v>
      </c>
      <c r="F44" s="143">
        <v>88500</v>
      </c>
      <c r="G44" s="143">
        <v>41000</v>
      </c>
      <c r="H44" s="143">
        <v>3550</v>
      </c>
      <c r="I44" s="143">
        <v>450.0000000000291</v>
      </c>
      <c r="J44" s="143" t="str">
        <f>_xlfn.XLOOKUP(Table1[[#This Row],[Mã xuất]],$M$3:$M$72,$O$3:$O$72)</f>
        <v>MN</v>
      </c>
      <c r="M44" s="294" t="s">
        <v>1166</v>
      </c>
      <c r="N44" s="294" t="s">
        <v>1167</v>
      </c>
      <c r="O44" s="294" t="s">
        <v>1223</v>
      </c>
    </row>
    <row r="45" spans="1:15">
      <c r="A45">
        <v>2025</v>
      </c>
      <c r="B45">
        <v>1</v>
      </c>
      <c r="C45" t="s">
        <v>1108</v>
      </c>
      <c r="D45" t="s">
        <v>1109</v>
      </c>
      <c r="E45" s="143">
        <v>94500</v>
      </c>
      <c r="F45" s="143">
        <v>50911.428571428572</v>
      </c>
      <c r="G45" s="143">
        <v>40542.857142857145</v>
      </c>
      <c r="H45" s="143">
        <v>2577.2571428571428</v>
      </c>
      <c r="I45" s="143">
        <v>468.45714285713984</v>
      </c>
      <c r="J45" s="143" t="str">
        <f>_xlfn.XLOOKUP(Table1[[#This Row],[Mã xuất]],$M$3:$M$72,$O$3:$O$72)</f>
        <v>TSX</v>
      </c>
      <c r="M45" s="294" t="s">
        <v>1168</v>
      </c>
      <c r="N45" s="294" t="s">
        <v>1169</v>
      </c>
      <c r="O45" s="294" t="s">
        <v>1223</v>
      </c>
    </row>
    <row r="46" spans="1:15">
      <c r="A46">
        <v>2025</v>
      </c>
      <c r="B46">
        <v>1</v>
      </c>
      <c r="C46" t="s">
        <v>1112</v>
      </c>
      <c r="D46" t="s">
        <v>1113</v>
      </c>
      <c r="E46" s="143">
        <v>47000</v>
      </c>
      <c r="F46" s="143">
        <v>26588.571428571428</v>
      </c>
      <c r="G46" s="143">
        <v>17457.142857142855</v>
      </c>
      <c r="H46" s="143">
        <v>2642.7428571428572</v>
      </c>
      <c r="I46" s="143">
        <v>311.54285714286016</v>
      </c>
      <c r="J46" s="143" t="str">
        <f>_xlfn.XLOOKUP(Table1[[#This Row],[Mã xuất]],$M$3:$M$72,$O$3:$O$72)</f>
        <v>TSX</v>
      </c>
      <c r="M46" s="294" t="s">
        <v>1170</v>
      </c>
      <c r="N46" s="294" t="s">
        <v>1171</v>
      </c>
      <c r="O46" s="294" t="s">
        <v>1225</v>
      </c>
    </row>
    <row r="47" spans="1:15">
      <c r="A47">
        <v>2025</v>
      </c>
      <c r="B47">
        <v>1</v>
      </c>
      <c r="C47" t="s">
        <v>1090</v>
      </c>
      <c r="D47" t="s">
        <v>1091</v>
      </c>
      <c r="E47" s="143">
        <v>44775</v>
      </c>
      <c r="F47" s="143">
        <v>500</v>
      </c>
      <c r="G47" s="143">
        <v>28000</v>
      </c>
      <c r="H47" s="143">
        <v>16100</v>
      </c>
      <c r="I47" s="143">
        <v>175</v>
      </c>
      <c r="J47" s="143" t="str">
        <f>_xlfn.XLOOKUP(Table1[[#This Row],[Mã xuất]],$M$3:$M$72,$O$3:$O$72)</f>
        <v>MN</v>
      </c>
      <c r="M47" s="294" t="s">
        <v>1172</v>
      </c>
      <c r="N47" s="294" t="s">
        <v>1173</v>
      </c>
      <c r="O47" s="294" t="s">
        <v>1223</v>
      </c>
    </row>
    <row r="48" spans="1:15">
      <c r="A48">
        <v>2025</v>
      </c>
      <c r="B48">
        <v>1</v>
      </c>
      <c r="C48" t="s">
        <v>1094</v>
      </c>
      <c r="D48" t="s">
        <v>1095</v>
      </c>
      <c r="E48" s="143">
        <v>24000</v>
      </c>
      <c r="F48" s="143">
        <v>23349.152542372882</v>
      </c>
      <c r="G48" s="143">
        <v>0</v>
      </c>
      <c r="H48" s="143">
        <v>325.42372881355931</v>
      </c>
      <c r="I48" s="143">
        <v>325.42372881355897</v>
      </c>
      <c r="J48" s="143" t="str">
        <f>_xlfn.XLOOKUP(Table1[[#This Row],[Mã xuất]],$M$3:$M$72,$O$3:$O$72)</f>
        <v>TSX</v>
      </c>
      <c r="M48" s="294" t="s">
        <v>1174</v>
      </c>
      <c r="N48" s="294" t="s">
        <v>1175</v>
      </c>
      <c r="O48" s="294" t="s">
        <v>1225</v>
      </c>
    </row>
    <row r="49" spans="1:15">
      <c r="A49">
        <v>2025</v>
      </c>
      <c r="B49">
        <v>1</v>
      </c>
      <c r="C49" t="s">
        <v>1126</v>
      </c>
      <c r="D49" t="s">
        <v>1127</v>
      </c>
      <c r="E49" s="143">
        <v>23000</v>
      </c>
      <c r="F49" s="143">
        <v>9850</v>
      </c>
      <c r="G49" s="143">
        <v>12850</v>
      </c>
      <c r="H49" s="143">
        <v>295</v>
      </c>
      <c r="I49" s="143">
        <v>5</v>
      </c>
      <c r="J49" s="143" t="str">
        <f>_xlfn.XLOOKUP(Table1[[#This Row],[Mã xuất]],$M$3:$M$72,$O$3:$O$72)</f>
        <v>TSX</v>
      </c>
      <c r="M49" s="294" t="s">
        <v>1176</v>
      </c>
      <c r="N49" s="294" t="s">
        <v>1177</v>
      </c>
      <c r="O49" s="294" t="s">
        <v>1223</v>
      </c>
    </row>
    <row r="50" spans="1:15">
      <c r="A50">
        <v>2025</v>
      </c>
      <c r="B50">
        <v>1</v>
      </c>
      <c r="C50" t="s">
        <v>1110</v>
      </c>
      <c r="D50" t="s">
        <v>1111</v>
      </c>
      <c r="E50" s="143">
        <v>22094</v>
      </c>
      <c r="F50" s="143">
        <v>8000</v>
      </c>
      <c r="G50" s="143">
        <v>13000</v>
      </c>
      <c r="H50" s="143">
        <v>850</v>
      </c>
      <c r="I50" s="143">
        <v>244</v>
      </c>
      <c r="J50" s="143" t="str">
        <f>_xlfn.XLOOKUP(Table1[[#This Row],[Mã xuất]],$M$3:$M$72,$O$3:$O$72)</f>
        <v>MN</v>
      </c>
      <c r="M50" s="294" t="s">
        <v>1178</v>
      </c>
      <c r="N50" s="294" t="s">
        <v>1179</v>
      </c>
      <c r="O50" s="294" t="s">
        <v>1225</v>
      </c>
    </row>
    <row r="51" spans="1:15">
      <c r="A51">
        <v>2025</v>
      </c>
      <c r="B51">
        <v>1</v>
      </c>
      <c r="C51" t="s">
        <v>1128</v>
      </c>
      <c r="D51" t="s">
        <v>1129</v>
      </c>
      <c r="E51" s="143">
        <v>17600</v>
      </c>
      <c r="F51" s="143">
        <v>0</v>
      </c>
      <c r="G51" s="143">
        <v>12100</v>
      </c>
      <c r="H51" s="143">
        <v>5450</v>
      </c>
      <c r="I51" s="143">
        <v>50</v>
      </c>
      <c r="J51" s="143" t="str">
        <f>_xlfn.XLOOKUP(Table1[[#This Row],[Mã xuất]],$M$3:$M$72,$O$3:$O$72)</f>
        <v>Unknown</v>
      </c>
      <c r="M51" s="294" t="s">
        <v>1180</v>
      </c>
      <c r="N51" s="294" t="s">
        <v>1181</v>
      </c>
      <c r="O51" s="294" t="s">
        <v>1223</v>
      </c>
    </row>
    <row r="52" spans="1:15">
      <c r="A52">
        <v>2025</v>
      </c>
      <c r="B52">
        <v>1</v>
      </c>
      <c r="C52" t="s">
        <v>1092</v>
      </c>
      <c r="D52" t="s">
        <v>1093</v>
      </c>
      <c r="E52" s="143">
        <v>17416</v>
      </c>
      <c r="F52" s="143">
        <v>4437.6820034944667</v>
      </c>
      <c r="G52" s="143">
        <v>11791.555037856726</v>
      </c>
      <c r="H52" s="143">
        <v>1132.6655018443021</v>
      </c>
      <c r="I52" s="143">
        <v>54.097456804505327</v>
      </c>
      <c r="J52" s="143" t="str">
        <f>_xlfn.XLOOKUP(Table1[[#This Row],[Mã xuất]],$M$3:$M$72,$O$3:$O$72)</f>
        <v>MN</v>
      </c>
      <c r="M52" s="294" t="s">
        <v>1182</v>
      </c>
      <c r="N52" s="294" t="s">
        <v>1183</v>
      </c>
      <c r="O52" s="294" t="s">
        <v>1224</v>
      </c>
    </row>
    <row r="53" spans="1:15">
      <c r="A53">
        <v>2025</v>
      </c>
      <c r="B53">
        <v>1</v>
      </c>
      <c r="C53" t="s">
        <v>1130</v>
      </c>
      <c r="D53" t="s">
        <v>1131</v>
      </c>
      <c r="E53" s="143">
        <v>13500</v>
      </c>
      <c r="F53" s="143">
        <v>3150</v>
      </c>
      <c r="G53" s="143">
        <v>7650</v>
      </c>
      <c r="H53" s="143">
        <v>2655</v>
      </c>
      <c r="I53" s="143">
        <v>45</v>
      </c>
      <c r="J53" s="143" t="str">
        <f>_xlfn.XLOOKUP(Table1[[#This Row],[Mã xuất]],$M$3:$M$72,$O$3:$O$72)</f>
        <v>TSX</v>
      </c>
      <c r="M53" s="294" t="s">
        <v>1184</v>
      </c>
      <c r="N53" s="294" t="s">
        <v>1185</v>
      </c>
      <c r="O53" s="294" t="s">
        <v>1223</v>
      </c>
    </row>
    <row r="54" spans="1:15">
      <c r="A54">
        <v>2025</v>
      </c>
      <c r="B54">
        <v>1</v>
      </c>
      <c r="C54" t="s">
        <v>1084</v>
      </c>
      <c r="D54" t="s">
        <v>1085</v>
      </c>
      <c r="E54" s="143">
        <v>11699.999999999998</v>
      </c>
      <c r="F54" s="143">
        <v>7870.909090909091</v>
      </c>
      <c r="G54" s="143">
        <v>3190.909090909091</v>
      </c>
      <c r="H54" s="143">
        <v>616.90909090909088</v>
      </c>
      <c r="I54" s="143">
        <v>21.272727272725319</v>
      </c>
      <c r="J54" s="143" t="str">
        <f>_xlfn.XLOOKUP(Table1[[#This Row],[Mã xuất]],$M$3:$M$72,$O$3:$O$72)</f>
        <v>TSX</v>
      </c>
      <c r="M54" s="294" t="s">
        <v>1186</v>
      </c>
      <c r="N54" s="294" t="s">
        <v>1187</v>
      </c>
      <c r="O54" s="294" t="s">
        <v>1224</v>
      </c>
    </row>
    <row r="55" spans="1:15">
      <c r="A55">
        <v>2025</v>
      </c>
      <c r="B55">
        <v>1</v>
      </c>
      <c r="C55" t="s">
        <v>1100</v>
      </c>
      <c r="D55" t="s">
        <v>1101</v>
      </c>
      <c r="E55" s="143">
        <v>8400</v>
      </c>
      <c r="F55" s="143">
        <v>0</v>
      </c>
      <c r="G55" s="143">
        <v>8000</v>
      </c>
      <c r="H55" s="143">
        <v>350</v>
      </c>
      <c r="I55" s="143">
        <v>50</v>
      </c>
      <c r="J55" s="143" t="str">
        <f>_xlfn.XLOOKUP(Table1[[#This Row],[Mã xuất]],$M$3:$M$72,$O$3:$O$72)</f>
        <v>TSX</v>
      </c>
      <c r="M55" s="294" t="s">
        <v>1188</v>
      </c>
      <c r="N55" s="294" t="s">
        <v>1189</v>
      </c>
      <c r="O55" s="294" t="s">
        <v>1223</v>
      </c>
    </row>
    <row r="56" spans="1:15">
      <c r="A56">
        <v>2025</v>
      </c>
      <c r="B56">
        <v>1</v>
      </c>
      <c r="C56" t="s">
        <v>1122</v>
      </c>
      <c r="D56" t="s">
        <v>1123</v>
      </c>
      <c r="E56" s="143">
        <v>5500</v>
      </c>
      <c r="F56" s="143">
        <v>5350.8474576271183</v>
      </c>
      <c r="G56" s="143">
        <v>0</v>
      </c>
      <c r="H56" s="143">
        <v>74.576271186440678</v>
      </c>
      <c r="I56" s="143">
        <v>74.576271186441048</v>
      </c>
      <c r="J56" s="143" t="str">
        <f>_xlfn.XLOOKUP(Table1[[#This Row],[Mã xuất]],$M$3:$M$72,$O$3:$O$72)</f>
        <v>TSX</v>
      </c>
      <c r="M56" s="294" t="s">
        <v>1190</v>
      </c>
      <c r="N56" s="294" t="s">
        <v>1191</v>
      </c>
      <c r="O56" s="294" t="s">
        <v>1223</v>
      </c>
    </row>
    <row r="57" spans="1:15">
      <c r="A57">
        <v>2025</v>
      </c>
      <c r="B57">
        <v>1</v>
      </c>
      <c r="C57" t="s">
        <v>1132</v>
      </c>
      <c r="D57" t="s">
        <v>1133</v>
      </c>
      <c r="E57" s="143">
        <v>4513</v>
      </c>
      <c r="F57" s="143">
        <v>4400</v>
      </c>
      <c r="G57" s="143">
        <v>0</v>
      </c>
      <c r="H57" s="143">
        <v>0</v>
      </c>
      <c r="I57" s="143">
        <v>113</v>
      </c>
      <c r="J57" s="143" t="str">
        <f>_xlfn.XLOOKUP(Table1[[#This Row],[Mã xuất]],$M$3:$M$72,$O$3:$O$72)</f>
        <v>MN</v>
      </c>
      <c r="M57" s="294" t="s">
        <v>1192</v>
      </c>
      <c r="N57" s="294" t="s">
        <v>1193</v>
      </c>
      <c r="O57" s="294" t="s">
        <v>1223</v>
      </c>
    </row>
    <row r="58" spans="1:15">
      <c r="A58">
        <v>2025</v>
      </c>
      <c r="B58">
        <v>1</v>
      </c>
      <c r="C58" t="s">
        <v>1134</v>
      </c>
      <c r="D58" t="s">
        <v>1135</v>
      </c>
      <c r="E58" s="143">
        <v>2400</v>
      </c>
      <c r="F58" s="143">
        <v>1354.2857142857142</v>
      </c>
      <c r="G58" s="143">
        <v>1045.7142857142858</v>
      </c>
      <c r="H58" s="143">
        <v>0</v>
      </c>
      <c r="I58" s="143">
        <v>0</v>
      </c>
      <c r="J58" s="143" t="str">
        <f>_xlfn.XLOOKUP(Table1[[#This Row],[Mã xuất]],$M$3:$M$72,$O$3:$O$72)</f>
        <v>TSX</v>
      </c>
      <c r="M58" s="294" t="s">
        <v>1194</v>
      </c>
      <c r="N58" s="294" t="s">
        <v>1195</v>
      </c>
      <c r="O58" s="294" t="s">
        <v>1223</v>
      </c>
    </row>
    <row r="59" spans="1:15">
      <c r="A59">
        <v>2025</v>
      </c>
      <c r="B59">
        <v>2</v>
      </c>
      <c r="C59" t="s">
        <v>1078</v>
      </c>
      <c r="D59" t="s">
        <v>1079</v>
      </c>
      <c r="E59" s="143">
        <v>615751</v>
      </c>
      <c r="F59" s="143">
        <v>248782.83604686373</v>
      </c>
      <c r="G59" s="143">
        <v>337322.66554864554</v>
      </c>
      <c r="H59" s="143">
        <v>26663.648850534555</v>
      </c>
      <c r="I59" s="143">
        <v>2981.8495539562064</v>
      </c>
      <c r="J59" s="143" t="str">
        <f>_xlfn.XLOOKUP(Table1[[#This Row],[Mã xuất]],$M$3:$M$72,$O$3:$O$72)</f>
        <v>MN</v>
      </c>
      <c r="M59" s="294" t="s">
        <v>1196</v>
      </c>
      <c r="N59" s="294" t="s">
        <v>1197</v>
      </c>
      <c r="O59" s="294" t="s">
        <v>1223</v>
      </c>
    </row>
    <row r="60" spans="1:15">
      <c r="A60">
        <v>2025</v>
      </c>
      <c r="B60">
        <v>2</v>
      </c>
      <c r="C60" t="s">
        <v>1088</v>
      </c>
      <c r="D60" t="s">
        <v>1089</v>
      </c>
      <c r="E60" s="143">
        <v>491999.99999999994</v>
      </c>
      <c r="F60" s="143">
        <v>139500</v>
      </c>
      <c r="G60" s="143">
        <v>325000</v>
      </c>
      <c r="H60" s="143">
        <v>25587.8</v>
      </c>
      <c r="I60" s="143">
        <v>1912.1999999999425</v>
      </c>
      <c r="J60" s="143" t="str">
        <f>_xlfn.XLOOKUP(Table1[[#This Row],[Mã xuất]],$M$3:$M$72,$O$3:$O$72)</f>
        <v>TSX</v>
      </c>
      <c r="M60" s="294" t="s">
        <v>1198</v>
      </c>
      <c r="N60" s="294" t="s">
        <v>1199</v>
      </c>
      <c r="O60" s="294" t="s">
        <v>1223</v>
      </c>
    </row>
    <row r="61" spans="1:15">
      <c r="A61">
        <v>2025</v>
      </c>
      <c r="B61">
        <v>2</v>
      </c>
      <c r="C61" t="s">
        <v>1136</v>
      </c>
      <c r="D61" t="s">
        <v>1137</v>
      </c>
      <c r="E61" s="143">
        <v>367499.99999999994</v>
      </c>
      <c r="F61" s="143">
        <v>279500</v>
      </c>
      <c r="G61" s="143">
        <v>64000</v>
      </c>
      <c r="H61" s="143">
        <v>23069</v>
      </c>
      <c r="I61" s="143">
        <v>930.99999999994179</v>
      </c>
      <c r="J61" s="143" t="str">
        <f>_xlfn.XLOOKUP(Table1[[#This Row],[Mã xuất]],$M$3:$M$72,$O$3:$O$72)</f>
        <v>TSX</v>
      </c>
      <c r="M61" s="294" t="s">
        <v>1200</v>
      </c>
      <c r="N61" s="294" t="s">
        <v>1201</v>
      </c>
      <c r="O61" s="294" t="s">
        <v>1223</v>
      </c>
    </row>
    <row r="62" spans="1:15">
      <c r="A62">
        <v>2025</v>
      </c>
      <c r="B62">
        <v>2</v>
      </c>
      <c r="C62" t="s">
        <v>1090</v>
      </c>
      <c r="D62" t="s">
        <v>1091</v>
      </c>
      <c r="E62" s="143">
        <v>286060</v>
      </c>
      <c r="F62" s="143">
        <v>268500</v>
      </c>
      <c r="G62" s="143">
        <v>0</v>
      </c>
      <c r="H62" s="143">
        <v>16191</v>
      </c>
      <c r="I62" s="143">
        <v>1369</v>
      </c>
      <c r="J62" s="143" t="str">
        <f>_xlfn.XLOOKUP(Table1[[#This Row],[Mã xuất]],$M$3:$M$72,$O$3:$O$72)</f>
        <v>MN</v>
      </c>
      <c r="M62" s="294" t="s">
        <v>1202</v>
      </c>
      <c r="N62" s="294" t="s">
        <v>1203</v>
      </c>
      <c r="O62" s="294" t="s">
        <v>1224</v>
      </c>
    </row>
    <row r="63" spans="1:15">
      <c r="A63">
        <v>2025</v>
      </c>
      <c r="B63">
        <v>2</v>
      </c>
      <c r="C63" t="s">
        <v>1108</v>
      </c>
      <c r="D63" t="s">
        <v>1109</v>
      </c>
      <c r="E63" s="143">
        <v>198000.00000000006</v>
      </c>
      <c r="F63" s="143">
        <v>122524.50743173176</v>
      </c>
      <c r="G63" s="143">
        <v>66078.067749740745</v>
      </c>
      <c r="H63" s="143">
        <v>8389.6042516418947</v>
      </c>
      <c r="I63" s="143">
        <v>1007.8205668856554</v>
      </c>
      <c r="J63" s="143" t="str">
        <f>_xlfn.XLOOKUP(Table1[[#This Row],[Mã xuất]],$M$3:$M$72,$O$3:$O$72)</f>
        <v>TSX</v>
      </c>
      <c r="M63" s="294" t="s">
        <v>1204</v>
      </c>
      <c r="N63" s="294" t="s">
        <v>1205</v>
      </c>
      <c r="O63" s="294" t="s">
        <v>1223</v>
      </c>
    </row>
    <row r="64" spans="1:15">
      <c r="A64">
        <v>2025</v>
      </c>
      <c r="B64">
        <v>2</v>
      </c>
      <c r="C64" t="s">
        <v>1086</v>
      </c>
      <c r="D64" t="s">
        <v>1087</v>
      </c>
      <c r="E64" s="143">
        <v>108844</v>
      </c>
      <c r="F64" s="143">
        <v>82500</v>
      </c>
      <c r="G64" s="143">
        <v>21500</v>
      </c>
      <c r="H64" s="143">
        <v>4450</v>
      </c>
      <c r="I64" s="143">
        <v>394</v>
      </c>
      <c r="J64" s="143" t="str">
        <f>_xlfn.XLOOKUP(Table1[[#This Row],[Mã xuất]],$M$3:$M$72,$O$3:$O$72)</f>
        <v>MN</v>
      </c>
      <c r="M64" s="294" t="s">
        <v>1206</v>
      </c>
      <c r="N64" s="294" t="s">
        <v>1207</v>
      </c>
      <c r="O64" s="294" t="s">
        <v>1223</v>
      </c>
    </row>
    <row r="65" spans="1:15">
      <c r="A65">
        <v>2025</v>
      </c>
      <c r="B65">
        <v>2</v>
      </c>
      <c r="C65" t="s">
        <v>1138</v>
      </c>
      <c r="D65" t="s">
        <v>1139</v>
      </c>
      <c r="E65" s="143">
        <v>105200</v>
      </c>
      <c r="F65" s="143">
        <v>76257.185974555905</v>
      </c>
      <c r="G65" s="143">
        <v>26199.261791615496</v>
      </c>
      <c r="H65" s="143">
        <v>2614.2318690006814</v>
      </c>
      <c r="I65" s="143">
        <v>129.32036482791773</v>
      </c>
      <c r="J65" s="143" t="str">
        <f>_xlfn.XLOOKUP(Table1[[#This Row],[Mã xuất]],$M$3:$M$72,$O$3:$O$72)</f>
        <v>TSX</v>
      </c>
      <c r="M65" s="294" t="s">
        <v>1208</v>
      </c>
      <c r="N65" s="294" t="s">
        <v>1209</v>
      </c>
      <c r="O65" s="294" t="s">
        <v>1223</v>
      </c>
    </row>
    <row r="66" spans="1:15">
      <c r="A66">
        <v>2025</v>
      </c>
      <c r="B66">
        <v>2</v>
      </c>
      <c r="C66" t="s">
        <v>1110</v>
      </c>
      <c r="D66" t="s">
        <v>1111</v>
      </c>
      <c r="E66" s="143">
        <v>100238</v>
      </c>
      <c r="F66" s="143">
        <v>19717.163953136282</v>
      </c>
      <c r="G66" s="143">
        <v>75177.334451354443</v>
      </c>
      <c r="H66" s="143">
        <v>4888.0511494654456</v>
      </c>
      <c r="I66" s="143">
        <v>455.45044604383656</v>
      </c>
      <c r="J66" s="143" t="str">
        <f>_xlfn.XLOOKUP(Table1[[#This Row],[Mã xuất]],$M$3:$M$72,$O$3:$O$72)</f>
        <v>MN</v>
      </c>
      <c r="M66" s="294" t="s">
        <v>1210</v>
      </c>
      <c r="N66" s="294" t="s">
        <v>1211</v>
      </c>
      <c r="O66" s="294" t="s">
        <v>1225</v>
      </c>
    </row>
    <row r="67" spans="1:15">
      <c r="A67">
        <v>2025</v>
      </c>
      <c r="B67">
        <v>2</v>
      </c>
      <c r="C67" t="s">
        <v>1140</v>
      </c>
      <c r="D67" t="s">
        <v>1141</v>
      </c>
      <c r="E67" s="143">
        <v>87000</v>
      </c>
      <c r="F67" s="143">
        <v>62389.409255309285</v>
      </c>
      <c r="G67" s="143">
        <v>22235.978443434626</v>
      </c>
      <c r="H67" s="143">
        <v>2257.2133090152192</v>
      </c>
      <c r="I67" s="143">
        <v>117.39899224087003</v>
      </c>
      <c r="J67" s="143" t="str">
        <f>_xlfn.XLOOKUP(Table1[[#This Row],[Mã xuất]],$M$3:$M$72,$O$3:$O$72)</f>
        <v>TSX</v>
      </c>
      <c r="M67" s="294" t="s">
        <v>1212</v>
      </c>
      <c r="N67" s="294" t="s">
        <v>1213</v>
      </c>
      <c r="O67" s="294" t="s">
        <v>1223</v>
      </c>
    </row>
    <row r="68" spans="1:15">
      <c r="A68">
        <v>2025</v>
      </c>
      <c r="B68">
        <v>2</v>
      </c>
      <c r="C68" t="s">
        <v>1080</v>
      </c>
      <c r="D68" t="s">
        <v>1081</v>
      </c>
      <c r="E68" s="143">
        <v>70500</v>
      </c>
      <c r="F68" s="143">
        <v>34593.167701863356</v>
      </c>
      <c r="G68" s="143">
        <v>30214.285714285714</v>
      </c>
      <c r="H68" s="143">
        <v>5359.7515527950309</v>
      </c>
      <c r="I68" s="143">
        <v>332.79503105589902</v>
      </c>
      <c r="J68" s="143" t="str">
        <f>_xlfn.XLOOKUP(Table1[[#This Row],[Mã xuất]],$M$3:$M$72,$O$3:$O$72)</f>
        <v>TSX</v>
      </c>
      <c r="M68" s="294" t="s">
        <v>1214</v>
      </c>
      <c r="N68" s="294" t="s">
        <v>1215</v>
      </c>
      <c r="O68" s="294" t="s">
        <v>1223</v>
      </c>
    </row>
    <row r="69" spans="1:15">
      <c r="A69">
        <v>2025</v>
      </c>
      <c r="B69">
        <v>2</v>
      </c>
      <c r="C69" t="s">
        <v>1100</v>
      </c>
      <c r="D69" t="s">
        <v>1101</v>
      </c>
      <c r="E69" s="143">
        <v>49200</v>
      </c>
      <c r="F69" s="143">
        <v>7000</v>
      </c>
      <c r="G69" s="143">
        <v>32000</v>
      </c>
      <c r="H69" s="143">
        <v>9800</v>
      </c>
      <c r="I69" s="143">
        <v>400</v>
      </c>
      <c r="J69" s="143" t="str">
        <f>_xlfn.XLOOKUP(Table1[[#This Row],[Mã xuất]],$M$3:$M$72,$O$3:$O$72)</f>
        <v>TSX</v>
      </c>
      <c r="M69" s="294" t="s">
        <v>1216</v>
      </c>
      <c r="N69" s="294" t="s">
        <v>1217</v>
      </c>
      <c r="O69" s="294" t="s">
        <v>1225</v>
      </c>
    </row>
    <row r="70" spans="1:15">
      <c r="A70">
        <v>2025</v>
      </c>
      <c r="B70">
        <v>2</v>
      </c>
      <c r="C70" t="s">
        <v>1142</v>
      </c>
      <c r="D70" t="s">
        <v>1143</v>
      </c>
      <c r="E70" s="143">
        <v>27000</v>
      </c>
      <c r="F70" s="143">
        <v>11955.719557195573</v>
      </c>
      <c r="G70" s="143">
        <v>14446.494464944648</v>
      </c>
      <c r="H70" s="143">
        <v>323.80073800738006</v>
      </c>
      <c r="I70" s="143">
        <v>273.98523985239939</v>
      </c>
      <c r="J70" s="143" t="str">
        <f>_xlfn.XLOOKUP(Table1[[#This Row],[Mã xuất]],$M$3:$M$72,$O$3:$O$72)</f>
        <v>MN</v>
      </c>
      <c r="M70" s="294" t="s">
        <v>1218</v>
      </c>
      <c r="N70" s="294" t="s">
        <v>1219</v>
      </c>
      <c r="O70" s="294" t="s">
        <v>1223</v>
      </c>
    </row>
    <row r="71" spans="1:15">
      <c r="A71">
        <v>2025</v>
      </c>
      <c r="B71">
        <v>2</v>
      </c>
      <c r="C71" t="s">
        <v>1098</v>
      </c>
      <c r="D71" t="s">
        <v>1099</v>
      </c>
      <c r="E71" s="143">
        <v>23200</v>
      </c>
      <c r="F71" s="143">
        <v>10273.062730627305</v>
      </c>
      <c r="G71" s="143">
        <v>12413.284132841329</v>
      </c>
      <c r="H71" s="143">
        <v>278.22878228782287</v>
      </c>
      <c r="I71" s="143">
        <v>235.42435424354295</v>
      </c>
      <c r="J71" s="143" t="str">
        <f>_xlfn.XLOOKUP(Table1[[#This Row],[Mã xuất]],$M$3:$M$72,$O$3:$O$72)</f>
        <v>MN</v>
      </c>
      <c r="M71" s="294" t="s">
        <v>1220</v>
      </c>
      <c r="N71" s="294" t="s">
        <v>1221</v>
      </c>
      <c r="O71" s="294" t="s">
        <v>1224</v>
      </c>
    </row>
    <row r="72" spans="1:15">
      <c r="A72">
        <v>2025</v>
      </c>
      <c r="B72">
        <v>2</v>
      </c>
      <c r="C72" t="s">
        <v>1128</v>
      </c>
      <c r="D72" t="s">
        <v>1129</v>
      </c>
      <c r="E72" s="143">
        <v>23000</v>
      </c>
      <c r="F72" s="143">
        <v>0</v>
      </c>
      <c r="G72" s="143">
        <v>18900</v>
      </c>
      <c r="H72" s="143">
        <v>3830</v>
      </c>
      <c r="I72" s="143">
        <v>270</v>
      </c>
      <c r="J72" s="143" t="str">
        <f>_xlfn.XLOOKUP(Table1[[#This Row],[Mã xuất]],$M$3:$M$72,$O$3:$O$72)</f>
        <v>Unknown</v>
      </c>
      <c r="M72" s="294" t="s">
        <v>530</v>
      </c>
      <c r="N72" s="294" t="s">
        <v>530</v>
      </c>
      <c r="O72" s="294" t="s">
        <v>530</v>
      </c>
    </row>
    <row r="73" spans="1:15">
      <c r="A73">
        <v>2025</v>
      </c>
      <c r="B73">
        <v>2</v>
      </c>
      <c r="C73" t="s">
        <v>1112</v>
      </c>
      <c r="D73" t="s">
        <v>1113</v>
      </c>
      <c r="E73" s="143">
        <v>20000</v>
      </c>
      <c r="F73" s="143">
        <v>14828.897338403041</v>
      </c>
      <c r="G73" s="143">
        <v>4486.6920152091252</v>
      </c>
      <c r="H73" s="143">
        <v>650.95057034220542</v>
      </c>
      <c r="I73" s="143">
        <v>33.460076045627943</v>
      </c>
      <c r="J73" s="143" t="str">
        <f>_xlfn.XLOOKUP(Table1[[#This Row],[Mã xuất]],$M$3:$M$72,$O$3:$O$72)</f>
        <v>TSX</v>
      </c>
    </row>
    <row r="74" spans="1:15">
      <c r="A74">
        <v>2025</v>
      </c>
      <c r="B74">
        <v>2</v>
      </c>
      <c r="C74" t="s">
        <v>1144</v>
      </c>
      <c r="D74" t="s">
        <v>1145</v>
      </c>
      <c r="E74" s="143">
        <v>17000</v>
      </c>
      <c r="F74" s="143">
        <v>0</v>
      </c>
      <c r="G74" s="143">
        <v>17000</v>
      </c>
      <c r="H74" s="143">
        <v>0</v>
      </c>
      <c r="I74" s="143">
        <v>0</v>
      </c>
      <c r="J74" s="143" t="str">
        <f>_xlfn.XLOOKUP(Table1[[#This Row],[Mã xuất]],$M$3:$M$72,$O$3:$O$72)</f>
        <v>TSX</v>
      </c>
    </row>
    <row r="75" spans="1:15">
      <c r="A75">
        <v>2025</v>
      </c>
      <c r="B75">
        <v>2</v>
      </c>
      <c r="C75" t="s">
        <v>1124</v>
      </c>
      <c r="D75" t="s">
        <v>1125</v>
      </c>
      <c r="E75" s="143">
        <v>15700</v>
      </c>
      <c r="F75" s="143">
        <v>8413.3971291866037</v>
      </c>
      <c r="G75" s="143">
        <v>1201.9138755980862</v>
      </c>
      <c r="H75" s="143">
        <v>5825.5263157894733</v>
      </c>
      <c r="I75" s="143">
        <v>259.16267942583727</v>
      </c>
      <c r="J75" s="143" t="str">
        <f>_xlfn.XLOOKUP(Table1[[#This Row],[Mã xuất]],$M$3:$M$72,$O$3:$O$72)</f>
        <v>TSX</v>
      </c>
    </row>
    <row r="76" spans="1:15">
      <c r="A76">
        <v>2025</v>
      </c>
      <c r="B76">
        <v>2</v>
      </c>
      <c r="C76" t="s">
        <v>1146</v>
      </c>
      <c r="D76" t="s">
        <v>1147</v>
      </c>
      <c r="E76" s="143">
        <v>11000</v>
      </c>
      <c r="F76" s="143">
        <v>8962.9629629629635</v>
      </c>
      <c r="G76" s="143">
        <v>1629.6296296296296</v>
      </c>
      <c r="H76" s="143">
        <v>399.25925925925924</v>
      </c>
      <c r="I76" s="143">
        <v>8.1481481481476976</v>
      </c>
      <c r="J76" s="143" t="str">
        <f>_xlfn.XLOOKUP(Table1[[#This Row],[Mã xuất]],$M$3:$M$72,$O$3:$O$72)</f>
        <v>TSX</v>
      </c>
    </row>
    <row r="77" spans="1:15">
      <c r="A77">
        <v>2025</v>
      </c>
      <c r="B77">
        <v>2</v>
      </c>
      <c r="C77" t="s">
        <v>1084</v>
      </c>
      <c r="D77" t="s">
        <v>1085</v>
      </c>
      <c r="E77" s="143">
        <v>10000</v>
      </c>
      <c r="F77" s="143">
        <v>4906.8322981366464</v>
      </c>
      <c r="G77" s="143">
        <v>4285.7142857142862</v>
      </c>
      <c r="H77" s="143">
        <v>760.24844720496901</v>
      </c>
      <c r="I77" s="143">
        <v>47.204968944098368</v>
      </c>
      <c r="J77" s="143" t="str">
        <f>_xlfn.XLOOKUP(Table1[[#This Row],[Mã xuất]],$M$3:$M$72,$O$3:$O$72)</f>
        <v>TSX</v>
      </c>
    </row>
    <row r="78" spans="1:15">
      <c r="A78">
        <v>2025</v>
      </c>
      <c r="B78">
        <v>2</v>
      </c>
      <c r="C78" t="s">
        <v>1148</v>
      </c>
      <c r="D78" t="s">
        <v>1149</v>
      </c>
      <c r="E78" s="143">
        <v>7506</v>
      </c>
      <c r="F78" s="143">
        <v>0</v>
      </c>
      <c r="G78" s="143">
        <v>7506</v>
      </c>
      <c r="H78" s="143">
        <v>0</v>
      </c>
      <c r="I78" s="143">
        <v>0</v>
      </c>
      <c r="J78" s="143" t="str">
        <f>_xlfn.XLOOKUP(Table1[[#This Row],[Mã xuất]],$M$3:$M$72,$O$3:$O$72)</f>
        <v>TSX</v>
      </c>
    </row>
    <row r="79" spans="1:15">
      <c r="A79">
        <v>2025</v>
      </c>
      <c r="B79">
        <v>2</v>
      </c>
      <c r="C79" t="s">
        <v>1150</v>
      </c>
      <c r="D79" t="s">
        <v>1151</v>
      </c>
      <c r="E79" s="143">
        <v>5200</v>
      </c>
      <c r="F79" s="143">
        <v>2786.6028708133972</v>
      </c>
      <c r="G79" s="143">
        <v>398.08612440191388</v>
      </c>
      <c r="H79" s="143">
        <v>1929.4736842105262</v>
      </c>
      <c r="I79" s="143">
        <v>85.837320574162732</v>
      </c>
      <c r="J79" s="143" t="str">
        <f>_xlfn.XLOOKUP(Table1[[#This Row],[Mã xuất]],$M$3:$M$72,$O$3:$O$72)</f>
        <v>TSX</v>
      </c>
    </row>
    <row r="80" spans="1:15">
      <c r="A80">
        <v>2025</v>
      </c>
      <c r="B80">
        <v>2</v>
      </c>
      <c r="C80" t="s">
        <v>1152</v>
      </c>
      <c r="D80" t="s">
        <v>1153</v>
      </c>
      <c r="E80" s="143">
        <v>2500</v>
      </c>
      <c r="F80" s="143">
        <v>2037.037037037037</v>
      </c>
      <c r="G80" s="143">
        <v>370.37037037037038</v>
      </c>
      <c r="H80" s="143">
        <v>90.740740740740748</v>
      </c>
      <c r="I80" s="143">
        <v>1.8518518518519187</v>
      </c>
      <c r="J80" s="143" t="str">
        <f>_xlfn.XLOOKUP(Table1[[#This Row],[Mã xuất]],$M$3:$M$72,$O$3:$O$72)</f>
        <v>TSX</v>
      </c>
    </row>
    <row r="81" spans="1:10">
      <c r="A81">
        <v>2025</v>
      </c>
      <c r="B81">
        <v>2</v>
      </c>
      <c r="C81" t="s">
        <v>1154</v>
      </c>
      <c r="D81" t="s">
        <v>1155</v>
      </c>
      <c r="E81" s="143">
        <v>2000</v>
      </c>
      <c r="F81" s="143">
        <v>885.60885608856086</v>
      </c>
      <c r="G81" s="143">
        <v>1070.1107011070112</v>
      </c>
      <c r="H81" s="143">
        <v>23.985239852398525</v>
      </c>
      <c r="I81" s="143">
        <v>20.295202952029296</v>
      </c>
      <c r="J81" s="143" t="str">
        <f>_xlfn.XLOOKUP(Table1[[#This Row],[Mã xuất]],$M$3:$M$72,$O$3:$O$72)</f>
        <v>Unknown</v>
      </c>
    </row>
    <row r="82" spans="1:10">
      <c r="A82">
        <v>2025</v>
      </c>
      <c r="B82">
        <v>2</v>
      </c>
      <c r="C82" t="s">
        <v>1156</v>
      </c>
      <c r="D82" t="s">
        <v>1157</v>
      </c>
      <c r="E82" s="143">
        <v>2000</v>
      </c>
      <c r="F82" s="143">
        <v>885.60885608856086</v>
      </c>
      <c r="G82" s="143">
        <v>1070.1107011070112</v>
      </c>
      <c r="H82" s="143">
        <v>23.985239852398525</v>
      </c>
      <c r="I82" s="143">
        <v>20.295202952029296</v>
      </c>
      <c r="J82" s="143" t="str">
        <f>_xlfn.XLOOKUP(Table1[[#This Row],[Mã xuất]],$M$3:$M$72,$O$3:$O$72)</f>
        <v>MN</v>
      </c>
    </row>
    <row r="83" spans="1:10">
      <c r="A83">
        <v>2025</v>
      </c>
      <c r="B83">
        <v>2</v>
      </c>
      <c r="C83" t="s">
        <v>1158</v>
      </c>
      <c r="D83" t="s">
        <v>1159</v>
      </c>
      <c r="E83" s="143">
        <v>1494</v>
      </c>
      <c r="F83" s="143">
        <v>0</v>
      </c>
      <c r="G83" s="143">
        <v>1494</v>
      </c>
      <c r="H83" s="143">
        <v>0</v>
      </c>
      <c r="I83" s="143">
        <v>0</v>
      </c>
      <c r="J83" s="143" t="str">
        <f>_xlfn.XLOOKUP(Table1[[#This Row],[Mã xuất]],$M$3:$M$72,$O$3:$O$72)</f>
        <v>TSX</v>
      </c>
    </row>
    <row r="84" spans="1:10">
      <c r="A84">
        <v>2025</v>
      </c>
      <c r="B84">
        <v>2</v>
      </c>
      <c r="C84" t="s">
        <v>1116</v>
      </c>
      <c r="D84" t="s">
        <v>1117</v>
      </c>
      <c r="E84" s="143">
        <v>500</v>
      </c>
      <c r="F84" s="143">
        <v>0</v>
      </c>
      <c r="G84" s="143">
        <v>500</v>
      </c>
      <c r="H84" s="143">
        <v>0</v>
      </c>
      <c r="I84" s="143">
        <v>0</v>
      </c>
      <c r="J84" s="143" t="str">
        <f>_xlfn.XLOOKUP(Table1[[#This Row],[Mã xuất]],$M$3:$M$72,$O$3:$O$72)</f>
        <v>TSX</v>
      </c>
    </row>
    <row r="85" spans="1:10">
      <c r="A85">
        <v>2025</v>
      </c>
      <c r="B85">
        <v>3</v>
      </c>
      <c r="C85" t="s">
        <v>1078</v>
      </c>
      <c r="D85" t="s">
        <v>1079</v>
      </c>
      <c r="E85" s="143">
        <v>1499112.0000000005</v>
      </c>
      <c r="F85" s="143">
        <v>506000</v>
      </c>
      <c r="G85" s="143">
        <v>912500</v>
      </c>
      <c r="H85" s="143">
        <v>75806.899999999994</v>
      </c>
      <c r="I85" s="143">
        <v>4805.1000000004715</v>
      </c>
      <c r="J85" s="143" t="str">
        <f>_xlfn.XLOOKUP(Table1[[#This Row],[Mã xuất]],$M$3:$M$72,$O$3:$O$72)</f>
        <v>MN</v>
      </c>
    </row>
    <row r="86" spans="1:10">
      <c r="A86">
        <v>2025</v>
      </c>
      <c r="B86">
        <v>3</v>
      </c>
      <c r="C86" t="s">
        <v>1088</v>
      </c>
      <c r="D86" t="s">
        <v>1089</v>
      </c>
      <c r="E86" s="143">
        <v>243000</v>
      </c>
      <c r="F86" s="143">
        <v>65000</v>
      </c>
      <c r="G86" s="143">
        <v>169000</v>
      </c>
      <c r="H86" s="143">
        <v>8410</v>
      </c>
      <c r="I86" s="143">
        <v>590</v>
      </c>
      <c r="J86" s="143" t="str">
        <f>_xlfn.XLOOKUP(Table1[[#This Row],[Mã xuất]],$M$3:$M$72,$O$3:$O$72)</f>
        <v>TSX</v>
      </c>
    </row>
    <row r="87" spans="1:10">
      <c r="A87">
        <v>2025</v>
      </c>
      <c r="B87">
        <v>3</v>
      </c>
      <c r="C87" t="s">
        <v>1080</v>
      </c>
      <c r="D87" t="s">
        <v>1081</v>
      </c>
      <c r="E87" s="143">
        <v>150584.77000000002</v>
      </c>
      <c r="F87" s="143">
        <v>85191.829361301847</v>
      </c>
      <c r="G87" s="143">
        <v>55589.898937546553</v>
      </c>
      <c r="H87" s="143">
        <v>9241.9612339920259</v>
      </c>
      <c r="I87" s="143">
        <v>561.08046715959244</v>
      </c>
      <c r="J87" s="143" t="str">
        <f>_xlfn.XLOOKUP(Table1[[#This Row],[Mã xuất]],$M$3:$M$72,$O$3:$O$72)</f>
        <v>TSX</v>
      </c>
    </row>
    <row r="88" spans="1:10">
      <c r="A88">
        <v>2025</v>
      </c>
      <c r="B88">
        <v>3</v>
      </c>
      <c r="C88" t="s">
        <v>1136</v>
      </c>
      <c r="D88" t="s">
        <v>1137</v>
      </c>
      <c r="E88" s="143">
        <v>129000</v>
      </c>
      <c r="F88" s="143">
        <v>74500</v>
      </c>
      <c r="G88" s="143">
        <v>47500</v>
      </c>
      <c r="H88" s="143">
        <v>6435</v>
      </c>
      <c r="I88" s="143">
        <v>565</v>
      </c>
      <c r="J88" s="143" t="str">
        <f>_xlfn.XLOOKUP(Table1[[#This Row],[Mã xuất]],$M$3:$M$72,$O$3:$O$72)</f>
        <v>TSX</v>
      </c>
    </row>
    <row r="89" spans="1:10">
      <c r="A89">
        <v>2025</v>
      </c>
      <c r="B89">
        <v>3</v>
      </c>
      <c r="C89" t="s">
        <v>1094</v>
      </c>
      <c r="D89" t="s">
        <v>1095</v>
      </c>
      <c r="E89" s="143">
        <v>67500.000000000015</v>
      </c>
      <c r="F89" s="143">
        <v>64100</v>
      </c>
      <c r="G89" s="143">
        <v>700</v>
      </c>
      <c r="H89" s="143">
        <v>2450</v>
      </c>
      <c r="I89" s="143">
        <v>250.00000000001455</v>
      </c>
      <c r="J89" s="143" t="str">
        <f>_xlfn.XLOOKUP(Table1[[#This Row],[Mã xuất]],$M$3:$M$72,$O$3:$O$72)</f>
        <v>TSX</v>
      </c>
    </row>
    <row r="90" spans="1:10">
      <c r="A90">
        <v>2025</v>
      </c>
      <c r="B90">
        <v>3</v>
      </c>
      <c r="C90" t="s">
        <v>1086</v>
      </c>
      <c r="D90" t="s">
        <v>1087</v>
      </c>
      <c r="E90" s="143">
        <v>57278</v>
      </c>
      <c r="F90" s="143">
        <v>14500</v>
      </c>
      <c r="G90" s="143">
        <v>40500</v>
      </c>
      <c r="H90" s="143">
        <v>1700</v>
      </c>
      <c r="I90" s="143">
        <v>578</v>
      </c>
      <c r="J90" s="143" t="str">
        <f>_xlfn.XLOOKUP(Table1[[#This Row],[Mã xuất]],$M$3:$M$72,$O$3:$O$72)</f>
        <v>MN</v>
      </c>
    </row>
    <row r="91" spans="1:10">
      <c r="A91">
        <v>2025</v>
      </c>
      <c r="B91">
        <v>3</v>
      </c>
      <c r="C91" t="s">
        <v>1090</v>
      </c>
      <c r="D91" t="s">
        <v>1091</v>
      </c>
      <c r="E91" s="143">
        <v>29287</v>
      </c>
      <c r="F91" s="143">
        <v>22500</v>
      </c>
      <c r="G91" s="143">
        <v>2000</v>
      </c>
      <c r="H91" s="143">
        <v>4676</v>
      </c>
      <c r="I91" s="143">
        <v>111</v>
      </c>
      <c r="J91" s="143" t="str">
        <f>_xlfn.XLOOKUP(Table1[[#This Row],[Mã xuất]],$M$3:$M$72,$O$3:$O$72)</f>
        <v>MN</v>
      </c>
    </row>
    <row r="92" spans="1:10">
      <c r="A92">
        <v>2025</v>
      </c>
      <c r="B92">
        <v>3</v>
      </c>
      <c r="C92" t="s">
        <v>1084</v>
      </c>
      <c r="D92" t="s">
        <v>1085</v>
      </c>
      <c r="E92" s="143">
        <v>26000.000000000004</v>
      </c>
      <c r="F92" s="143">
        <v>16308.17063869816</v>
      </c>
      <c r="G92" s="143">
        <v>7410.1010624534483</v>
      </c>
      <c r="H92" s="143">
        <v>2105.0387660079737</v>
      </c>
      <c r="I92" s="143">
        <v>176.68953284042118</v>
      </c>
      <c r="J92" s="143" t="str">
        <f>_xlfn.XLOOKUP(Table1[[#This Row],[Mã xuất]],$M$3:$M$72,$O$3:$O$72)</f>
        <v>TSX</v>
      </c>
    </row>
    <row r="93" spans="1:10">
      <c r="A93">
        <v>2025</v>
      </c>
      <c r="B93">
        <v>3</v>
      </c>
      <c r="C93" t="s">
        <v>1160</v>
      </c>
      <c r="D93" t="s">
        <v>1161</v>
      </c>
      <c r="E93" s="143">
        <v>18000</v>
      </c>
      <c r="F93" s="143">
        <v>0</v>
      </c>
      <c r="G93" s="143">
        <v>17500</v>
      </c>
      <c r="H93" s="143">
        <v>400</v>
      </c>
      <c r="I93" s="143">
        <v>100</v>
      </c>
      <c r="J93" s="143" t="str">
        <f>_xlfn.XLOOKUP(Table1[[#This Row],[Mã xuất]],$M$3:$M$72,$O$3:$O$72)</f>
        <v>TSX</v>
      </c>
    </row>
    <row r="94" spans="1:10">
      <c r="A94">
        <v>2025</v>
      </c>
      <c r="B94">
        <v>3</v>
      </c>
      <c r="C94" t="s">
        <v>1162</v>
      </c>
      <c r="D94" t="s">
        <v>1163</v>
      </c>
      <c r="E94" s="143">
        <v>17000</v>
      </c>
      <c r="F94" s="143">
        <v>12142.857142857143</v>
      </c>
      <c r="G94" s="143">
        <v>3238.0952380952381</v>
      </c>
      <c r="H94" s="143">
        <v>1578.5714285714284</v>
      </c>
      <c r="I94" s="143">
        <v>40.476190476190368</v>
      </c>
      <c r="J94" s="143" t="str">
        <f>_xlfn.XLOOKUP(Table1[[#This Row],[Mã xuất]],$M$3:$M$72,$O$3:$O$72)</f>
        <v>MN</v>
      </c>
    </row>
    <row r="95" spans="1:10">
      <c r="A95">
        <v>2025</v>
      </c>
      <c r="B95">
        <v>3</v>
      </c>
      <c r="C95" t="s">
        <v>1110</v>
      </c>
      <c r="D95" t="s">
        <v>1111</v>
      </c>
      <c r="E95" s="143">
        <v>13986</v>
      </c>
      <c r="F95" s="143">
        <v>3500</v>
      </c>
      <c r="G95" s="143">
        <v>9500</v>
      </c>
      <c r="H95" s="143">
        <v>900</v>
      </c>
      <c r="I95" s="143">
        <v>86</v>
      </c>
      <c r="J95" s="143" t="str">
        <f>_xlfn.XLOOKUP(Table1[[#This Row],[Mã xuất]],$M$3:$M$72,$O$3:$O$72)</f>
        <v>MN</v>
      </c>
    </row>
    <row r="96" spans="1:10">
      <c r="A96">
        <v>2025</v>
      </c>
      <c r="B96">
        <v>3</v>
      </c>
      <c r="C96" t="s">
        <v>1098</v>
      </c>
      <c r="D96" t="s">
        <v>1099</v>
      </c>
      <c r="E96" s="143">
        <v>4000.0000000000005</v>
      </c>
      <c r="F96" s="143">
        <v>2857.1428571428573</v>
      </c>
      <c r="G96" s="143">
        <v>761.90476190476193</v>
      </c>
      <c r="H96" s="143">
        <v>371.42857142857144</v>
      </c>
      <c r="I96" s="143">
        <v>9.5238095238097458</v>
      </c>
      <c r="J96" s="143" t="str">
        <f>_xlfn.XLOOKUP(Table1[[#This Row],[Mã xuất]],$M$3:$M$72,$O$3:$O$72)</f>
        <v>MN</v>
      </c>
    </row>
    <row r="97" spans="1:10">
      <c r="A97">
        <v>2025</v>
      </c>
      <c r="B97">
        <v>4</v>
      </c>
      <c r="C97" t="s">
        <v>1078</v>
      </c>
      <c r="D97" t="s">
        <v>1079</v>
      </c>
      <c r="E97" s="143">
        <v>3315668</v>
      </c>
      <c r="F97" s="143">
        <v>1053500</v>
      </c>
      <c r="G97" s="143">
        <v>2130000</v>
      </c>
      <c r="H97" s="143">
        <v>101872</v>
      </c>
      <c r="I97" s="143">
        <v>30296</v>
      </c>
      <c r="J97" s="143" t="str">
        <f>_xlfn.XLOOKUP(Table1[[#This Row],[Mã xuất]],$M$3:$M$72,$O$3:$O$72)</f>
        <v>MN</v>
      </c>
    </row>
    <row r="98" spans="1:10">
      <c r="A98">
        <v>2025</v>
      </c>
      <c r="B98">
        <v>4</v>
      </c>
      <c r="C98" t="s">
        <v>1090</v>
      </c>
      <c r="D98" t="s">
        <v>1091</v>
      </c>
      <c r="E98" s="143">
        <v>311591.99999999994</v>
      </c>
      <c r="F98" s="143">
        <v>218000</v>
      </c>
      <c r="G98" s="143">
        <v>38500</v>
      </c>
      <c r="H98" s="143">
        <v>47361</v>
      </c>
      <c r="I98" s="143">
        <v>7730.9999999999418</v>
      </c>
      <c r="J98" s="143" t="str">
        <f>_xlfn.XLOOKUP(Table1[[#This Row],[Mã xuất]],$M$3:$M$72,$O$3:$O$72)</f>
        <v>MN</v>
      </c>
    </row>
    <row r="99" spans="1:10">
      <c r="A99">
        <v>2025</v>
      </c>
      <c r="B99">
        <v>4</v>
      </c>
      <c r="C99" t="s">
        <v>1080</v>
      </c>
      <c r="D99" t="s">
        <v>1081</v>
      </c>
      <c r="E99" s="143">
        <v>302199.99999999994</v>
      </c>
      <c r="F99" s="143">
        <v>178924.64301348216</v>
      </c>
      <c r="G99" s="143">
        <v>107087.49355947248</v>
      </c>
      <c r="H99" s="143">
        <v>11705.165304063226</v>
      </c>
      <c r="I99" s="143">
        <v>4482.6981229820776</v>
      </c>
      <c r="J99" s="143" t="str">
        <f>_xlfn.XLOOKUP(Table1[[#This Row],[Mã xuất]],$M$3:$M$72,$O$3:$O$72)</f>
        <v>TSX</v>
      </c>
    </row>
    <row r="100" spans="1:10">
      <c r="A100">
        <v>2025</v>
      </c>
      <c r="B100">
        <v>4</v>
      </c>
      <c r="C100" t="s">
        <v>1088</v>
      </c>
      <c r="D100" t="s">
        <v>1089</v>
      </c>
      <c r="E100" s="143">
        <v>182000</v>
      </c>
      <c r="F100" s="143">
        <v>81500</v>
      </c>
      <c r="G100" s="143">
        <v>90000</v>
      </c>
      <c r="H100" s="143">
        <v>9953</v>
      </c>
      <c r="I100" s="143">
        <v>547</v>
      </c>
      <c r="J100" s="143" t="str">
        <f>_xlfn.XLOOKUP(Table1[[#This Row],[Mã xuất]],$M$3:$M$72,$O$3:$O$72)</f>
        <v>TSX</v>
      </c>
    </row>
    <row r="101" spans="1:10">
      <c r="A101">
        <v>2025</v>
      </c>
      <c r="B101">
        <v>4</v>
      </c>
      <c r="C101" t="s">
        <v>1086</v>
      </c>
      <c r="D101" t="s">
        <v>1087</v>
      </c>
      <c r="E101" s="143">
        <v>111394.32799999999</v>
      </c>
      <c r="F101" s="143">
        <v>48500</v>
      </c>
      <c r="G101" s="143">
        <v>54500</v>
      </c>
      <c r="H101" s="143">
        <v>5738</v>
      </c>
      <c r="I101" s="143">
        <v>2656.3279999999941</v>
      </c>
      <c r="J101" s="143" t="str">
        <f>_xlfn.XLOOKUP(Table1[[#This Row],[Mã xuất]],$M$3:$M$72,$O$3:$O$72)</f>
        <v>MN</v>
      </c>
    </row>
    <row r="102" spans="1:10">
      <c r="A102">
        <v>2025</v>
      </c>
      <c r="B102">
        <v>4</v>
      </c>
      <c r="C102" t="s">
        <v>1100</v>
      </c>
      <c r="D102" t="s">
        <v>1101</v>
      </c>
      <c r="E102" s="143">
        <v>107300</v>
      </c>
      <c r="F102" s="143">
        <v>10934.065934065933</v>
      </c>
      <c r="G102" s="143">
        <v>90423.076923076922</v>
      </c>
      <c r="H102" s="143">
        <v>4429.802197802198</v>
      </c>
      <c r="I102" s="143">
        <v>1513.054945054947</v>
      </c>
      <c r="J102" s="143" t="str">
        <f>_xlfn.XLOOKUP(Table1[[#This Row],[Mã xuất]],$M$3:$M$72,$O$3:$O$72)</f>
        <v>TSX</v>
      </c>
    </row>
    <row r="103" spans="1:10">
      <c r="A103">
        <v>2025</v>
      </c>
      <c r="B103">
        <v>4</v>
      </c>
      <c r="C103" t="s">
        <v>1092</v>
      </c>
      <c r="D103" t="s">
        <v>1093</v>
      </c>
      <c r="E103" s="143">
        <v>105787</v>
      </c>
      <c r="F103" s="143">
        <v>20500</v>
      </c>
      <c r="G103" s="143">
        <v>79500</v>
      </c>
      <c r="H103" s="143">
        <v>3990</v>
      </c>
      <c r="I103" s="143">
        <v>1797</v>
      </c>
      <c r="J103" s="143" t="str">
        <f>_xlfn.XLOOKUP(Table1[[#This Row],[Mã xuất]],$M$3:$M$72,$O$3:$O$72)</f>
        <v>MN</v>
      </c>
    </row>
    <row r="104" spans="1:10">
      <c r="A104">
        <v>2025</v>
      </c>
      <c r="B104">
        <v>4</v>
      </c>
      <c r="C104" t="s">
        <v>1084</v>
      </c>
      <c r="D104" t="s">
        <v>1085</v>
      </c>
      <c r="E104" s="143">
        <v>88099.999999999985</v>
      </c>
      <c r="F104" s="143">
        <v>57075.356986517821</v>
      </c>
      <c r="G104" s="143">
        <v>25112.506440527526</v>
      </c>
      <c r="H104" s="143">
        <v>4033.8346959367732</v>
      </c>
      <c r="I104" s="143">
        <v>1878.3018770178646</v>
      </c>
      <c r="J104" s="143" t="str">
        <f>_xlfn.XLOOKUP(Table1[[#This Row],[Mã xuất]],$M$3:$M$72,$O$3:$O$72)</f>
        <v>TSX</v>
      </c>
    </row>
    <row r="105" spans="1:10">
      <c r="A105">
        <v>2025</v>
      </c>
      <c r="B105">
        <v>4</v>
      </c>
      <c r="C105" t="s">
        <v>1110</v>
      </c>
      <c r="D105" t="s">
        <v>1111</v>
      </c>
      <c r="E105" s="143">
        <v>56033.999999999993</v>
      </c>
      <c r="F105" s="143">
        <v>22000</v>
      </c>
      <c r="G105" s="143">
        <v>32500</v>
      </c>
      <c r="H105" s="143">
        <v>1116</v>
      </c>
      <c r="I105" s="143">
        <v>417.99999999999272</v>
      </c>
      <c r="J105" s="143" t="str">
        <f>_xlfn.XLOOKUP(Table1[[#This Row],[Mã xuất]],$M$3:$M$72,$O$3:$O$72)</f>
        <v>MN</v>
      </c>
    </row>
    <row r="106" spans="1:10">
      <c r="A106">
        <v>2025</v>
      </c>
      <c r="B106">
        <v>4</v>
      </c>
      <c r="C106" t="s">
        <v>1124</v>
      </c>
      <c r="D106" t="s">
        <v>1125</v>
      </c>
      <c r="E106" s="143">
        <v>55600</v>
      </c>
      <c r="F106" s="143">
        <v>28000</v>
      </c>
      <c r="G106" s="143">
        <v>26800</v>
      </c>
      <c r="H106" s="143">
        <v>150</v>
      </c>
      <c r="I106" s="143">
        <v>650</v>
      </c>
      <c r="J106" s="143" t="str">
        <f>_xlfn.XLOOKUP(Table1[[#This Row],[Mã xuất]],$M$3:$M$72,$O$3:$O$72)</f>
        <v>TSX</v>
      </c>
    </row>
    <row r="107" spans="1:10">
      <c r="A107">
        <v>2025</v>
      </c>
      <c r="B107">
        <v>4</v>
      </c>
      <c r="C107" t="s">
        <v>1094</v>
      </c>
      <c r="D107" t="s">
        <v>1095</v>
      </c>
      <c r="E107" s="143">
        <v>37432</v>
      </c>
      <c r="F107" s="143">
        <v>28000</v>
      </c>
      <c r="G107" s="143">
        <v>8400</v>
      </c>
      <c r="H107" s="143">
        <v>828</v>
      </c>
      <c r="I107" s="143">
        <v>204</v>
      </c>
      <c r="J107" s="143" t="str">
        <f>_xlfn.XLOOKUP(Table1[[#This Row],[Mã xuất]],$M$3:$M$72,$O$3:$O$72)</f>
        <v>TSX</v>
      </c>
    </row>
    <row r="108" spans="1:10">
      <c r="A108">
        <v>2025</v>
      </c>
      <c r="B108">
        <v>4</v>
      </c>
      <c r="C108" t="s">
        <v>1144</v>
      </c>
      <c r="D108" t="s">
        <v>1145</v>
      </c>
      <c r="E108" s="143">
        <v>30050</v>
      </c>
      <c r="F108" s="143">
        <v>2500</v>
      </c>
      <c r="G108" s="143">
        <v>27000</v>
      </c>
      <c r="H108" s="143">
        <v>350</v>
      </c>
      <c r="I108" s="143">
        <v>200</v>
      </c>
      <c r="J108" s="143" t="str">
        <f>_xlfn.XLOOKUP(Table1[[#This Row],[Mã xuất]],$M$3:$M$72,$O$3:$O$72)</f>
        <v>TSX</v>
      </c>
    </row>
    <row r="109" spans="1:10">
      <c r="A109">
        <v>2025</v>
      </c>
      <c r="B109">
        <v>4</v>
      </c>
      <c r="C109" t="s">
        <v>1136</v>
      </c>
      <c r="D109" t="s">
        <v>1137</v>
      </c>
      <c r="E109" s="143">
        <v>21500</v>
      </c>
      <c r="F109" s="143">
        <v>7329.545454545455</v>
      </c>
      <c r="G109" s="143">
        <v>13681.818181818182</v>
      </c>
      <c r="H109" s="143">
        <v>48.863636363636367</v>
      </c>
      <c r="I109" s="143">
        <v>439.77272727272577</v>
      </c>
      <c r="J109" s="143" t="str">
        <f>_xlfn.XLOOKUP(Table1[[#This Row],[Mã xuất]],$M$3:$M$72,$O$3:$O$72)</f>
        <v>TSX</v>
      </c>
    </row>
    <row r="110" spans="1:10">
      <c r="A110">
        <v>2025</v>
      </c>
      <c r="B110">
        <v>4</v>
      </c>
      <c r="C110" t="s">
        <v>1164</v>
      </c>
      <c r="D110" t="s">
        <v>1165</v>
      </c>
      <c r="E110" s="143">
        <v>15000</v>
      </c>
      <c r="F110" s="143">
        <v>2000</v>
      </c>
      <c r="G110" s="143">
        <v>13000</v>
      </c>
      <c r="H110" s="143">
        <v>0</v>
      </c>
      <c r="I110" s="143">
        <v>0</v>
      </c>
      <c r="J110" s="143" t="str">
        <f>_xlfn.XLOOKUP(Table1[[#This Row],[Mã xuất]],$M$3:$M$72,$O$3:$O$72)</f>
        <v>TSX</v>
      </c>
    </row>
    <row r="111" spans="1:10">
      <c r="A111">
        <v>2025</v>
      </c>
      <c r="B111">
        <v>4</v>
      </c>
      <c r="C111" t="s">
        <v>1138</v>
      </c>
      <c r="D111" t="s">
        <v>1139</v>
      </c>
      <c r="E111" s="143">
        <v>10000</v>
      </c>
      <c r="F111" s="143">
        <v>8571.4285714285706</v>
      </c>
      <c r="G111" s="143">
        <v>952.38095238095241</v>
      </c>
      <c r="H111" s="143">
        <v>452.38095238095241</v>
      </c>
      <c r="I111" s="143">
        <v>23.809523809524535</v>
      </c>
      <c r="J111" s="143" t="str">
        <f>_xlfn.XLOOKUP(Table1[[#This Row],[Mã xuất]],$M$3:$M$72,$O$3:$O$72)</f>
        <v>TSX</v>
      </c>
    </row>
    <row r="112" spans="1:10">
      <c r="A112">
        <v>2025</v>
      </c>
      <c r="B112">
        <v>4</v>
      </c>
      <c r="C112" t="s">
        <v>1166</v>
      </c>
      <c r="D112" t="s">
        <v>1167</v>
      </c>
      <c r="E112" s="143">
        <v>8000</v>
      </c>
      <c r="F112" s="143">
        <v>4500</v>
      </c>
      <c r="G112" s="143">
        <v>2500</v>
      </c>
      <c r="H112" s="143">
        <v>900</v>
      </c>
      <c r="I112" s="143">
        <v>100</v>
      </c>
      <c r="J112" s="143" t="str">
        <f>_xlfn.XLOOKUP(Table1[[#This Row],[Mã xuất]],$M$3:$M$72,$O$3:$O$72)</f>
        <v>TSX</v>
      </c>
    </row>
    <row r="113" spans="1:10">
      <c r="A113">
        <v>2025</v>
      </c>
      <c r="B113">
        <v>4</v>
      </c>
      <c r="C113" t="s">
        <v>1112</v>
      </c>
      <c r="D113" t="s">
        <v>1113</v>
      </c>
      <c r="E113" s="143">
        <v>6999.9999999999991</v>
      </c>
      <c r="F113" s="143">
        <v>6000</v>
      </c>
      <c r="G113" s="143">
        <v>666.66666666666663</v>
      </c>
      <c r="H113" s="143">
        <v>316.66666666666663</v>
      </c>
      <c r="I113" s="143">
        <v>16.666666666665833</v>
      </c>
      <c r="J113" s="143" t="str">
        <f>_xlfn.XLOOKUP(Table1[[#This Row],[Mã xuất]],$M$3:$M$72,$O$3:$O$72)</f>
        <v>TSX</v>
      </c>
    </row>
    <row r="114" spans="1:10">
      <c r="A114">
        <v>2025</v>
      </c>
      <c r="B114">
        <v>4</v>
      </c>
      <c r="C114" t="s">
        <v>1146</v>
      </c>
      <c r="D114" t="s">
        <v>1147</v>
      </c>
      <c r="E114" s="143">
        <v>6000</v>
      </c>
      <c r="F114" s="143">
        <v>3000</v>
      </c>
      <c r="G114" s="143">
        <v>3000</v>
      </c>
      <c r="H114" s="143">
        <v>0</v>
      </c>
      <c r="I114" s="143">
        <v>0</v>
      </c>
      <c r="J114" s="143" t="str">
        <f>_xlfn.XLOOKUP(Table1[[#This Row],[Mã xuất]],$M$3:$M$72,$O$3:$O$72)</f>
        <v>TSX</v>
      </c>
    </row>
    <row r="115" spans="1:10">
      <c r="A115">
        <v>2025</v>
      </c>
      <c r="B115">
        <v>4</v>
      </c>
      <c r="C115" t="s">
        <v>1108</v>
      </c>
      <c r="D115" t="s">
        <v>1109</v>
      </c>
      <c r="E115" s="143">
        <v>4000.0000000000005</v>
      </c>
      <c r="F115" s="143">
        <v>3428.5714285714284</v>
      </c>
      <c r="G115" s="143">
        <v>380.95238095238096</v>
      </c>
      <c r="H115" s="143">
        <v>180.95238095238096</v>
      </c>
      <c r="I115" s="143">
        <v>9.5238095238100868</v>
      </c>
      <c r="J115" s="143" t="str">
        <f>_xlfn.XLOOKUP(Table1[[#This Row],[Mã xuất]],$M$3:$M$72,$O$3:$O$72)</f>
        <v>TSX</v>
      </c>
    </row>
    <row r="116" spans="1:10">
      <c r="A116">
        <v>2025</v>
      </c>
      <c r="B116">
        <v>4</v>
      </c>
      <c r="C116" t="s">
        <v>1168</v>
      </c>
      <c r="D116" t="s">
        <v>1169</v>
      </c>
      <c r="E116" s="143">
        <v>3500</v>
      </c>
      <c r="F116" s="143">
        <v>2670.4545454545455</v>
      </c>
      <c r="G116" s="143">
        <v>818.18181818181824</v>
      </c>
      <c r="H116" s="143">
        <v>1.1363636363636365</v>
      </c>
      <c r="I116" s="143">
        <v>10.227272727272624</v>
      </c>
      <c r="J116" s="143" t="str">
        <f>_xlfn.XLOOKUP(Table1[[#This Row],[Mã xuất]],$M$3:$M$72,$O$3:$O$72)</f>
        <v>TSX</v>
      </c>
    </row>
    <row r="117" spans="1:10">
      <c r="A117">
        <v>2025</v>
      </c>
      <c r="B117">
        <v>4</v>
      </c>
      <c r="C117" t="s">
        <v>1082</v>
      </c>
      <c r="D117" t="s">
        <v>1083</v>
      </c>
      <c r="E117" s="143">
        <v>1200</v>
      </c>
      <c r="F117" s="143">
        <v>65.934065934065927</v>
      </c>
      <c r="G117" s="143">
        <v>1076.9230769230769</v>
      </c>
      <c r="H117" s="143">
        <v>38.197802197802204</v>
      </c>
      <c r="I117" s="143">
        <v>18.945054945054906</v>
      </c>
      <c r="J117" s="143" t="str">
        <f>_xlfn.XLOOKUP(Table1[[#This Row],[Mã xuất]],$M$3:$M$72,$O$3:$O$72)</f>
        <v>TSX</v>
      </c>
    </row>
    <row r="118" spans="1:10">
      <c r="A118">
        <v>2025</v>
      </c>
      <c r="B118">
        <v>5</v>
      </c>
      <c r="C118" t="s">
        <v>1078</v>
      </c>
      <c r="D118" t="s">
        <v>1079</v>
      </c>
      <c r="E118" s="143">
        <v>2299761.0000000005</v>
      </c>
      <c r="F118" s="143">
        <v>706500</v>
      </c>
      <c r="G118" s="143">
        <v>1487500</v>
      </c>
      <c r="H118" s="143">
        <v>74870</v>
      </c>
      <c r="I118" s="143">
        <v>30891.000000000466</v>
      </c>
      <c r="J118" s="143" t="str">
        <f>_xlfn.XLOOKUP(Table1[[#This Row],[Mã xuất]],$M$3:$M$72,$O$3:$O$72)</f>
        <v>MN</v>
      </c>
    </row>
    <row r="119" spans="1:10">
      <c r="A119">
        <v>2025</v>
      </c>
      <c r="B119">
        <v>5</v>
      </c>
      <c r="C119" t="s">
        <v>1092</v>
      </c>
      <c r="D119" t="s">
        <v>1093</v>
      </c>
      <c r="E119" s="143">
        <v>351139.99999999988</v>
      </c>
      <c r="F119" s="143">
        <v>110000</v>
      </c>
      <c r="G119" s="143">
        <v>212000</v>
      </c>
      <c r="H119" s="143">
        <v>22895</v>
      </c>
      <c r="I119" s="143">
        <v>6244.9999999998836</v>
      </c>
      <c r="J119" s="143" t="str">
        <f>_xlfn.XLOOKUP(Table1[[#This Row],[Mã xuất]],$M$3:$M$72,$O$3:$O$72)</f>
        <v>MN</v>
      </c>
    </row>
    <row r="120" spans="1:10">
      <c r="A120">
        <v>2025</v>
      </c>
      <c r="B120">
        <v>5</v>
      </c>
      <c r="C120" t="s">
        <v>1110</v>
      </c>
      <c r="D120" t="s">
        <v>1111</v>
      </c>
      <c r="E120" s="143">
        <v>122944</v>
      </c>
      <c r="F120" s="143">
        <v>33500</v>
      </c>
      <c r="G120" s="143">
        <v>82000</v>
      </c>
      <c r="H120" s="143">
        <v>6120</v>
      </c>
      <c r="I120" s="143">
        <v>1324</v>
      </c>
      <c r="J120" s="143" t="str">
        <f>_xlfn.XLOOKUP(Table1[[#This Row],[Mã xuất]],$M$3:$M$72,$O$3:$O$72)</f>
        <v>MN</v>
      </c>
    </row>
    <row r="121" spans="1:10">
      <c r="A121">
        <v>2025</v>
      </c>
      <c r="B121">
        <v>5</v>
      </c>
      <c r="C121" t="s">
        <v>1136</v>
      </c>
      <c r="D121" t="s">
        <v>1137</v>
      </c>
      <c r="E121" s="143">
        <v>114300</v>
      </c>
      <c r="F121" s="143">
        <v>57853.176219077679</v>
      </c>
      <c r="G121" s="143">
        <v>48243.535579761781</v>
      </c>
      <c r="H121" s="143">
        <v>6125.3282093046937</v>
      </c>
      <c r="I121" s="143">
        <v>2077.9599918558461</v>
      </c>
      <c r="J121" s="143" t="str">
        <f>_xlfn.XLOOKUP(Table1[[#This Row],[Mã xuất]],$M$3:$M$72,$O$3:$O$72)</f>
        <v>TSX</v>
      </c>
    </row>
    <row r="122" spans="1:10">
      <c r="A122">
        <v>2025</v>
      </c>
      <c r="B122">
        <v>5</v>
      </c>
      <c r="C122" t="s">
        <v>1080</v>
      </c>
      <c r="D122" t="s">
        <v>1081</v>
      </c>
      <c r="E122" s="143">
        <v>112699.99999999999</v>
      </c>
      <c r="F122" s="143">
        <v>63524.429678536486</v>
      </c>
      <c r="G122" s="143">
        <v>41027.417311306475</v>
      </c>
      <c r="H122" s="143">
        <v>6604.7913549050108</v>
      </c>
      <c r="I122" s="143">
        <v>1543.3616552520134</v>
      </c>
      <c r="J122" s="143" t="str">
        <f>_xlfn.XLOOKUP(Table1[[#This Row],[Mã xuất]],$M$3:$M$72,$O$3:$O$72)</f>
        <v>TSX</v>
      </c>
    </row>
    <row r="123" spans="1:10">
      <c r="A123">
        <v>2025</v>
      </c>
      <c r="B123">
        <v>5</v>
      </c>
      <c r="C123" t="s">
        <v>1084</v>
      </c>
      <c r="D123" t="s">
        <v>1085</v>
      </c>
      <c r="E123" s="143">
        <v>105000</v>
      </c>
      <c r="F123" s="143">
        <v>60475.570321463514</v>
      </c>
      <c r="G123" s="143">
        <v>36172.582688693525</v>
      </c>
      <c r="H123" s="143">
        <v>7075.2086450949892</v>
      </c>
      <c r="I123" s="143">
        <v>1276.638344747972</v>
      </c>
      <c r="J123" s="143" t="str">
        <f>_xlfn.XLOOKUP(Table1[[#This Row],[Mã xuất]],$M$3:$M$72,$O$3:$O$72)</f>
        <v>TSX</v>
      </c>
    </row>
    <row r="124" spans="1:10">
      <c r="A124">
        <v>2025</v>
      </c>
      <c r="B124">
        <v>5</v>
      </c>
      <c r="C124" t="s">
        <v>1082</v>
      </c>
      <c r="D124" t="s">
        <v>1083</v>
      </c>
      <c r="E124" s="143">
        <v>80017</v>
      </c>
      <c r="F124" s="143">
        <v>8455.8414602761459</v>
      </c>
      <c r="G124" s="143">
        <v>64431.503524523112</v>
      </c>
      <c r="H124" s="143">
        <v>4763.5761645014582</v>
      </c>
      <c r="I124" s="143">
        <v>2366.0788506992822</v>
      </c>
      <c r="J124" s="143" t="str">
        <f>_xlfn.XLOOKUP(Table1[[#This Row],[Mã xuất]],$M$3:$M$72,$O$3:$O$72)</f>
        <v>TSX</v>
      </c>
    </row>
    <row r="125" spans="1:10">
      <c r="A125">
        <v>2025</v>
      </c>
      <c r="B125">
        <v>5</v>
      </c>
      <c r="C125" t="s">
        <v>1086</v>
      </c>
      <c r="D125" t="s">
        <v>1087</v>
      </c>
      <c r="E125" s="143">
        <v>61488</v>
      </c>
      <c r="F125" s="143">
        <v>10000</v>
      </c>
      <c r="G125" s="143">
        <v>47000</v>
      </c>
      <c r="H125" s="143">
        <v>4088</v>
      </c>
      <c r="I125" s="143">
        <v>400</v>
      </c>
      <c r="J125" s="143" t="str">
        <f>_xlfn.XLOOKUP(Table1[[#This Row],[Mã xuất]],$M$3:$M$72,$O$3:$O$72)</f>
        <v>MN</v>
      </c>
    </row>
    <row r="126" spans="1:10">
      <c r="A126">
        <v>2025</v>
      </c>
      <c r="B126">
        <v>5</v>
      </c>
      <c r="C126" t="s">
        <v>1100</v>
      </c>
      <c r="D126" t="s">
        <v>1101</v>
      </c>
      <c r="E126" s="143">
        <v>61195.999999999993</v>
      </c>
      <c r="F126" s="143">
        <v>9044.1585397238541</v>
      </c>
      <c r="G126" s="143">
        <v>46068.496475476888</v>
      </c>
      <c r="H126" s="143">
        <v>3608.4238354985423</v>
      </c>
      <c r="I126" s="143">
        <v>2474.9211493007101</v>
      </c>
      <c r="J126" s="143" t="str">
        <f>_xlfn.XLOOKUP(Table1[[#This Row],[Mã xuất]],$M$3:$M$72,$O$3:$O$72)</f>
        <v>TSX</v>
      </c>
    </row>
    <row r="127" spans="1:10">
      <c r="A127">
        <v>2025</v>
      </c>
      <c r="B127">
        <v>5</v>
      </c>
      <c r="C127" t="s">
        <v>1108</v>
      </c>
      <c r="D127" t="s">
        <v>1109</v>
      </c>
      <c r="E127" s="143">
        <v>51240</v>
      </c>
      <c r="F127" s="143">
        <v>32500</v>
      </c>
      <c r="G127" s="143">
        <v>15500</v>
      </c>
      <c r="H127" s="143">
        <v>2280</v>
      </c>
      <c r="I127" s="143">
        <v>960</v>
      </c>
      <c r="J127" s="143" t="str">
        <f>_xlfn.XLOOKUP(Table1[[#This Row],[Mã xuất]],$M$3:$M$72,$O$3:$O$72)</f>
        <v>TSX</v>
      </c>
    </row>
    <row r="128" spans="1:10">
      <c r="A128">
        <v>2025</v>
      </c>
      <c r="B128">
        <v>5</v>
      </c>
      <c r="C128" t="s">
        <v>1094</v>
      </c>
      <c r="D128" t="s">
        <v>1095</v>
      </c>
      <c r="E128" s="143">
        <v>22368</v>
      </c>
      <c r="F128" s="143">
        <v>18900</v>
      </c>
      <c r="G128" s="143">
        <v>2100</v>
      </c>
      <c r="H128" s="143">
        <v>600</v>
      </c>
      <c r="I128" s="143">
        <v>768</v>
      </c>
      <c r="J128" s="143" t="str">
        <f>_xlfn.XLOOKUP(Table1[[#This Row],[Mã xuất]],$M$3:$M$72,$O$3:$O$72)</f>
        <v>TSX</v>
      </c>
    </row>
    <row r="129" spans="1:10">
      <c r="A129">
        <v>2025</v>
      </c>
      <c r="B129">
        <v>5</v>
      </c>
      <c r="C129" t="s">
        <v>1168</v>
      </c>
      <c r="D129" t="s">
        <v>1169</v>
      </c>
      <c r="E129" s="143">
        <v>21000.000000000004</v>
      </c>
      <c r="F129" s="143">
        <v>13146.823780922326</v>
      </c>
      <c r="G129" s="143">
        <v>6756.464420238216</v>
      </c>
      <c r="H129" s="143">
        <v>722.67179069530698</v>
      </c>
      <c r="I129" s="143">
        <v>374.04000814415417</v>
      </c>
      <c r="J129" s="143" t="str">
        <f>_xlfn.XLOOKUP(Table1[[#This Row],[Mã xuất]],$M$3:$M$72,$O$3:$O$72)</f>
        <v>TSX</v>
      </c>
    </row>
    <row r="130" spans="1:10">
      <c r="A130">
        <v>2025</v>
      </c>
      <c r="B130">
        <v>5</v>
      </c>
      <c r="C130" t="s">
        <v>1112</v>
      </c>
      <c r="D130" t="s">
        <v>1113</v>
      </c>
      <c r="E130" s="143">
        <v>14950.000000000002</v>
      </c>
      <c r="F130" s="143">
        <v>10636.363636363636</v>
      </c>
      <c r="G130" s="143">
        <v>2818.181818181818</v>
      </c>
      <c r="H130" s="143">
        <v>1172.7272727272727</v>
      </c>
      <c r="I130" s="143">
        <v>322.72727272727502</v>
      </c>
      <c r="J130" s="143" t="str">
        <f>_xlfn.XLOOKUP(Table1[[#This Row],[Mã xuất]],$M$3:$M$72,$O$3:$O$72)</f>
        <v>TSX</v>
      </c>
    </row>
    <row r="131" spans="1:10">
      <c r="A131">
        <v>2025</v>
      </c>
      <c r="B131">
        <v>5</v>
      </c>
      <c r="C131" t="s">
        <v>1098</v>
      </c>
      <c r="D131" t="s">
        <v>1099</v>
      </c>
      <c r="E131" s="143">
        <v>1150</v>
      </c>
      <c r="F131" s="143">
        <v>863.63636363636363</v>
      </c>
      <c r="G131" s="143">
        <v>181.81818181818181</v>
      </c>
      <c r="H131" s="143">
        <v>87.27272727272728</v>
      </c>
      <c r="I131" s="143">
        <v>17.27272727272728</v>
      </c>
      <c r="J131" s="143" t="str">
        <f>_xlfn.XLOOKUP(Table1[[#This Row],[Mã xuất]],$M$3:$M$72,$O$3:$O$72)</f>
        <v>MN</v>
      </c>
    </row>
    <row r="132" spans="1:10">
      <c r="A132">
        <v>2025</v>
      </c>
      <c r="B132">
        <v>6</v>
      </c>
      <c r="C132" t="s">
        <v>1078</v>
      </c>
      <c r="D132" t="s">
        <v>1079</v>
      </c>
      <c r="E132" s="143">
        <v>2438228.0000000005</v>
      </c>
      <c r="F132" s="143">
        <v>839500</v>
      </c>
      <c r="G132" s="143">
        <v>1491500</v>
      </c>
      <c r="H132" s="143">
        <v>73054</v>
      </c>
      <c r="I132" s="143">
        <v>34174.000000000466</v>
      </c>
      <c r="J132" s="143" t="str">
        <f>_xlfn.XLOOKUP(Table1[[#This Row],[Mã xuất]],$M$3:$M$72,$O$3:$O$72)</f>
        <v>MN</v>
      </c>
    </row>
    <row r="133" spans="1:10">
      <c r="A133">
        <v>2025</v>
      </c>
      <c r="B133">
        <v>6</v>
      </c>
      <c r="C133" t="s">
        <v>1092</v>
      </c>
      <c r="D133" t="s">
        <v>1093</v>
      </c>
      <c r="E133" s="143">
        <v>324103.99999999994</v>
      </c>
      <c r="F133" s="143">
        <v>131000</v>
      </c>
      <c r="G133" s="143">
        <v>169500</v>
      </c>
      <c r="H133" s="143">
        <v>19938</v>
      </c>
      <c r="I133" s="143">
        <v>3665.9999999999418</v>
      </c>
      <c r="J133" s="143" t="str">
        <f>_xlfn.XLOOKUP(Table1[[#This Row],[Mã xuất]],$M$3:$M$72,$O$3:$O$72)</f>
        <v>MN</v>
      </c>
    </row>
    <row r="134" spans="1:10">
      <c r="A134">
        <v>2025</v>
      </c>
      <c r="B134">
        <v>6</v>
      </c>
      <c r="C134" t="s">
        <v>1084</v>
      </c>
      <c r="D134" t="s">
        <v>1085</v>
      </c>
      <c r="E134" s="143">
        <v>261847.00000000003</v>
      </c>
      <c r="F134" s="143">
        <v>130179.93597597632</v>
      </c>
      <c r="G134" s="143">
        <v>112657.07162304113</v>
      </c>
      <c r="H134" s="143">
        <v>15154.724343792737</v>
      </c>
      <c r="I134" s="143">
        <v>3855.26805718984</v>
      </c>
      <c r="J134" s="143" t="str">
        <f>_xlfn.XLOOKUP(Table1[[#This Row],[Mã xuất]],$M$3:$M$72,$O$3:$O$72)</f>
        <v>TSX</v>
      </c>
    </row>
    <row r="135" spans="1:10">
      <c r="A135">
        <v>2025</v>
      </c>
      <c r="B135">
        <v>6</v>
      </c>
      <c r="C135" t="s">
        <v>1080</v>
      </c>
      <c r="D135" t="s">
        <v>1081</v>
      </c>
      <c r="E135" s="143">
        <v>248600</v>
      </c>
      <c r="F135" s="143">
        <v>112320.06402402368</v>
      </c>
      <c r="G135" s="143">
        <v>116342.92837695887</v>
      </c>
      <c r="H135" s="143">
        <v>14801.275656207261</v>
      </c>
      <c r="I135" s="143">
        <v>5135.731942810191</v>
      </c>
      <c r="J135" s="143" t="str">
        <f>_xlfn.XLOOKUP(Table1[[#This Row],[Mã xuất]],$M$3:$M$72,$O$3:$O$72)</f>
        <v>TSX</v>
      </c>
    </row>
    <row r="136" spans="1:10">
      <c r="A136">
        <v>2025</v>
      </c>
      <c r="B136">
        <v>6</v>
      </c>
      <c r="C136" t="s">
        <v>1082</v>
      </c>
      <c r="D136" t="s">
        <v>1083</v>
      </c>
      <c r="E136" s="143">
        <v>204876</v>
      </c>
      <c r="F136" s="143">
        <v>21570.510705849334</v>
      </c>
      <c r="G136" s="143">
        <v>166572.7296935301</v>
      </c>
      <c r="H136" s="143">
        <v>12194.516572692359</v>
      </c>
      <c r="I136" s="143">
        <v>4538.2430279282125</v>
      </c>
      <c r="J136" s="143" t="str">
        <f>_xlfn.XLOOKUP(Table1[[#This Row],[Mã xuất]],$M$3:$M$72,$O$3:$O$72)</f>
        <v>TSX</v>
      </c>
    </row>
    <row r="137" spans="1:10">
      <c r="A137">
        <v>2025</v>
      </c>
      <c r="B137">
        <v>6</v>
      </c>
      <c r="C137" t="s">
        <v>1090</v>
      </c>
      <c r="D137" t="s">
        <v>1091</v>
      </c>
      <c r="E137" s="143">
        <v>91138</v>
      </c>
      <c r="F137" s="143">
        <v>62170</v>
      </c>
      <c r="G137" s="143">
        <v>18500</v>
      </c>
      <c r="H137" s="143">
        <v>9223</v>
      </c>
      <c r="I137" s="143">
        <v>1245</v>
      </c>
      <c r="J137" s="143" t="str">
        <f>_xlfn.XLOOKUP(Table1[[#This Row],[Mã xuất]],$M$3:$M$72,$O$3:$O$72)</f>
        <v>MN</v>
      </c>
    </row>
    <row r="138" spans="1:10">
      <c r="A138">
        <v>2025</v>
      </c>
      <c r="B138">
        <v>6</v>
      </c>
      <c r="C138" t="s">
        <v>1128</v>
      </c>
      <c r="D138" t="s">
        <v>1129</v>
      </c>
      <c r="E138" s="143">
        <v>89300</v>
      </c>
      <c r="F138" s="143">
        <v>2100</v>
      </c>
      <c r="G138" s="143">
        <v>54600</v>
      </c>
      <c r="H138" s="143">
        <v>29633</v>
      </c>
      <c r="I138" s="143">
        <v>2967</v>
      </c>
      <c r="J138" s="143" t="str">
        <f>_xlfn.XLOOKUP(Table1[[#This Row],[Mã xuất]],$M$3:$M$72,$O$3:$O$72)</f>
        <v>Unknown</v>
      </c>
    </row>
    <row r="139" spans="1:10">
      <c r="A139">
        <v>2025</v>
      </c>
      <c r="B139">
        <v>6</v>
      </c>
      <c r="C139" t="s">
        <v>1138</v>
      </c>
      <c r="D139" t="s">
        <v>1139</v>
      </c>
      <c r="E139" s="143">
        <v>66200</v>
      </c>
      <c r="F139" s="143">
        <v>53000</v>
      </c>
      <c r="G139" s="143">
        <v>10500</v>
      </c>
      <c r="H139" s="143">
        <v>1400</v>
      </c>
      <c r="I139" s="143">
        <v>1300</v>
      </c>
      <c r="J139" s="143" t="str">
        <f>_xlfn.XLOOKUP(Table1[[#This Row],[Mã xuất]],$M$3:$M$72,$O$3:$O$72)</f>
        <v>TSX</v>
      </c>
    </row>
    <row r="140" spans="1:10">
      <c r="A140">
        <v>2025</v>
      </c>
      <c r="B140">
        <v>6</v>
      </c>
      <c r="C140" t="s">
        <v>1110</v>
      </c>
      <c r="D140" t="s">
        <v>1111</v>
      </c>
      <c r="E140" s="143">
        <v>53507.999999999993</v>
      </c>
      <c r="F140" s="143">
        <v>9500</v>
      </c>
      <c r="G140" s="143">
        <v>42500</v>
      </c>
      <c r="H140" s="143">
        <v>940</v>
      </c>
      <c r="I140" s="143">
        <v>567.99999999999272</v>
      </c>
      <c r="J140" s="143" t="str">
        <f>_xlfn.XLOOKUP(Table1[[#This Row],[Mã xuất]],$M$3:$M$72,$O$3:$O$72)</f>
        <v>MN</v>
      </c>
    </row>
    <row r="141" spans="1:10">
      <c r="A141">
        <v>2025</v>
      </c>
      <c r="B141">
        <v>6</v>
      </c>
      <c r="C141" t="s">
        <v>1100</v>
      </c>
      <c r="D141" t="s">
        <v>1101</v>
      </c>
      <c r="E141" s="143">
        <v>43703.999999999993</v>
      </c>
      <c r="F141" s="143">
        <v>9332.6630434782601</v>
      </c>
      <c r="G141" s="143">
        <v>31152.391339283222</v>
      </c>
      <c r="H141" s="143">
        <v>2592.829312191986</v>
      </c>
      <c r="I141" s="143">
        <v>626.11630504652112</v>
      </c>
      <c r="J141" s="143" t="str">
        <f>_xlfn.XLOOKUP(Table1[[#This Row],[Mã xuất]],$M$3:$M$72,$O$3:$O$72)</f>
        <v>TSX</v>
      </c>
    </row>
    <row r="142" spans="1:10">
      <c r="A142">
        <v>2025</v>
      </c>
      <c r="B142">
        <v>6</v>
      </c>
      <c r="C142" t="s">
        <v>1086</v>
      </c>
      <c r="D142" t="s">
        <v>1087</v>
      </c>
      <c r="E142" s="143">
        <v>40062</v>
      </c>
      <c r="F142" s="143">
        <v>25000</v>
      </c>
      <c r="G142" s="143">
        <v>12500</v>
      </c>
      <c r="H142" s="143">
        <v>1800</v>
      </c>
      <c r="I142" s="143">
        <v>762</v>
      </c>
      <c r="J142" s="143" t="str">
        <f>_xlfn.XLOOKUP(Table1[[#This Row],[Mã xuất]],$M$3:$M$72,$O$3:$O$72)</f>
        <v>MN</v>
      </c>
    </row>
    <row r="143" spans="1:10">
      <c r="A143">
        <v>2025</v>
      </c>
      <c r="B143">
        <v>6</v>
      </c>
      <c r="C143" t="s">
        <v>1108</v>
      </c>
      <c r="D143" t="s">
        <v>1109</v>
      </c>
      <c r="E143" s="143">
        <v>33900</v>
      </c>
      <c r="F143" s="143">
        <v>22828.282828282827</v>
      </c>
      <c r="G143" s="143">
        <v>9131.3131313131307</v>
      </c>
      <c r="H143" s="143">
        <v>1314.3383838383838</v>
      </c>
      <c r="I143" s="143">
        <v>626.06565656565863</v>
      </c>
      <c r="J143" s="143" t="str">
        <f>_xlfn.XLOOKUP(Table1[[#This Row],[Mã xuất]],$M$3:$M$72,$O$3:$O$72)</f>
        <v>TSX</v>
      </c>
    </row>
    <row r="144" spans="1:10">
      <c r="A144">
        <v>2025</v>
      </c>
      <c r="B144">
        <v>6</v>
      </c>
      <c r="C144" t="s">
        <v>1116</v>
      </c>
      <c r="D144" t="s">
        <v>1117</v>
      </c>
      <c r="E144" s="143">
        <v>28000</v>
      </c>
      <c r="F144" s="143">
        <v>0</v>
      </c>
      <c r="G144" s="143">
        <v>27000</v>
      </c>
      <c r="H144" s="143">
        <v>650</v>
      </c>
      <c r="I144" s="143">
        <v>350</v>
      </c>
      <c r="J144" s="143" t="str">
        <f>_xlfn.XLOOKUP(Table1[[#This Row],[Mã xuất]],$M$3:$M$72,$O$3:$O$72)</f>
        <v>TSX</v>
      </c>
    </row>
    <row r="145" spans="1:10">
      <c r="A145">
        <v>2025</v>
      </c>
      <c r="B145">
        <v>6</v>
      </c>
      <c r="C145" t="s">
        <v>1140</v>
      </c>
      <c r="D145" t="s">
        <v>1141</v>
      </c>
      <c r="E145" s="143">
        <v>25499.999999999996</v>
      </c>
      <c r="F145" s="143">
        <v>17171.717171717173</v>
      </c>
      <c r="G145" s="143">
        <v>6868.6868686868693</v>
      </c>
      <c r="H145" s="143">
        <v>988.66161616161617</v>
      </c>
      <c r="I145" s="143">
        <v>470.93434343433773</v>
      </c>
      <c r="J145" s="143" t="str">
        <f>_xlfn.XLOOKUP(Table1[[#This Row],[Mã xuất]],$M$3:$M$72,$O$3:$O$72)</f>
        <v>TSX</v>
      </c>
    </row>
    <row r="146" spans="1:10">
      <c r="A146">
        <v>2025</v>
      </c>
      <c r="B146">
        <v>6</v>
      </c>
      <c r="C146" t="s">
        <v>1170</v>
      </c>
      <c r="D146" t="s">
        <v>1171</v>
      </c>
      <c r="E146" s="143">
        <v>21330</v>
      </c>
      <c r="F146" s="143">
        <v>2400</v>
      </c>
      <c r="G146" s="143">
        <v>17600</v>
      </c>
      <c r="H146" s="143">
        <v>1200</v>
      </c>
      <c r="I146" s="143">
        <v>130</v>
      </c>
      <c r="J146" s="143" t="str">
        <f>_xlfn.XLOOKUP(Table1[[#This Row],[Mã xuất]],$M$3:$M$72,$O$3:$O$72)</f>
        <v>MN</v>
      </c>
    </row>
    <row r="147" spans="1:10">
      <c r="A147">
        <v>2025</v>
      </c>
      <c r="B147">
        <v>6</v>
      </c>
      <c r="C147" t="s">
        <v>1130</v>
      </c>
      <c r="D147" t="s">
        <v>1131</v>
      </c>
      <c r="E147" s="143">
        <v>20000</v>
      </c>
      <c r="F147" s="143">
        <v>4242.424242424242</v>
      </c>
      <c r="G147" s="143">
        <v>15757.575757575758</v>
      </c>
      <c r="H147" s="143">
        <v>0</v>
      </c>
      <c r="I147" s="143">
        <v>0</v>
      </c>
      <c r="J147" s="143" t="str">
        <f>_xlfn.XLOOKUP(Table1[[#This Row],[Mã xuất]],$M$3:$M$72,$O$3:$O$72)</f>
        <v>TSX</v>
      </c>
    </row>
    <row r="148" spans="1:10">
      <c r="A148">
        <v>2025</v>
      </c>
      <c r="B148">
        <v>6</v>
      </c>
      <c r="C148" t="s">
        <v>1094</v>
      </c>
      <c r="D148" t="s">
        <v>1095</v>
      </c>
      <c r="E148" s="143">
        <v>19000</v>
      </c>
      <c r="F148" s="143">
        <v>18900</v>
      </c>
      <c r="G148" s="143">
        <v>0</v>
      </c>
      <c r="H148" s="143">
        <v>0</v>
      </c>
      <c r="I148" s="143">
        <v>100</v>
      </c>
      <c r="J148" s="143" t="str">
        <f>_xlfn.XLOOKUP(Table1[[#This Row],[Mã xuất]],$M$3:$M$72,$O$3:$O$72)</f>
        <v>TSX</v>
      </c>
    </row>
    <row r="149" spans="1:10">
      <c r="A149">
        <v>2025</v>
      </c>
      <c r="B149">
        <v>6</v>
      </c>
      <c r="C149" t="s">
        <v>1168</v>
      </c>
      <c r="D149" t="s">
        <v>1169</v>
      </c>
      <c r="E149" s="143">
        <v>13500</v>
      </c>
      <c r="F149" s="143">
        <v>5558.8235294117649</v>
      </c>
      <c r="G149" s="143">
        <v>7147.0588235294117</v>
      </c>
      <c r="H149" s="143">
        <v>767.64705882352939</v>
      </c>
      <c r="I149" s="143">
        <v>26.470588235294031</v>
      </c>
      <c r="J149" s="143" t="str">
        <f>_xlfn.XLOOKUP(Table1[[#This Row],[Mã xuất]],$M$3:$M$72,$O$3:$O$72)</f>
        <v>TSX</v>
      </c>
    </row>
    <row r="150" spans="1:10">
      <c r="A150">
        <v>2025</v>
      </c>
      <c r="B150">
        <v>6</v>
      </c>
      <c r="C150" t="s">
        <v>1126</v>
      </c>
      <c r="D150" t="s">
        <v>1127</v>
      </c>
      <c r="E150" s="143">
        <v>13000</v>
      </c>
      <c r="F150" s="143">
        <v>2757.5757575757575</v>
      </c>
      <c r="G150" s="143">
        <v>10242.424242424242</v>
      </c>
      <c r="H150" s="143">
        <v>0</v>
      </c>
      <c r="I150" s="143">
        <v>0</v>
      </c>
      <c r="J150" s="143" t="str">
        <f>_xlfn.XLOOKUP(Table1[[#This Row],[Mã xuất]],$M$3:$M$72,$O$3:$O$72)</f>
        <v>TSX</v>
      </c>
    </row>
    <row r="151" spans="1:10">
      <c r="A151">
        <v>2025</v>
      </c>
      <c r="B151">
        <v>6</v>
      </c>
      <c r="C151" t="s">
        <v>1172</v>
      </c>
      <c r="D151" t="s">
        <v>1173</v>
      </c>
      <c r="E151" s="143">
        <v>12000</v>
      </c>
      <c r="F151" s="143">
        <v>9600</v>
      </c>
      <c r="G151" s="143">
        <v>1600</v>
      </c>
      <c r="H151" s="143">
        <v>576</v>
      </c>
      <c r="I151" s="143">
        <v>224</v>
      </c>
      <c r="J151" s="143" t="str">
        <f>_xlfn.XLOOKUP(Table1[[#This Row],[Mã xuất]],$M$3:$M$72,$O$3:$O$72)</f>
        <v>TSX</v>
      </c>
    </row>
    <row r="152" spans="1:10">
      <c r="A152">
        <v>2025</v>
      </c>
      <c r="B152">
        <v>6</v>
      </c>
      <c r="C152" t="s">
        <v>1136</v>
      </c>
      <c r="D152" t="s">
        <v>1137</v>
      </c>
      <c r="E152" s="143">
        <v>12000</v>
      </c>
      <c r="F152" s="143">
        <v>4941.1764705882351</v>
      </c>
      <c r="G152" s="143">
        <v>6352.9411764705883</v>
      </c>
      <c r="H152" s="143">
        <v>682.35294117647061</v>
      </c>
      <c r="I152" s="143">
        <v>23.529411764705969</v>
      </c>
      <c r="J152" s="143" t="str">
        <f>_xlfn.XLOOKUP(Table1[[#This Row],[Mã xuất]],$M$3:$M$72,$O$3:$O$72)</f>
        <v>TSX</v>
      </c>
    </row>
    <row r="153" spans="1:10">
      <c r="A153">
        <v>2025</v>
      </c>
      <c r="B153">
        <v>6</v>
      </c>
      <c r="C153" t="s">
        <v>1174</v>
      </c>
      <c r="D153" t="s">
        <v>1175</v>
      </c>
      <c r="E153" s="143">
        <v>10500.000000000002</v>
      </c>
      <c r="F153" s="143">
        <v>8944.4444444444453</v>
      </c>
      <c r="G153" s="143">
        <v>1166.6666666666667</v>
      </c>
      <c r="H153" s="143">
        <v>233.33333333333334</v>
      </c>
      <c r="I153" s="143">
        <v>155.55555555555648</v>
      </c>
      <c r="J153" s="143" t="str">
        <f>_xlfn.XLOOKUP(Table1[[#This Row],[Mã xuất]],$M$3:$M$72,$O$3:$O$72)</f>
        <v>MN</v>
      </c>
    </row>
    <row r="154" spans="1:10">
      <c r="A154">
        <v>2025</v>
      </c>
      <c r="B154">
        <v>6</v>
      </c>
      <c r="C154" t="s">
        <v>1176</v>
      </c>
      <c r="D154" t="s">
        <v>1177</v>
      </c>
      <c r="E154" s="143">
        <v>8200</v>
      </c>
      <c r="F154" s="143">
        <v>7700</v>
      </c>
      <c r="G154" s="143">
        <v>0</v>
      </c>
      <c r="H154" s="143">
        <v>360</v>
      </c>
      <c r="I154" s="143">
        <v>140</v>
      </c>
      <c r="J154" s="143" t="str">
        <f>_xlfn.XLOOKUP(Table1[[#This Row],[Mã xuất]],$M$3:$M$72,$O$3:$O$72)</f>
        <v>TSX</v>
      </c>
    </row>
    <row r="155" spans="1:10">
      <c r="A155">
        <v>2025</v>
      </c>
      <c r="B155">
        <v>6</v>
      </c>
      <c r="C155" t="s">
        <v>1178</v>
      </c>
      <c r="D155" t="s">
        <v>1179</v>
      </c>
      <c r="E155" s="143">
        <v>3000</v>
      </c>
      <c r="F155" s="143">
        <v>2555.5555555555557</v>
      </c>
      <c r="G155" s="143">
        <v>333.33333333333331</v>
      </c>
      <c r="H155" s="143">
        <v>66.666666666666671</v>
      </c>
      <c r="I155" s="143">
        <v>44.444444444444358</v>
      </c>
      <c r="J155" s="143" t="str">
        <f>_xlfn.XLOOKUP(Table1[[#This Row],[Mã xuất]],$M$3:$M$72,$O$3:$O$72)</f>
        <v>MN</v>
      </c>
    </row>
    <row r="156" spans="1:10">
      <c r="A156">
        <v>2025</v>
      </c>
      <c r="B156">
        <v>6</v>
      </c>
      <c r="C156" t="s">
        <v>1180</v>
      </c>
      <c r="D156" t="s">
        <v>1181</v>
      </c>
      <c r="E156" s="143">
        <v>1500</v>
      </c>
      <c r="F156" s="143">
        <v>96.826250672404512</v>
      </c>
      <c r="G156" s="143">
        <v>1274.8789671866596</v>
      </c>
      <c r="H156" s="143">
        <v>76.654115115653582</v>
      </c>
      <c r="I156" s="143">
        <v>51.64066702528234</v>
      </c>
      <c r="J156" s="143" t="str">
        <f>_xlfn.XLOOKUP(Table1[[#This Row],[Mã xuất]],$M$3:$M$72,$O$3:$O$72)</f>
        <v>TSX</v>
      </c>
    </row>
    <row r="157" spans="1:10">
      <c r="A157">
        <v>2025</v>
      </c>
      <c r="B157">
        <v>7</v>
      </c>
      <c r="C157" t="s">
        <v>1078</v>
      </c>
      <c r="D157" t="s">
        <v>1079</v>
      </c>
      <c r="E157" s="143">
        <v>1133239.9999999998</v>
      </c>
      <c r="F157" s="143">
        <v>408780.26145232905</v>
      </c>
      <c r="G157" s="143">
        <v>704737.45828621858</v>
      </c>
      <c r="H157" s="143">
        <v>9125</v>
      </c>
      <c r="I157" s="143">
        <v>10597.280261452077</v>
      </c>
      <c r="J157" s="143" t="str">
        <f>_xlfn.XLOOKUP(Table1[[#This Row],[Mã xuất]],$M$3:$M$72,$O$3:$O$72)</f>
        <v>MN</v>
      </c>
    </row>
    <row r="158" spans="1:10">
      <c r="A158">
        <v>2025</v>
      </c>
      <c r="B158">
        <v>7</v>
      </c>
      <c r="C158" t="s">
        <v>1092</v>
      </c>
      <c r="D158" t="s">
        <v>1093</v>
      </c>
      <c r="E158" s="143">
        <v>704670.00000000023</v>
      </c>
      <c r="F158" s="143">
        <v>343500</v>
      </c>
      <c r="G158" s="143">
        <v>312500</v>
      </c>
      <c r="H158" s="143">
        <v>37283</v>
      </c>
      <c r="I158" s="143">
        <v>11387.000000000233</v>
      </c>
      <c r="J158" s="143" t="str">
        <f>_xlfn.XLOOKUP(Table1[[#This Row],[Mã xuất]],$M$3:$M$72,$O$3:$O$72)</f>
        <v>MN</v>
      </c>
    </row>
    <row r="159" spans="1:10">
      <c r="A159">
        <v>2025</v>
      </c>
      <c r="B159">
        <v>7</v>
      </c>
      <c r="C159" t="s">
        <v>1082</v>
      </c>
      <c r="D159" t="s">
        <v>1083</v>
      </c>
      <c r="E159" s="143">
        <v>408039.99999999994</v>
      </c>
      <c r="F159" s="143">
        <v>38276.641550053821</v>
      </c>
      <c r="G159" s="143">
        <v>331173.3046286329</v>
      </c>
      <c r="H159" s="143">
        <v>32502.629709364905</v>
      </c>
      <c r="I159" s="143">
        <v>6087.4241119482904</v>
      </c>
      <c r="J159" s="143" t="str">
        <f>_xlfn.XLOOKUP(Table1[[#This Row],[Mã xuất]],$M$3:$M$72,$O$3:$O$72)</f>
        <v>TSX</v>
      </c>
    </row>
    <row r="160" spans="1:10">
      <c r="A160">
        <v>2025</v>
      </c>
      <c r="B160">
        <v>7</v>
      </c>
      <c r="C160" t="s">
        <v>1080</v>
      </c>
      <c r="D160" t="s">
        <v>1081</v>
      </c>
      <c r="E160" s="143">
        <v>330500</v>
      </c>
      <c r="F160" s="143">
        <v>107198.35736947606</v>
      </c>
      <c r="G160" s="143">
        <v>197103.45299971709</v>
      </c>
      <c r="H160" s="143">
        <v>21997.794955402096</v>
      </c>
      <c r="I160" s="143">
        <v>4200.3946754047574</v>
      </c>
      <c r="J160" s="143" t="str">
        <f>_xlfn.XLOOKUP(Table1[[#This Row],[Mã xuất]],$M$3:$M$72,$O$3:$O$72)</f>
        <v>TSX</v>
      </c>
    </row>
    <row r="161" spans="1:10">
      <c r="A161">
        <v>2025</v>
      </c>
      <c r="B161">
        <v>7</v>
      </c>
      <c r="C161" t="s">
        <v>1090</v>
      </c>
      <c r="D161" t="s">
        <v>1091</v>
      </c>
      <c r="E161" s="143">
        <v>279939</v>
      </c>
      <c r="F161" s="143">
        <v>209472.09767942151</v>
      </c>
      <c r="G161" s="143">
        <v>31296.297085165974</v>
      </c>
      <c r="H161" s="143">
        <v>34832.616481538673</v>
      </c>
      <c r="I161" s="143">
        <v>4337.9887538738403</v>
      </c>
      <c r="J161" s="143" t="str">
        <f>_xlfn.XLOOKUP(Table1[[#This Row],[Mã xuất]],$M$3:$M$72,$O$3:$O$72)</f>
        <v>MN</v>
      </c>
    </row>
    <row r="162" spans="1:10">
      <c r="A162">
        <v>2025</v>
      </c>
      <c r="B162">
        <v>7</v>
      </c>
      <c r="C162" t="s">
        <v>1110</v>
      </c>
      <c r="D162" t="s">
        <v>1111</v>
      </c>
      <c r="E162" s="143">
        <v>160725</v>
      </c>
      <c r="F162" s="143">
        <v>60719.738547670924</v>
      </c>
      <c r="G162" s="143">
        <v>94762.541713781407</v>
      </c>
      <c r="H162" s="143">
        <v>2890</v>
      </c>
      <c r="I162" s="143">
        <v>2352.7197385476757</v>
      </c>
      <c r="J162" s="143" t="str">
        <f>_xlfn.XLOOKUP(Table1[[#This Row],[Mã xuất]],$M$3:$M$72,$O$3:$O$72)</f>
        <v>MN</v>
      </c>
    </row>
    <row r="163" spans="1:10">
      <c r="A163">
        <v>2025</v>
      </c>
      <c r="B163">
        <v>7</v>
      </c>
      <c r="C163" t="s">
        <v>1084</v>
      </c>
      <c r="D163" t="s">
        <v>1085</v>
      </c>
      <c r="E163" s="143">
        <v>155000</v>
      </c>
      <c r="F163" s="143">
        <v>62801.642630523958</v>
      </c>
      <c r="G163" s="143">
        <v>82896.547000282881</v>
      </c>
      <c r="H163" s="143">
        <v>6558.2050445979075</v>
      </c>
      <c r="I163" s="143">
        <v>2743.6053245952535</v>
      </c>
      <c r="J163" s="143" t="str">
        <f>_xlfn.XLOOKUP(Table1[[#This Row],[Mã xuất]],$M$3:$M$72,$O$3:$O$72)</f>
        <v>TSX</v>
      </c>
    </row>
    <row r="164" spans="1:10">
      <c r="A164">
        <v>2025</v>
      </c>
      <c r="B164">
        <v>7</v>
      </c>
      <c r="C164" t="s">
        <v>1128</v>
      </c>
      <c r="D164" t="s">
        <v>1129</v>
      </c>
      <c r="E164" s="143">
        <v>107450</v>
      </c>
      <c r="F164" s="143">
        <v>3300</v>
      </c>
      <c r="G164" s="143">
        <v>77100</v>
      </c>
      <c r="H164" s="143">
        <v>24550</v>
      </c>
      <c r="I164" s="143">
        <v>2500</v>
      </c>
      <c r="J164" s="143" t="str">
        <f>_xlfn.XLOOKUP(Table1[[#This Row],[Mã xuất]],$M$3:$M$72,$O$3:$O$72)</f>
        <v>Unknown</v>
      </c>
    </row>
    <row r="165" spans="1:10">
      <c r="A165">
        <v>2025</v>
      </c>
      <c r="B165">
        <v>7</v>
      </c>
      <c r="C165" t="s">
        <v>1170</v>
      </c>
      <c r="D165" t="s">
        <v>1171</v>
      </c>
      <c r="E165" s="143">
        <v>30663</v>
      </c>
      <c r="F165" s="143">
        <v>800</v>
      </c>
      <c r="G165" s="143">
        <v>25200</v>
      </c>
      <c r="H165" s="143">
        <v>4145</v>
      </c>
      <c r="I165" s="143">
        <v>518</v>
      </c>
      <c r="J165" s="143" t="str">
        <f>_xlfn.XLOOKUP(Table1[[#This Row],[Mã xuất]],$M$3:$M$72,$O$3:$O$72)</f>
        <v>MN</v>
      </c>
    </row>
    <row r="166" spans="1:10">
      <c r="A166">
        <v>2025</v>
      </c>
      <c r="B166">
        <v>7</v>
      </c>
      <c r="C166" t="s">
        <v>1086</v>
      </c>
      <c r="D166" t="s">
        <v>1087</v>
      </c>
      <c r="E166" s="143">
        <v>28412.672000000002</v>
      </c>
      <c r="F166" s="143">
        <v>7000</v>
      </c>
      <c r="G166" s="143">
        <v>19500</v>
      </c>
      <c r="H166" s="143">
        <v>1482</v>
      </c>
      <c r="I166" s="143">
        <v>430.6720000000023</v>
      </c>
      <c r="J166" s="143" t="str">
        <f>_xlfn.XLOOKUP(Table1[[#This Row],[Mã xuất]],$M$3:$M$72,$O$3:$O$72)</f>
        <v>MN</v>
      </c>
    </row>
    <row r="167" spans="1:10">
      <c r="A167">
        <v>2025</v>
      </c>
      <c r="B167">
        <v>7</v>
      </c>
      <c r="C167" t="s">
        <v>1094</v>
      </c>
      <c r="D167" t="s">
        <v>1095</v>
      </c>
      <c r="E167" s="143">
        <v>27000</v>
      </c>
      <c r="F167" s="143">
        <v>25200</v>
      </c>
      <c r="G167" s="143">
        <v>700</v>
      </c>
      <c r="H167" s="143">
        <v>900</v>
      </c>
      <c r="I167" s="143">
        <v>200</v>
      </c>
      <c r="J167" s="143" t="str">
        <f>_xlfn.XLOOKUP(Table1[[#This Row],[Mã xuất]],$M$3:$M$72,$O$3:$O$72)</f>
        <v>TSX</v>
      </c>
    </row>
    <row r="168" spans="1:10">
      <c r="A168">
        <v>2025</v>
      </c>
      <c r="B168">
        <v>7</v>
      </c>
      <c r="C168" t="s">
        <v>1116</v>
      </c>
      <c r="D168" t="s">
        <v>1117</v>
      </c>
      <c r="E168" s="143">
        <v>13000</v>
      </c>
      <c r="F168" s="143">
        <v>0</v>
      </c>
      <c r="G168" s="143">
        <v>12506.896551724138</v>
      </c>
      <c r="H168" s="143">
        <v>0</v>
      </c>
      <c r="I168" s="143">
        <v>493.10344827586232</v>
      </c>
      <c r="J168" s="143" t="str">
        <f>_xlfn.XLOOKUP(Table1[[#This Row],[Mã xuất]],$M$3:$M$72,$O$3:$O$72)</f>
        <v>TSX</v>
      </c>
    </row>
    <row r="169" spans="1:10">
      <c r="A169">
        <v>2025</v>
      </c>
      <c r="B169">
        <v>7</v>
      </c>
      <c r="C169" t="s">
        <v>1122</v>
      </c>
      <c r="D169" t="s">
        <v>1123</v>
      </c>
      <c r="E169" s="143">
        <v>11000</v>
      </c>
      <c r="F169" s="143">
        <v>9100</v>
      </c>
      <c r="G169" s="143">
        <v>700</v>
      </c>
      <c r="H169" s="143">
        <v>1000</v>
      </c>
      <c r="I169" s="143">
        <v>200</v>
      </c>
      <c r="J169" s="143" t="str">
        <f>_xlfn.XLOOKUP(Table1[[#This Row],[Mã xuất]],$M$3:$M$72,$O$3:$O$72)</f>
        <v>TSX</v>
      </c>
    </row>
    <row r="170" spans="1:10">
      <c r="A170">
        <v>2025</v>
      </c>
      <c r="B170">
        <v>7</v>
      </c>
      <c r="C170" t="s">
        <v>1100</v>
      </c>
      <c r="D170" t="s">
        <v>1101</v>
      </c>
      <c r="E170" s="143">
        <v>8400</v>
      </c>
      <c r="F170" s="143">
        <v>723.35844994617867</v>
      </c>
      <c r="G170" s="143">
        <v>6826.6953713670609</v>
      </c>
      <c r="H170" s="143">
        <v>704.37029063509146</v>
      </c>
      <c r="I170" s="143">
        <v>145.57588805166904</v>
      </c>
      <c r="J170" s="143" t="str">
        <f>_xlfn.XLOOKUP(Table1[[#This Row],[Mã xuất]],$M$3:$M$72,$O$3:$O$72)</f>
        <v>TSX</v>
      </c>
    </row>
    <row r="171" spans="1:10">
      <c r="A171">
        <v>2025</v>
      </c>
      <c r="B171">
        <v>7</v>
      </c>
      <c r="C171" t="s">
        <v>1112</v>
      </c>
      <c r="D171" t="s">
        <v>1113</v>
      </c>
      <c r="E171" s="143">
        <v>7000</v>
      </c>
      <c r="F171" s="143">
        <v>5000</v>
      </c>
      <c r="G171" s="143">
        <v>2000</v>
      </c>
      <c r="H171" s="143">
        <v>0</v>
      </c>
      <c r="I171" s="143">
        <v>0</v>
      </c>
      <c r="J171" s="143" t="str">
        <f>_xlfn.XLOOKUP(Table1[[#This Row],[Mã xuất]],$M$3:$M$72,$O$3:$O$72)</f>
        <v>TSX</v>
      </c>
    </row>
    <row r="172" spans="1:10">
      <c r="A172">
        <v>2025</v>
      </c>
      <c r="B172">
        <v>7</v>
      </c>
      <c r="C172" t="s">
        <v>1098</v>
      </c>
      <c r="D172" t="s">
        <v>1099</v>
      </c>
      <c r="E172" s="143">
        <v>3200</v>
      </c>
      <c r="F172" s="143">
        <v>0</v>
      </c>
      <c r="G172" s="143">
        <v>3000</v>
      </c>
      <c r="H172" s="143">
        <v>200</v>
      </c>
      <c r="I172" s="143">
        <v>0</v>
      </c>
      <c r="J172" s="143" t="str">
        <f>_xlfn.XLOOKUP(Table1[[#This Row],[Mã xuất]],$M$3:$M$72,$O$3:$O$72)</f>
        <v>MN</v>
      </c>
    </row>
    <row r="173" spans="1:10">
      <c r="A173">
        <v>2025</v>
      </c>
      <c r="B173">
        <v>7</v>
      </c>
      <c r="C173" t="s">
        <v>1144</v>
      </c>
      <c r="D173" t="s">
        <v>1145</v>
      </c>
      <c r="E173" s="143">
        <v>1500</v>
      </c>
      <c r="F173" s="143">
        <v>0</v>
      </c>
      <c r="G173" s="143">
        <v>1443.1034482758621</v>
      </c>
      <c r="H173" s="143">
        <v>0</v>
      </c>
      <c r="I173" s="143">
        <v>56.896551724137908</v>
      </c>
      <c r="J173" s="143" t="str">
        <f>_xlfn.XLOOKUP(Table1[[#This Row],[Mã xuất]],$M$3:$M$72,$O$3:$O$72)</f>
        <v>TSX</v>
      </c>
    </row>
    <row r="174" spans="1:10">
      <c r="A174">
        <v>2025</v>
      </c>
      <c r="B174">
        <v>8</v>
      </c>
      <c r="C174" t="s">
        <v>1078</v>
      </c>
      <c r="D174" t="s">
        <v>1079</v>
      </c>
      <c r="E174" s="143">
        <v>1974846</v>
      </c>
      <c r="F174" s="143">
        <v>949000</v>
      </c>
      <c r="G174" s="143">
        <v>896000</v>
      </c>
      <c r="H174" s="143">
        <v>93085</v>
      </c>
      <c r="I174" s="143">
        <v>36761</v>
      </c>
      <c r="J174" s="143" t="str">
        <f>_xlfn.XLOOKUP(Table1[[#This Row],[Mã xuất]],$M$3:$M$72,$O$3:$O$72)</f>
        <v>MN</v>
      </c>
    </row>
    <row r="175" spans="1:10">
      <c r="A175">
        <v>2025</v>
      </c>
      <c r="B175">
        <v>8</v>
      </c>
      <c r="C175" t="s">
        <v>1092</v>
      </c>
      <c r="D175" t="s">
        <v>1093</v>
      </c>
      <c r="E175" s="143">
        <v>485220</v>
      </c>
      <c r="F175" s="143">
        <v>168000</v>
      </c>
      <c r="G175" s="143">
        <v>287000</v>
      </c>
      <c r="H175" s="143">
        <v>21377</v>
      </c>
      <c r="I175" s="143">
        <v>8843</v>
      </c>
      <c r="J175" s="143" t="str">
        <f>_xlfn.XLOOKUP(Table1[[#This Row],[Mã xuất]],$M$3:$M$72,$O$3:$O$72)</f>
        <v>MN</v>
      </c>
    </row>
    <row r="176" spans="1:10">
      <c r="A176">
        <v>2025</v>
      </c>
      <c r="B176">
        <v>8</v>
      </c>
      <c r="C176" t="s">
        <v>1080</v>
      </c>
      <c r="D176" t="s">
        <v>1081</v>
      </c>
      <c r="E176" s="143">
        <v>414000</v>
      </c>
      <c r="F176" s="143">
        <v>208512.58751359762</v>
      </c>
      <c r="G176" s="143">
        <v>171484.55431200311</v>
      </c>
      <c r="H176" s="143">
        <v>26230.169096703696</v>
      </c>
      <c r="I176" s="143">
        <v>7772.6890776955734</v>
      </c>
      <c r="J176" s="143" t="str">
        <f>_xlfn.XLOOKUP(Table1[[#This Row],[Mã xuất]],$M$3:$M$72,$O$3:$O$72)</f>
        <v>TSX</v>
      </c>
    </row>
    <row r="177" spans="1:10">
      <c r="A177">
        <v>2025</v>
      </c>
      <c r="B177">
        <v>8</v>
      </c>
      <c r="C177" t="s">
        <v>1090</v>
      </c>
      <c r="D177" t="s">
        <v>1091</v>
      </c>
      <c r="E177" s="143">
        <v>325764.99999999994</v>
      </c>
      <c r="F177" s="143">
        <v>173479.61967386666</v>
      </c>
      <c r="G177" s="143">
        <v>94452.694745106841</v>
      </c>
      <c r="H177" s="143">
        <v>52403.789300293036</v>
      </c>
      <c r="I177" s="143">
        <v>5428.8962807334028</v>
      </c>
      <c r="J177" s="143" t="str">
        <f>_xlfn.XLOOKUP(Table1[[#This Row],[Mã xuất]],$M$3:$M$72,$O$3:$O$72)</f>
        <v>MN</v>
      </c>
    </row>
    <row r="178" spans="1:10">
      <c r="A178">
        <v>2025</v>
      </c>
      <c r="B178">
        <v>8</v>
      </c>
      <c r="C178" t="s">
        <v>1082</v>
      </c>
      <c r="D178" t="s">
        <v>1083</v>
      </c>
      <c r="E178" s="143">
        <v>205267</v>
      </c>
      <c r="F178" s="143">
        <v>7000</v>
      </c>
      <c r="G178" s="143">
        <v>180000</v>
      </c>
      <c r="H178" s="143">
        <v>14873</v>
      </c>
      <c r="I178" s="143">
        <v>3394</v>
      </c>
      <c r="J178" s="143" t="str">
        <f>_xlfn.XLOOKUP(Table1[[#This Row],[Mã xuất]],$M$3:$M$72,$O$3:$O$72)</f>
        <v>TSX</v>
      </c>
    </row>
    <row r="179" spans="1:10">
      <c r="A179">
        <v>2025</v>
      </c>
      <c r="B179">
        <v>8</v>
      </c>
      <c r="C179" t="s">
        <v>1086</v>
      </c>
      <c r="D179" t="s">
        <v>1087</v>
      </c>
      <c r="E179" s="143">
        <v>94082</v>
      </c>
      <c r="F179" s="143">
        <v>33500</v>
      </c>
      <c r="G179" s="143">
        <v>55500</v>
      </c>
      <c r="H179" s="143">
        <v>3310</v>
      </c>
      <c r="I179" s="143">
        <v>1772</v>
      </c>
      <c r="J179" s="143" t="str">
        <f>_xlfn.XLOOKUP(Table1[[#This Row],[Mã xuất]],$M$3:$M$72,$O$3:$O$72)</f>
        <v>MN</v>
      </c>
    </row>
    <row r="180" spans="1:10">
      <c r="A180">
        <v>2025</v>
      </c>
      <c r="B180">
        <v>8</v>
      </c>
      <c r="C180" t="s">
        <v>1108</v>
      </c>
      <c r="D180" t="s">
        <v>1109</v>
      </c>
      <c r="E180" s="143">
        <v>78550</v>
      </c>
      <c r="F180" s="143">
        <v>62000</v>
      </c>
      <c r="G180" s="143">
        <v>10000</v>
      </c>
      <c r="H180" s="143">
        <v>5014</v>
      </c>
      <c r="I180" s="143">
        <v>1536</v>
      </c>
      <c r="J180" s="143" t="str">
        <f>_xlfn.XLOOKUP(Table1[[#This Row],[Mã xuất]],$M$3:$M$72,$O$3:$O$72)</f>
        <v>TSX</v>
      </c>
    </row>
    <row r="181" spans="1:10">
      <c r="A181">
        <v>2025</v>
      </c>
      <c r="B181">
        <v>8</v>
      </c>
      <c r="C181" t="s">
        <v>1084</v>
      </c>
      <c r="D181" t="s">
        <v>1085</v>
      </c>
      <c r="E181" s="143">
        <v>68500</v>
      </c>
      <c r="F181" s="143">
        <v>35987.412486402354</v>
      </c>
      <c r="G181" s="143">
        <v>26515.445687996886</v>
      </c>
      <c r="H181" s="143">
        <v>4728.8309032963098</v>
      </c>
      <c r="I181" s="143">
        <v>1268.3109223044503</v>
      </c>
      <c r="J181" s="143" t="str">
        <f>_xlfn.XLOOKUP(Table1[[#This Row],[Mã xuất]],$M$3:$M$72,$O$3:$O$72)</f>
        <v>TSX</v>
      </c>
    </row>
    <row r="182" spans="1:10">
      <c r="A182">
        <v>2025</v>
      </c>
      <c r="B182">
        <v>8</v>
      </c>
      <c r="C182" t="s">
        <v>1110</v>
      </c>
      <c r="D182" t="s">
        <v>1111</v>
      </c>
      <c r="E182" s="143">
        <v>43464</v>
      </c>
      <c r="F182" s="143">
        <v>12500</v>
      </c>
      <c r="G182" s="143">
        <v>28500</v>
      </c>
      <c r="H182" s="143">
        <v>1650</v>
      </c>
      <c r="I182" s="143">
        <v>814</v>
      </c>
      <c r="J182" s="143" t="str">
        <f>_xlfn.XLOOKUP(Table1[[#This Row],[Mã xuất]],$M$3:$M$72,$O$3:$O$72)</f>
        <v>MN</v>
      </c>
    </row>
    <row r="183" spans="1:10">
      <c r="A183">
        <v>2025</v>
      </c>
      <c r="B183">
        <v>8</v>
      </c>
      <c r="C183" t="s">
        <v>1172</v>
      </c>
      <c r="D183" t="s">
        <v>1173</v>
      </c>
      <c r="E183" s="143">
        <v>27200</v>
      </c>
      <c r="F183" s="143">
        <v>20800</v>
      </c>
      <c r="G183" s="143">
        <v>4800</v>
      </c>
      <c r="H183" s="143">
        <v>1056</v>
      </c>
      <c r="I183" s="143">
        <v>544</v>
      </c>
      <c r="J183" s="143" t="str">
        <f>_xlfn.XLOOKUP(Table1[[#This Row],[Mã xuất]],$M$3:$M$72,$O$3:$O$72)</f>
        <v>TSX</v>
      </c>
    </row>
    <row r="184" spans="1:10">
      <c r="A184">
        <v>2025</v>
      </c>
      <c r="B184">
        <v>8</v>
      </c>
      <c r="C184" t="s">
        <v>1094</v>
      </c>
      <c r="D184" t="s">
        <v>1095</v>
      </c>
      <c r="E184" s="143">
        <v>26000</v>
      </c>
      <c r="F184" s="143">
        <v>24444.403567447047</v>
      </c>
      <c r="G184" s="143">
        <v>437.5</v>
      </c>
      <c r="H184" s="143">
        <v>733.75</v>
      </c>
      <c r="I184" s="143">
        <v>384.34643255295305</v>
      </c>
      <c r="J184" s="143" t="str">
        <f>_xlfn.XLOOKUP(Table1[[#This Row],[Mã xuất]],$M$3:$M$72,$O$3:$O$72)</f>
        <v>TSX</v>
      </c>
    </row>
    <row r="185" spans="1:10">
      <c r="A185">
        <v>2025</v>
      </c>
      <c r="B185">
        <v>8</v>
      </c>
      <c r="C185" t="s">
        <v>1130</v>
      </c>
      <c r="D185" t="s">
        <v>1131</v>
      </c>
      <c r="E185" s="143">
        <v>26000</v>
      </c>
      <c r="F185" s="143">
        <v>2197.1830985915494</v>
      </c>
      <c r="G185" s="143">
        <v>21971.830985915494</v>
      </c>
      <c r="H185" s="143">
        <v>1684.5070422535211</v>
      </c>
      <c r="I185" s="143">
        <v>146.47887323943337</v>
      </c>
      <c r="J185" s="143" t="str">
        <f>_xlfn.XLOOKUP(Table1[[#This Row],[Mã xuất]],$M$3:$M$72,$O$3:$O$72)</f>
        <v>TSX</v>
      </c>
    </row>
    <row r="186" spans="1:10">
      <c r="A186">
        <v>2025</v>
      </c>
      <c r="B186">
        <v>8</v>
      </c>
      <c r="C186" t="s">
        <v>1128</v>
      </c>
      <c r="D186" t="s">
        <v>1129</v>
      </c>
      <c r="E186" s="143">
        <v>24879</v>
      </c>
      <c r="F186" s="143">
        <v>0</v>
      </c>
      <c r="G186" s="143">
        <v>21300</v>
      </c>
      <c r="H186" s="143">
        <v>3100</v>
      </c>
      <c r="I186" s="143">
        <v>479</v>
      </c>
      <c r="J186" s="143" t="str">
        <f>_xlfn.XLOOKUP(Table1[[#This Row],[Mã xuất]],$M$3:$M$72,$O$3:$O$72)</f>
        <v>Unknown</v>
      </c>
    </row>
    <row r="187" spans="1:10">
      <c r="A187">
        <v>2025</v>
      </c>
      <c r="B187">
        <v>8</v>
      </c>
      <c r="C187" t="s">
        <v>1126</v>
      </c>
      <c r="D187" t="s">
        <v>1127</v>
      </c>
      <c r="E187" s="143">
        <v>9500</v>
      </c>
      <c r="F187" s="143">
        <v>802.81690140845069</v>
      </c>
      <c r="G187" s="143">
        <v>8028.1690140845076</v>
      </c>
      <c r="H187" s="143">
        <v>615.49295774647885</v>
      </c>
      <c r="I187" s="143">
        <v>53.521126760562993</v>
      </c>
      <c r="J187" s="143" t="str">
        <f>_xlfn.XLOOKUP(Table1[[#This Row],[Mã xuất]],$M$3:$M$72,$O$3:$O$72)</f>
        <v>TSX</v>
      </c>
    </row>
    <row r="188" spans="1:10">
      <c r="A188">
        <v>2025</v>
      </c>
      <c r="B188">
        <v>8</v>
      </c>
      <c r="C188" t="s">
        <v>1176</v>
      </c>
      <c r="D188" t="s">
        <v>1177</v>
      </c>
      <c r="E188" s="143">
        <v>8200</v>
      </c>
      <c r="F188" s="143">
        <v>7445.596432552954</v>
      </c>
      <c r="G188" s="143">
        <v>262.5</v>
      </c>
      <c r="H188" s="143">
        <v>356.25</v>
      </c>
      <c r="I188" s="143">
        <v>135.65356744704604</v>
      </c>
      <c r="J188" s="143" t="str">
        <f>_xlfn.XLOOKUP(Table1[[#This Row],[Mã xuất]],$M$3:$M$72,$O$3:$O$72)</f>
        <v>TSX</v>
      </c>
    </row>
    <row r="189" spans="1:10">
      <c r="A189">
        <v>2025</v>
      </c>
      <c r="B189">
        <v>8</v>
      </c>
      <c r="C189" t="s">
        <v>1096</v>
      </c>
      <c r="D189" t="s">
        <v>1097</v>
      </c>
      <c r="E189" s="143">
        <v>5000</v>
      </c>
      <c r="F189" s="143">
        <v>3000</v>
      </c>
      <c r="G189" s="143">
        <v>0</v>
      </c>
      <c r="H189" s="143">
        <v>1800</v>
      </c>
      <c r="I189" s="143">
        <v>200</v>
      </c>
      <c r="J189" s="143" t="str">
        <f>_xlfn.XLOOKUP(Table1[[#This Row],[Mã xuất]],$M$3:$M$72,$O$3:$O$72)</f>
        <v>TSX</v>
      </c>
    </row>
    <row r="190" spans="1:10">
      <c r="A190">
        <v>2025</v>
      </c>
      <c r="B190">
        <v>9</v>
      </c>
      <c r="C190" t="s">
        <v>1078</v>
      </c>
      <c r="D190" t="s">
        <v>1079</v>
      </c>
      <c r="E190" s="143">
        <v>641276</v>
      </c>
      <c r="F190" s="143">
        <v>272000</v>
      </c>
      <c r="G190" s="143">
        <v>347500</v>
      </c>
      <c r="H190" s="143">
        <v>9148</v>
      </c>
      <c r="I190" s="143">
        <v>12628</v>
      </c>
      <c r="J190" s="143" t="str">
        <f>_xlfn.XLOOKUP(Table1[[#This Row],[Mã xuất]],$M$3:$M$72,$O$3:$O$72)</f>
        <v>MN</v>
      </c>
    </row>
    <row r="191" spans="1:10">
      <c r="A191">
        <v>2025</v>
      </c>
      <c r="B191">
        <v>9</v>
      </c>
      <c r="C191" t="s">
        <v>1108</v>
      </c>
      <c r="D191" t="s">
        <v>1109</v>
      </c>
      <c r="E191" s="143">
        <v>276750.00000000006</v>
      </c>
      <c r="F191" s="143">
        <v>215982.72739034804</v>
      </c>
      <c r="G191" s="143">
        <v>43986.673567085003</v>
      </c>
      <c r="H191" s="143">
        <v>11387.264329149955</v>
      </c>
      <c r="I191" s="143">
        <v>5393.3347134170617</v>
      </c>
      <c r="J191" s="143" t="str">
        <f>_xlfn.XLOOKUP(Table1[[#This Row],[Mã xuất]],$M$3:$M$72,$O$3:$O$72)</f>
        <v>TSX</v>
      </c>
    </row>
    <row r="192" spans="1:10">
      <c r="A192">
        <v>2025</v>
      </c>
      <c r="B192">
        <v>9</v>
      </c>
      <c r="C192" t="s">
        <v>1080</v>
      </c>
      <c r="D192" t="s">
        <v>1081</v>
      </c>
      <c r="E192" s="143">
        <v>263300</v>
      </c>
      <c r="F192" s="143">
        <v>90631.854316908648</v>
      </c>
      <c r="G192" s="143">
        <v>149756.47686879517</v>
      </c>
      <c r="H192" s="143">
        <v>18850.195492881332</v>
      </c>
      <c r="I192" s="143">
        <v>4061.4733214148619</v>
      </c>
      <c r="J192" s="143" t="str">
        <f>_xlfn.XLOOKUP(Table1[[#This Row],[Mã xuất]],$M$3:$M$72,$O$3:$O$72)</f>
        <v>TSX</v>
      </c>
    </row>
    <row r="193" spans="1:10">
      <c r="A193">
        <v>2025</v>
      </c>
      <c r="B193">
        <v>9</v>
      </c>
      <c r="C193" t="s">
        <v>1092</v>
      </c>
      <c r="D193" t="s">
        <v>1093</v>
      </c>
      <c r="E193" s="143">
        <v>235492</v>
      </c>
      <c r="F193" s="143">
        <v>93000</v>
      </c>
      <c r="G193" s="143">
        <v>129000</v>
      </c>
      <c r="H193" s="143">
        <v>8849</v>
      </c>
      <c r="I193" s="143">
        <v>4643</v>
      </c>
      <c r="J193" s="143" t="str">
        <f>_xlfn.XLOOKUP(Table1[[#This Row],[Mã xuất]],$M$3:$M$72,$O$3:$O$72)</f>
        <v>MN</v>
      </c>
    </row>
    <row r="194" spans="1:10">
      <c r="A194">
        <v>2025</v>
      </c>
      <c r="B194">
        <v>9</v>
      </c>
      <c r="C194" t="s">
        <v>1082</v>
      </c>
      <c r="D194" t="s">
        <v>1083</v>
      </c>
      <c r="E194" s="143">
        <v>207800</v>
      </c>
      <c r="F194" s="143">
        <v>24500</v>
      </c>
      <c r="G194" s="143">
        <v>161575</v>
      </c>
      <c r="H194" s="143">
        <v>17938</v>
      </c>
      <c r="I194" s="143">
        <v>3787</v>
      </c>
      <c r="J194" s="143" t="str">
        <f>_xlfn.XLOOKUP(Table1[[#This Row],[Mã xuất]],$M$3:$M$72,$O$3:$O$72)</f>
        <v>TSX</v>
      </c>
    </row>
    <row r="195" spans="1:10">
      <c r="A195">
        <v>2025</v>
      </c>
      <c r="B195">
        <v>9</v>
      </c>
      <c r="C195" t="s">
        <v>1110</v>
      </c>
      <c r="D195" t="s">
        <v>1111</v>
      </c>
      <c r="E195" s="143">
        <v>168772</v>
      </c>
      <c r="F195" s="143">
        <v>92000</v>
      </c>
      <c r="G195" s="143">
        <v>68500</v>
      </c>
      <c r="H195" s="143">
        <v>5568</v>
      </c>
      <c r="I195" s="143">
        <v>2704</v>
      </c>
      <c r="J195" s="143" t="str">
        <f>_xlfn.XLOOKUP(Table1[[#This Row],[Mã xuất]],$M$3:$M$72,$O$3:$O$72)</f>
        <v>MN</v>
      </c>
    </row>
    <row r="196" spans="1:10">
      <c r="A196">
        <v>2025</v>
      </c>
      <c r="B196">
        <v>9</v>
      </c>
      <c r="C196" t="s">
        <v>1090</v>
      </c>
      <c r="D196" t="s">
        <v>1091</v>
      </c>
      <c r="E196" s="143">
        <v>168564.99999999994</v>
      </c>
      <c r="F196" s="143">
        <v>86351.533272659231</v>
      </c>
      <c r="G196" s="143">
        <v>49803.787781218358</v>
      </c>
      <c r="H196" s="143">
        <v>29091.736307920477</v>
      </c>
      <c r="I196" s="143">
        <v>3317.9426382018755</v>
      </c>
      <c r="J196" s="143" t="str">
        <f>_xlfn.XLOOKUP(Table1[[#This Row],[Mã xuất]],$M$3:$M$72,$O$3:$O$72)</f>
        <v>MN</v>
      </c>
    </row>
    <row r="197" spans="1:10">
      <c r="A197">
        <v>2025</v>
      </c>
      <c r="B197">
        <v>9</v>
      </c>
      <c r="C197" t="s">
        <v>1084</v>
      </c>
      <c r="D197" t="s">
        <v>1085</v>
      </c>
      <c r="E197" s="143">
        <v>124500</v>
      </c>
      <c r="F197" s="143">
        <v>42868.145683091345</v>
      </c>
      <c r="G197" s="143">
        <v>72243.523131204827</v>
      </c>
      <c r="H197" s="143">
        <v>7586.8045071186662</v>
      </c>
      <c r="I197" s="143">
        <v>1801.5266785851691</v>
      </c>
      <c r="J197" s="143" t="str">
        <f>_xlfn.XLOOKUP(Table1[[#This Row],[Mã xuất]],$M$3:$M$72,$O$3:$O$72)</f>
        <v>TSX</v>
      </c>
    </row>
    <row r="198" spans="1:10">
      <c r="A198">
        <v>2025</v>
      </c>
      <c r="B198">
        <v>9</v>
      </c>
      <c r="C198" t="s">
        <v>1128</v>
      </c>
      <c r="D198" t="s">
        <v>1129</v>
      </c>
      <c r="E198" s="143">
        <v>112300</v>
      </c>
      <c r="F198" s="143">
        <v>0</v>
      </c>
      <c r="G198" s="143">
        <v>104000</v>
      </c>
      <c r="H198" s="143">
        <v>5850</v>
      </c>
      <c r="I198" s="143">
        <v>2450</v>
      </c>
      <c r="J198" s="143" t="str">
        <f>_xlfn.XLOOKUP(Table1[[#This Row],[Mã xuất]],$M$3:$M$72,$O$3:$O$72)</f>
        <v>Unknown</v>
      </c>
    </row>
    <row r="199" spans="1:10">
      <c r="A199">
        <v>2025</v>
      </c>
      <c r="B199">
        <v>9</v>
      </c>
      <c r="C199" t="s">
        <v>1086</v>
      </c>
      <c r="D199" t="s">
        <v>1087</v>
      </c>
      <c r="E199" s="143">
        <v>84272</v>
      </c>
      <c r="F199" s="143">
        <v>44000</v>
      </c>
      <c r="G199" s="143">
        <v>38000</v>
      </c>
      <c r="H199" s="143">
        <v>1000</v>
      </c>
      <c r="I199" s="143">
        <v>1272</v>
      </c>
      <c r="J199" s="143" t="str">
        <f>_xlfn.XLOOKUP(Table1[[#This Row],[Mã xuất]],$M$3:$M$72,$O$3:$O$72)</f>
        <v>MN</v>
      </c>
    </row>
    <row r="200" spans="1:10">
      <c r="A200">
        <v>2025</v>
      </c>
      <c r="B200">
        <v>9</v>
      </c>
      <c r="C200" t="s">
        <v>1138</v>
      </c>
      <c r="D200" t="s">
        <v>1139</v>
      </c>
      <c r="E200" s="143">
        <v>82580</v>
      </c>
      <c r="F200" s="143">
        <v>70517.272609651962</v>
      </c>
      <c r="G200" s="143">
        <v>8013.3264329149952</v>
      </c>
      <c r="H200" s="143">
        <v>2446.7356708500456</v>
      </c>
      <c r="I200" s="143">
        <v>1602.6652865829974</v>
      </c>
      <c r="J200" s="143" t="str">
        <f>_xlfn.XLOOKUP(Table1[[#This Row],[Mã xuất]],$M$3:$M$72,$O$3:$O$72)</f>
        <v>TSX</v>
      </c>
    </row>
    <row r="201" spans="1:10">
      <c r="A201">
        <v>2025</v>
      </c>
      <c r="B201">
        <v>9</v>
      </c>
      <c r="C201" t="s">
        <v>1094</v>
      </c>
      <c r="D201" t="s">
        <v>1095</v>
      </c>
      <c r="E201" s="143">
        <v>44300</v>
      </c>
      <c r="F201" s="143">
        <v>38200</v>
      </c>
      <c r="G201" s="143">
        <v>5400</v>
      </c>
      <c r="H201" s="143">
        <v>210</v>
      </c>
      <c r="I201" s="143">
        <v>490</v>
      </c>
      <c r="J201" s="143" t="str">
        <f>_xlfn.XLOOKUP(Table1[[#This Row],[Mã xuất]],$M$3:$M$72,$O$3:$O$72)</f>
        <v>TSX</v>
      </c>
    </row>
    <row r="202" spans="1:10">
      <c r="A202">
        <v>2025</v>
      </c>
      <c r="B202">
        <v>9</v>
      </c>
      <c r="C202" t="s">
        <v>1116</v>
      </c>
      <c r="D202" t="s">
        <v>1117</v>
      </c>
      <c r="E202" s="143">
        <v>35000</v>
      </c>
      <c r="F202" s="143">
        <v>0</v>
      </c>
      <c r="G202" s="143">
        <v>32941.176470588238</v>
      </c>
      <c r="H202" s="143">
        <v>1421.4117647058822</v>
      </c>
      <c r="I202" s="143">
        <v>637.41176470587993</v>
      </c>
      <c r="J202" s="143" t="str">
        <f>_xlfn.XLOOKUP(Table1[[#This Row],[Mã xuất]],$M$3:$M$72,$O$3:$O$72)</f>
        <v>TSX</v>
      </c>
    </row>
    <row r="203" spans="1:10">
      <c r="A203">
        <v>2025</v>
      </c>
      <c r="B203">
        <v>9</v>
      </c>
      <c r="C203" t="s">
        <v>1182</v>
      </c>
      <c r="D203" t="s">
        <v>1183</v>
      </c>
      <c r="E203" s="143">
        <v>30500</v>
      </c>
      <c r="F203" s="143">
        <v>28000</v>
      </c>
      <c r="G203" s="143">
        <v>1000</v>
      </c>
      <c r="H203" s="143">
        <v>1100</v>
      </c>
      <c r="I203" s="143">
        <v>400</v>
      </c>
      <c r="J203" s="143" t="str">
        <f>_xlfn.XLOOKUP(Table1[[#This Row],[Mã xuất]],$M$3:$M$72,$O$3:$O$72)</f>
        <v>Unknown</v>
      </c>
    </row>
    <row r="204" spans="1:10">
      <c r="A204">
        <v>2025</v>
      </c>
      <c r="B204">
        <v>9</v>
      </c>
      <c r="C204" t="s">
        <v>1088</v>
      </c>
      <c r="D204" t="s">
        <v>1089</v>
      </c>
      <c r="E204" s="143">
        <v>16100</v>
      </c>
      <c r="F204" s="143">
        <v>0</v>
      </c>
      <c r="G204" s="143">
        <v>15000</v>
      </c>
      <c r="H204" s="143">
        <v>790</v>
      </c>
      <c r="I204" s="143">
        <v>310</v>
      </c>
      <c r="J204" s="143" t="str">
        <f>_xlfn.XLOOKUP(Table1[[#This Row],[Mã xuất]],$M$3:$M$72,$O$3:$O$72)</f>
        <v>TSX</v>
      </c>
    </row>
    <row r="205" spans="1:10">
      <c r="A205">
        <v>2025</v>
      </c>
      <c r="B205">
        <v>9</v>
      </c>
      <c r="C205" t="s">
        <v>1144</v>
      </c>
      <c r="D205" t="s">
        <v>1145</v>
      </c>
      <c r="E205" s="143">
        <v>7500</v>
      </c>
      <c r="F205" s="143">
        <v>0</v>
      </c>
      <c r="G205" s="143">
        <v>7058.8235294117649</v>
      </c>
      <c r="H205" s="143">
        <v>304.58823529411768</v>
      </c>
      <c r="I205" s="143">
        <v>136.58823529411745</v>
      </c>
      <c r="J205" s="143" t="str">
        <f>_xlfn.XLOOKUP(Table1[[#This Row],[Mã xuất]],$M$3:$M$72,$O$3:$O$72)</f>
        <v>TSX</v>
      </c>
    </row>
    <row r="206" spans="1:10">
      <c r="A206">
        <v>2025</v>
      </c>
      <c r="B206">
        <v>9</v>
      </c>
      <c r="C206" t="s">
        <v>1098</v>
      </c>
      <c r="D206" t="s">
        <v>1099</v>
      </c>
      <c r="E206" s="143">
        <v>4500</v>
      </c>
      <c r="F206" s="143">
        <v>2500</v>
      </c>
      <c r="G206" s="143">
        <v>2000</v>
      </c>
      <c r="H206" s="143">
        <v>0</v>
      </c>
      <c r="I206" s="143">
        <v>0</v>
      </c>
      <c r="J206" s="143" t="str">
        <f>_xlfn.XLOOKUP(Table1[[#This Row],[Mã xuất]],$M$3:$M$72,$O$3:$O$72)</f>
        <v>MN</v>
      </c>
    </row>
    <row r="207" spans="1:10">
      <c r="A207">
        <v>2025</v>
      </c>
      <c r="B207">
        <v>9</v>
      </c>
      <c r="C207" t="s">
        <v>1176</v>
      </c>
      <c r="D207" t="s">
        <v>1177</v>
      </c>
      <c r="E207" s="143">
        <v>500</v>
      </c>
      <c r="F207" s="143">
        <v>500</v>
      </c>
      <c r="G207" s="143">
        <v>0</v>
      </c>
      <c r="H207" s="143">
        <v>0</v>
      </c>
      <c r="I207" s="143">
        <v>0</v>
      </c>
      <c r="J207" s="143" t="str">
        <f>_xlfn.XLOOKUP(Table1[[#This Row],[Mã xuất]],$M$3:$M$72,$O$3:$O$72)</f>
        <v>TSX</v>
      </c>
    </row>
    <row r="208" spans="1:10">
      <c r="A208">
        <v>2025</v>
      </c>
      <c r="B208">
        <v>10</v>
      </c>
      <c r="C208" t="s">
        <v>1078</v>
      </c>
      <c r="D208" t="s">
        <v>1079</v>
      </c>
      <c r="E208" s="143">
        <v>1137212</v>
      </c>
      <c r="F208" s="143">
        <v>444500</v>
      </c>
      <c r="G208" s="143">
        <v>622000</v>
      </c>
      <c r="H208" s="143">
        <v>50340</v>
      </c>
      <c r="I208" s="143">
        <v>20372</v>
      </c>
      <c r="J208" s="143" t="str">
        <f>_xlfn.XLOOKUP(Table1[[#This Row],[Mã xuất]],$M$3:$M$72,$O$3:$O$72)</f>
        <v>MN</v>
      </c>
    </row>
    <row r="209" spans="1:10">
      <c r="A209">
        <v>2025</v>
      </c>
      <c r="B209">
        <v>10</v>
      </c>
      <c r="C209" t="s">
        <v>1080</v>
      </c>
      <c r="D209" t="s">
        <v>1081</v>
      </c>
      <c r="E209" s="143">
        <v>915199.99999999965</v>
      </c>
      <c r="F209" s="143">
        <v>414764.88244747987</v>
      </c>
      <c r="G209" s="143">
        <v>405587.82643597748</v>
      </c>
      <c r="H209" s="143">
        <v>79037.995674944934</v>
      </c>
      <c r="I209" s="143">
        <v>15809.295441597365</v>
      </c>
      <c r="J209" s="143" t="str">
        <f>_xlfn.XLOOKUP(Table1[[#This Row],[Mã xuất]],$M$3:$M$72,$O$3:$O$72)</f>
        <v>TSX</v>
      </c>
    </row>
    <row r="210" spans="1:10">
      <c r="A210">
        <v>2025</v>
      </c>
      <c r="B210">
        <v>10</v>
      </c>
      <c r="C210" t="s">
        <v>1138</v>
      </c>
      <c r="D210" t="s">
        <v>1139</v>
      </c>
      <c r="E210" s="143">
        <v>541099.99999999988</v>
      </c>
      <c r="F210" s="143">
        <v>453249.82845423889</v>
      </c>
      <c r="G210" s="143">
        <v>49605.458851745781</v>
      </c>
      <c r="H210" s="143">
        <v>27775.024176216099</v>
      </c>
      <c r="I210" s="143">
        <v>10469.688517799117</v>
      </c>
      <c r="J210" s="143" t="str">
        <f>_xlfn.XLOOKUP(Table1[[#This Row],[Mã xuất]],$M$3:$M$72,$O$3:$O$72)</f>
        <v>TSX</v>
      </c>
    </row>
    <row r="211" spans="1:10">
      <c r="A211">
        <v>2025</v>
      </c>
      <c r="B211">
        <v>10</v>
      </c>
      <c r="C211" t="s">
        <v>1108</v>
      </c>
      <c r="D211" t="s">
        <v>1109</v>
      </c>
      <c r="E211" s="143">
        <v>538800.00000000023</v>
      </c>
      <c r="F211" s="143">
        <v>423365.46596415684</v>
      </c>
      <c r="G211" s="143">
        <v>81574.866378202278</v>
      </c>
      <c r="H211" s="143">
        <v>23272.870800851928</v>
      </c>
      <c r="I211" s="143">
        <v>10586.796856789184</v>
      </c>
      <c r="J211" s="143" t="str">
        <f>_xlfn.XLOOKUP(Table1[[#This Row],[Mã xuất]],$M$3:$M$72,$O$3:$O$72)</f>
        <v>TSX</v>
      </c>
    </row>
    <row r="212" spans="1:10">
      <c r="A212">
        <v>2025</v>
      </c>
      <c r="B212">
        <v>10</v>
      </c>
      <c r="C212" t="s">
        <v>1082</v>
      </c>
      <c r="D212" t="s">
        <v>1083</v>
      </c>
      <c r="E212" s="143">
        <v>405000</v>
      </c>
      <c r="F212" s="143">
        <v>94000</v>
      </c>
      <c r="G212" s="143">
        <v>268500</v>
      </c>
      <c r="H212" s="143">
        <v>34703</v>
      </c>
      <c r="I212" s="143">
        <v>7797</v>
      </c>
      <c r="J212" s="143" t="str">
        <f>_xlfn.XLOOKUP(Table1[[#This Row],[Mã xuất]],$M$3:$M$72,$O$3:$O$72)</f>
        <v>TSX</v>
      </c>
    </row>
    <row r="213" spans="1:10">
      <c r="A213">
        <v>2025</v>
      </c>
      <c r="B213">
        <v>10</v>
      </c>
      <c r="C213" t="s">
        <v>1084</v>
      </c>
      <c r="D213" t="s">
        <v>1085</v>
      </c>
      <c r="E213" s="143">
        <v>326999.99999999994</v>
      </c>
      <c r="F213" s="143">
        <v>178735.11755252018</v>
      </c>
      <c r="G213" s="143">
        <v>113412.17356402249</v>
      </c>
      <c r="H213" s="143">
        <v>29031.004325055063</v>
      </c>
      <c r="I213" s="143">
        <v>5821.7045584022017</v>
      </c>
      <c r="J213" s="143" t="str">
        <f>_xlfn.XLOOKUP(Table1[[#This Row],[Mã xuất]],$M$3:$M$72,$O$3:$O$72)</f>
        <v>TSX</v>
      </c>
    </row>
    <row r="214" spans="1:10">
      <c r="A214">
        <v>2025</v>
      </c>
      <c r="B214">
        <v>10</v>
      </c>
      <c r="C214" t="s">
        <v>1090</v>
      </c>
      <c r="D214" t="s">
        <v>1091</v>
      </c>
      <c r="E214" s="143">
        <v>195679.00000000003</v>
      </c>
      <c r="F214" s="143">
        <v>114507.63504178265</v>
      </c>
      <c r="G214" s="143">
        <v>38744.168155001309</v>
      </c>
      <c r="H214" s="143">
        <v>38718.710522258567</v>
      </c>
      <c r="I214" s="143">
        <v>3708.4862809575061</v>
      </c>
      <c r="J214" s="143" t="str">
        <f>_xlfn.XLOOKUP(Table1[[#This Row],[Mã xuất]],$M$3:$M$72,$O$3:$O$72)</f>
        <v>MN</v>
      </c>
    </row>
    <row r="215" spans="1:10">
      <c r="A215">
        <v>2025</v>
      </c>
      <c r="B215">
        <v>10</v>
      </c>
      <c r="C215" t="s">
        <v>1092</v>
      </c>
      <c r="D215" t="s">
        <v>1093</v>
      </c>
      <c r="E215" s="143">
        <v>175564.00000000003</v>
      </c>
      <c r="F215" s="143">
        <v>51000</v>
      </c>
      <c r="G215" s="143">
        <v>110500</v>
      </c>
      <c r="H215" s="143">
        <v>10698</v>
      </c>
      <c r="I215" s="143">
        <v>3366.0000000000291</v>
      </c>
      <c r="J215" s="143" t="str">
        <f>_xlfn.XLOOKUP(Table1[[#This Row],[Mã xuất]],$M$3:$M$72,$O$3:$O$72)</f>
        <v>MN</v>
      </c>
    </row>
    <row r="216" spans="1:10">
      <c r="A216">
        <v>2025</v>
      </c>
      <c r="B216">
        <v>10</v>
      </c>
      <c r="C216" t="s">
        <v>1128</v>
      </c>
      <c r="D216" t="s">
        <v>1129</v>
      </c>
      <c r="E216" s="143">
        <v>168100</v>
      </c>
      <c r="F216" s="143">
        <v>1500</v>
      </c>
      <c r="G216" s="143">
        <v>137400</v>
      </c>
      <c r="H216" s="143">
        <v>25999</v>
      </c>
      <c r="I216" s="143">
        <v>3201</v>
      </c>
      <c r="J216" s="143" t="str">
        <f>_xlfn.XLOOKUP(Table1[[#This Row],[Mã xuất]],$M$3:$M$72,$O$3:$O$72)</f>
        <v>Unknown</v>
      </c>
    </row>
    <row r="217" spans="1:10">
      <c r="A217">
        <v>2025</v>
      </c>
      <c r="B217">
        <v>10</v>
      </c>
      <c r="C217" t="s">
        <v>1140</v>
      </c>
      <c r="D217" t="s">
        <v>1141</v>
      </c>
      <c r="E217" s="143">
        <v>113700</v>
      </c>
      <c r="F217" s="143">
        <v>91558.711913297724</v>
      </c>
      <c r="G217" s="143">
        <v>12785.588499037774</v>
      </c>
      <c r="H217" s="143">
        <v>7124.8280672187429</v>
      </c>
      <c r="I217" s="143">
        <v>2230.8715204457585</v>
      </c>
      <c r="J217" s="143" t="str">
        <f>_xlfn.XLOOKUP(Table1[[#This Row],[Mã xuất]],$M$3:$M$72,$O$3:$O$72)</f>
        <v>TSX</v>
      </c>
    </row>
    <row r="218" spans="1:10">
      <c r="A218">
        <v>2025</v>
      </c>
      <c r="B218">
        <v>10</v>
      </c>
      <c r="C218" t="s">
        <v>1184</v>
      </c>
      <c r="D218" t="s">
        <v>1185</v>
      </c>
      <c r="E218" s="143">
        <v>101550.00000000001</v>
      </c>
      <c r="F218" s="143">
        <v>92043.728135932033</v>
      </c>
      <c r="G218" s="143">
        <v>3001.4992503748126</v>
      </c>
      <c r="H218" s="143">
        <v>4503.7981009495252</v>
      </c>
      <c r="I218" s="143">
        <v>2000.9745127436436</v>
      </c>
      <c r="J218" s="143" t="str">
        <f>_xlfn.XLOOKUP(Table1[[#This Row],[Mã xuất]],$M$3:$M$72,$O$3:$O$72)</f>
        <v>TSX</v>
      </c>
    </row>
    <row r="219" spans="1:10">
      <c r="A219">
        <v>2025</v>
      </c>
      <c r="B219">
        <v>10</v>
      </c>
      <c r="C219" t="s">
        <v>1098</v>
      </c>
      <c r="D219" t="s">
        <v>1099</v>
      </c>
      <c r="E219" s="143">
        <v>88999.999999999985</v>
      </c>
      <c r="F219" s="143">
        <v>56000</v>
      </c>
      <c r="G219" s="143">
        <v>31000</v>
      </c>
      <c r="H219" s="143">
        <v>650</v>
      </c>
      <c r="I219" s="143">
        <v>1349.9999999999854</v>
      </c>
      <c r="J219" s="143" t="str">
        <f>_xlfn.XLOOKUP(Table1[[#This Row],[Mã xuất]],$M$3:$M$72,$O$3:$O$72)</f>
        <v>MN</v>
      </c>
    </row>
    <row r="220" spans="1:10">
      <c r="A220">
        <v>2025</v>
      </c>
      <c r="B220">
        <v>10</v>
      </c>
      <c r="C220" t="s">
        <v>1112</v>
      </c>
      <c r="D220" t="s">
        <v>1113</v>
      </c>
      <c r="E220" s="143">
        <v>73499.999999999985</v>
      </c>
      <c r="F220" s="143">
        <v>58782.265532374389</v>
      </c>
      <c r="G220" s="143">
        <v>10532.587020639354</v>
      </c>
      <c r="H220" s="143">
        <v>2763.4788547636999</v>
      </c>
      <c r="I220" s="143">
        <v>1421.6685922225424</v>
      </c>
      <c r="J220" s="143" t="str">
        <f>_xlfn.XLOOKUP(Table1[[#This Row],[Mã xuất]],$M$3:$M$72,$O$3:$O$72)</f>
        <v>TSX</v>
      </c>
    </row>
    <row r="221" spans="1:10">
      <c r="A221">
        <v>2025</v>
      </c>
      <c r="B221">
        <v>10</v>
      </c>
      <c r="C221" t="s">
        <v>1086</v>
      </c>
      <c r="D221" t="s">
        <v>1087</v>
      </c>
      <c r="E221" s="143">
        <v>72150</v>
      </c>
      <c r="F221" s="143">
        <v>35000</v>
      </c>
      <c r="G221" s="143">
        <v>30000</v>
      </c>
      <c r="H221" s="143">
        <v>5704</v>
      </c>
      <c r="I221" s="143">
        <v>1446</v>
      </c>
      <c r="J221" s="143" t="str">
        <f>_xlfn.XLOOKUP(Table1[[#This Row],[Mã xuất]],$M$3:$M$72,$O$3:$O$72)</f>
        <v>MN</v>
      </c>
    </row>
    <row r="222" spans="1:10">
      <c r="A222">
        <v>2025</v>
      </c>
      <c r="B222">
        <v>10</v>
      </c>
      <c r="C222" t="s">
        <v>1124</v>
      </c>
      <c r="D222" t="s">
        <v>1125</v>
      </c>
      <c r="E222" s="143">
        <v>62747</v>
      </c>
      <c r="F222" s="143">
        <v>12328.547311276423</v>
      </c>
      <c r="G222" s="143">
        <v>44880.132420465154</v>
      </c>
      <c r="H222" s="143">
        <v>4363.1824841261196</v>
      </c>
      <c r="I222" s="143">
        <v>1175.1377841323038</v>
      </c>
      <c r="J222" s="143" t="str">
        <f>_xlfn.XLOOKUP(Table1[[#This Row],[Mã xuất]],$M$3:$M$72,$O$3:$O$72)</f>
        <v>TSX</v>
      </c>
    </row>
    <row r="223" spans="1:10">
      <c r="A223">
        <v>2025</v>
      </c>
      <c r="B223">
        <v>10</v>
      </c>
      <c r="C223" t="s">
        <v>1094</v>
      </c>
      <c r="D223" t="s">
        <v>1095</v>
      </c>
      <c r="E223" s="143">
        <v>59699.999999999993</v>
      </c>
      <c r="F223" s="143">
        <v>49617.587641117054</v>
      </c>
      <c r="G223" s="143">
        <v>9055.13963161022</v>
      </c>
      <c r="H223" s="143">
        <v>783.01587301587301</v>
      </c>
      <c r="I223" s="143">
        <v>244.25685425684583</v>
      </c>
      <c r="J223" s="143" t="str">
        <f>_xlfn.XLOOKUP(Table1[[#This Row],[Mã xuất]],$M$3:$M$72,$O$3:$O$72)</f>
        <v>TSX</v>
      </c>
    </row>
    <row r="224" spans="1:10">
      <c r="A224">
        <v>2025</v>
      </c>
      <c r="B224">
        <v>10</v>
      </c>
      <c r="C224" t="s">
        <v>1116</v>
      </c>
      <c r="D224" t="s">
        <v>1117</v>
      </c>
      <c r="E224" s="143">
        <v>57500</v>
      </c>
      <c r="F224" s="143">
        <v>0</v>
      </c>
      <c r="G224" s="143">
        <v>50030.612244897959</v>
      </c>
      <c r="H224" s="143">
        <v>6481.4285714285716</v>
      </c>
      <c r="I224" s="143">
        <v>987.95918367346985</v>
      </c>
      <c r="J224" s="143" t="str">
        <f>_xlfn.XLOOKUP(Table1[[#This Row],[Mã xuất]],$M$3:$M$72,$O$3:$O$72)</f>
        <v>TSX</v>
      </c>
    </row>
    <row r="225" spans="1:10">
      <c r="A225">
        <v>2025</v>
      </c>
      <c r="B225">
        <v>10</v>
      </c>
      <c r="C225" t="s">
        <v>1110</v>
      </c>
      <c r="D225" t="s">
        <v>1111</v>
      </c>
      <c r="E225" s="143">
        <v>52580</v>
      </c>
      <c r="F225" s="143">
        <v>19000</v>
      </c>
      <c r="G225" s="143">
        <v>28000</v>
      </c>
      <c r="H225" s="143">
        <v>4600</v>
      </c>
      <c r="I225" s="143">
        <v>980</v>
      </c>
      <c r="J225" s="143" t="str">
        <f>_xlfn.XLOOKUP(Table1[[#This Row],[Mã xuất]],$M$3:$M$72,$O$3:$O$72)</f>
        <v>MN</v>
      </c>
    </row>
    <row r="226" spans="1:10">
      <c r="A226">
        <v>2025</v>
      </c>
      <c r="B226">
        <v>10</v>
      </c>
      <c r="C226" t="s">
        <v>1130</v>
      </c>
      <c r="D226" t="s">
        <v>1131</v>
      </c>
      <c r="E226" s="143">
        <v>36500</v>
      </c>
      <c r="F226" s="143">
        <v>2504.9019607843138</v>
      </c>
      <c r="G226" s="143">
        <v>30416.666666666668</v>
      </c>
      <c r="H226" s="143">
        <v>3231.3235294117644</v>
      </c>
      <c r="I226" s="143">
        <v>347.10784313725298</v>
      </c>
      <c r="J226" s="143" t="str">
        <f>_xlfn.XLOOKUP(Table1[[#This Row],[Mã xuất]],$M$3:$M$72,$O$3:$O$72)</f>
        <v>TSX</v>
      </c>
    </row>
    <row r="227" spans="1:10">
      <c r="A227">
        <v>2025</v>
      </c>
      <c r="B227">
        <v>10</v>
      </c>
      <c r="C227" t="s">
        <v>1096</v>
      </c>
      <c r="D227" t="s">
        <v>1097</v>
      </c>
      <c r="E227" s="143">
        <v>26000</v>
      </c>
      <c r="F227" s="143">
        <v>0</v>
      </c>
      <c r="G227" s="143">
        <v>2500</v>
      </c>
      <c r="H227" s="143">
        <v>22980</v>
      </c>
      <c r="I227" s="143">
        <v>520</v>
      </c>
      <c r="J227" s="143" t="str">
        <f>_xlfn.XLOOKUP(Table1[[#This Row],[Mã xuất]],$M$3:$M$72,$O$3:$O$72)</f>
        <v>TSX</v>
      </c>
    </row>
    <row r="228" spans="1:10">
      <c r="A228">
        <v>2025</v>
      </c>
      <c r="B228">
        <v>10</v>
      </c>
      <c r="C228" t="s">
        <v>1172</v>
      </c>
      <c r="D228" t="s">
        <v>1173</v>
      </c>
      <c r="E228" s="143">
        <v>25200</v>
      </c>
      <c r="F228" s="143">
        <v>24400</v>
      </c>
      <c r="G228" s="143">
        <v>0</v>
      </c>
      <c r="H228" s="143">
        <v>700</v>
      </c>
      <c r="I228" s="143">
        <v>100</v>
      </c>
      <c r="J228" s="143" t="str">
        <f>_xlfn.XLOOKUP(Table1[[#This Row],[Mã xuất]],$M$3:$M$72,$O$3:$O$72)</f>
        <v>TSX</v>
      </c>
    </row>
    <row r="229" spans="1:10">
      <c r="A229">
        <v>2025</v>
      </c>
      <c r="B229">
        <v>10</v>
      </c>
      <c r="C229" t="s">
        <v>1126</v>
      </c>
      <c r="D229" t="s">
        <v>1127</v>
      </c>
      <c r="E229" s="143">
        <v>23000</v>
      </c>
      <c r="F229" s="143">
        <v>995.0980392156863</v>
      </c>
      <c r="G229" s="143">
        <v>20583.333333333336</v>
      </c>
      <c r="H229" s="143">
        <v>1283.6764705882351</v>
      </c>
      <c r="I229" s="143">
        <v>137.89215686274383</v>
      </c>
      <c r="J229" s="143" t="str">
        <f>_xlfn.XLOOKUP(Table1[[#This Row],[Mã xuất]],$M$3:$M$72,$O$3:$O$72)</f>
        <v>TSX</v>
      </c>
    </row>
    <row r="230" spans="1:10">
      <c r="A230">
        <v>2025</v>
      </c>
      <c r="B230">
        <v>10</v>
      </c>
      <c r="C230" t="s">
        <v>1186</v>
      </c>
      <c r="D230" t="s">
        <v>1187</v>
      </c>
      <c r="E230" s="143">
        <v>18156</v>
      </c>
      <c r="F230" s="143">
        <v>1556.9097194308224</v>
      </c>
      <c r="G230" s="143">
        <v>13817.573759948547</v>
      </c>
      <c r="H230" s="143">
        <v>2413.2100651177748</v>
      </c>
      <c r="I230" s="143">
        <v>368.30645550285453</v>
      </c>
      <c r="J230" s="143" t="str">
        <f>_xlfn.XLOOKUP(Table1[[#This Row],[Mã xuất]],$M$3:$M$72,$O$3:$O$72)</f>
        <v>Unknown</v>
      </c>
    </row>
    <row r="231" spans="1:10">
      <c r="A231">
        <v>2025</v>
      </c>
      <c r="B231">
        <v>10</v>
      </c>
      <c r="C231" t="s">
        <v>1150</v>
      </c>
      <c r="D231" t="s">
        <v>1151</v>
      </c>
      <c r="E231" s="143">
        <v>16451</v>
      </c>
      <c r="F231" s="143">
        <v>4871.452688723577</v>
      </c>
      <c r="G231" s="143">
        <v>9619.8675795348445</v>
      </c>
      <c r="H231" s="143">
        <v>1636.8175158738807</v>
      </c>
      <c r="I231" s="143">
        <v>322.86221586769784</v>
      </c>
      <c r="J231" s="143" t="str">
        <f>_xlfn.XLOOKUP(Table1[[#This Row],[Mã xuất]],$M$3:$M$72,$O$3:$O$72)</f>
        <v>TSX</v>
      </c>
    </row>
    <row r="232" spans="1:10">
      <c r="A232">
        <v>2025</v>
      </c>
      <c r="B232">
        <v>10</v>
      </c>
      <c r="C232" t="s">
        <v>1176</v>
      </c>
      <c r="D232" t="s">
        <v>1177</v>
      </c>
      <c r="E232" s="143">
        <v>10700</v>
      </c>
      <c r="F232" s="143">
        <v>8126.8568033273914</v>
      </c>
      <c r="G232" s="143">
        <v>1644.8603683897802</v>
      </c>
      <c r="H232" s="143">
        <v>850</v>
      </c>
      <c r="I232" s="143">
        <v>78.282828282828405</v>
      </c>
      <c r="J232" s="143" t="str">
        <f>_xlfn.XLOOKUP(Table1[[#This Row],[Mã xuất]],$M$3:$M$72,$O$3:$O$72)</f>
        <v>TSX</v>
      </c>
    </row>
    <row r="233" spans="1:10">
      <c r="A233">
        <v>2025</v>
      </c>
      <c r="B233">
        <v>10</v>
      </c>
      <c r="C233" t="s">
        <v>1144</v>
      </c>
      <c r="D233" t="s">
        <v>1145</v>
      </c>
      <c r="E233" s="143">
        <v>10000</v>
      </c>
      <c r="F233" s="143">
        <v>0</v>
      </c>
      <c r="G233" s="143">
        <v>8469.3877551020414</v>
      </c>
      <c r="H233" s="143">
        <v>1328.5714285714284</v>
      </c>
      <c r="I233" s="143">
        <v>202.04081632653015</v>
      </c>
      <c r="J233" s="143" t="str">
        <f>_xlfn.XLOOKUP(Table1[[#This Row],[Mã xuất]],$M$3:$M$72,$O$3:$O$72)</f>
        <v>TSX</v>
      </c>
    </row>
    <row r="234" spans="1:10">
      <c r="A234">
        <v>2025</v>
      </c>
      <c r="B234">
        <v>10</v>
      </c>
      <c r="C234" t="s">
        <v>1088</v>
      </c>
      <c r="D234" t="s">
        <v>1089</v>
      </c>
      <c r="E234" s="143">
        <v>5300</v>
      </c>
      <c r="F234" s="143">
        <v>500</v>
      </c>
      <c r="G234" s="143">
        <v>4500</v>
      </c>
      <c r="H234" s="143">
        <v>300</v>
      </c>
      <c r="I234" s="143">
        <v>0</v>
      </c>
      <c r="J234" s="143" t="str">
        <f>_xlfn.XLOOKUP(Table1[[#This Row],[Mã xuất]],$M$3:$M$72,$O$3:$O$72)</f>
        <v>TSX</v>
      </c>
    </row>
    <row r="235" spans="1:10">
      <c r="A235">
        <v>2025</v>
      </c>
      <c r="B235">
        <v>10</v>
      </c>
      <c r="C235" t="s">
        <v>1188</v>
      </c>
      <c r="D235" t="s">
        <v>1189</v>
      </c>
      <c r="E235" s="143">
        <v>2200</v>
      </c>
      <c r="F235" s="143">
        <v>1955.5555555555557</v>
      </c>
      <c r="G235" s="143">
        <v>0</v>
      </c>
      <c r="H235" s="143">
        <v>226.98412698412699</v>
      </c>
      <c r="I235" s="143">
        <v>17.460317460317356</v>
      </c>
      <c r="J235" s="143" t="str">
        <f>_xlfn.XLOOKUP(Table1[[#This Row],[Mã xuất]],$M$3:$M$72,$O$3:$O$72)</f>
        <v>TSX</v>
      </c>
    </row>
    <row r="236" spans="1:10">
      <c r="A236">
        <v>2025</v>
      </c>
      <c r="B236">
        <v>11</v>
      </c>
      <c r="C236" t="s">
        <v>1078</v>
      </c>
      <c r="D236" t="s">
        <v>1079</v>
      </c>
      <c r="E236" s="143">
        <v>1256733.0000000002</v>
      </c>
      <c r="F236" s="143">
        <v>424500</v>
      </c>
      <c r="G236" s="143">
        <v>748500</v>
      </c>
      <c r="H236" s="143">
        <v>58613</v>
      </c>
      <c r="I236" s="143">
        <v>25120.000000000233</v>
      </c>
      <c r="J236" s="143" t="str">
        <f>_xlfn.XLOOKUP(Table1[[#This Row],[Mã xuất]],$M$3:$M$72,$O$3:$O$72)</f>
        <v>MN</v>
      </c>
    </row>
    <row r="237" spans="1:10">
      <c r="A237">
        <v>2025</v>
      </c>
      <c r="B237">
        <v>11</v>
      </c>
      <c r="C237" t="s">
        <v>1138</v>
      </c>
      <c r="D237" t="s">
        <v>1139</v>
      </c>
      <c r="E237" s="143">
        <v>560500</v>
      </c>
      <c r="F237" s="143">
        <v>408446.5774054834</v>
      </c>
      <c r="G237" s="143">
        <v>124242.9209371951</v>
      </c>
      <c r="H237" s="143">
        <v>17193.375124386337</v>
      </c>
      <c r="I237" s="143">
        <v>10617.126532935159</v>
      </c>
      <c r="J237" s="143" t="str">
        <f>_xlfn.XLOOKUP(Table1[[#This Row],[Mã xuất]],$M$3:$M$72,$O$3:$O$72)</f>
        <v>TSX</v>
      </c>
    </row>
    <row r="238" spans="1:10">
      <c r="A238">
        <v>2025</v>
      </c>
      <c r="B238">
        <v>11</v>
      </c>
      <c r="C238" t="s">
        <v>1142</v>
      </c>
      <c r="D238" t="s">
        <v>1143</v>
      </c>
      <c r="E238" s="143">
        <v>460500</v>
      </c>
      <c r="F238" s="143">
        <v>290089.12783585506</v>
      </c>
      <c r="G238" s="143">
        <v>143468.8084921992</v>
      </c>
      <c r="H238" s="143">
        <v>17722.873820157431</v>
      </c>
      <c r="I238" s="143">
        <v>9219.1898517883092</v>
      </c>
      <c r="J238" s="143" t="str">
        <f>_xlfn.XLOOKUP(Table1[[#This Row],[Mã xuất]],$M$3:$M$72,$O$3:$O$72)</f>
        <v>MN</v>
      </c>
    </row>
    <row r="239" spans="1:10">
      <c r="A239">
        <v>2025</v>
      </c>
      <c r="B239">
        <v>11</v>
      </c>
      <c r="C239" t="s">
        <v>1108</v>
      </c>
      <c r="D239" t="s">
        <v>1109</v>
      </c>
      <c r="E239" s="143">
        <v>288500</v>
      </c>
      <c r="F239" s="143">
        <v>180290.66292800929</v>
      </c>
      <c r="G239" s="143">
        <v>93840.241631761528</v>
      </c>
      <c r="H239" s="143">
        <v>8742.8892386577209</v>
      </c>
      <c r="I239" s="143">
        <v>5626.2062015714619</v>
      </c>
      <c r="J239" s="143" t="str">
        <f>_xlfn.XLOOKUP(Table1[[#This Row],[Mã xuất]],$M$3:$M$72,$O$3:$O$72)</f>
        <v>TSX</v>
      </c>
    </row>
    <row r="240" spans="1:10">
      <c r="A240">
        <v>2025</v>
      </c>
      <c r="B240">
        <v>11</v>
      </c>
      <c r="C240" t="s">
        <v>1098</v>
      </c>
      <c r="D240" t="s">
        <v>1099</v>
      </c>
      <c r="E240" s="143">
        <v>160999.99999999997</v>
      </c>
      <c r="F240" s="143">
        <v>93910.872164144937</v>
      </c>
      <c r="G240" s="143">
        <v>58031.191507800788</v>
      </c>
      <c r="H240" s="143">
        <v>5817.1261798425667</v>
      </c>
      <c r="I240" s="143">
        <v>3240.810148211679</v>
      </c>
      <c r="J240" s="143" t="str">
        <f>_xlfn.XLOOKUP(Table1[[#This Row],[Mã xuất]],$M$3:$M$72,$O$3:$O$72)</f>
        <v>MN</v>
      </c>
    </row>
    <row r="241" spans="1:10">
      <c r="A241">
        <v>2025</v>
      </c>
      <c r="B241">
        <v>11</v>
      </c>
      <c r="C241" t="s">
        <v>1080</v>
      </c>
      <c r="D241" t="s">
        <v>1081</v>
      </c>
      <c r="E241" s="143">
        <v>146350</v>
      </c>
      <c r="F241" s="143">
        <v>43862.174073895352</v>
      </c>
      <c r="G241" s="143">
        <v>88524.204185365699</v>
      </c>
      <c r="H241" s="143">
        <v>11029.189620228733</v>
      </c>
      <c r="I241" s="143">
        <v>2934.4321205102151</v>
      </c>
      <c r="J241" s="143" t="str">
        <f>_xlfn.XLOOKUP(Table1[[#This Row],[Mã xuất]],$M$3:$M$72,$O$3:$O$72)</f>
        <v>TSX</v>
      </c>
    </row>
    <row r="242" spans="1:10">
      <c r="A242">
        <v>2025</v>
      </c>
      <c r="B242">
        <v>11</v>
      </c>
      <c r="C242" t="s">
        <v>1190</v>
      </c>
      <c r="D242" t="s">
        <v>1191</v>
      </c>
      <c r="E242" s="143">
        <v>142999.99999999997</v>
      </c>
      <c r="F242" s="143">
        <v>122320.79268292683</v>
      </c>
      <c r="G242" s="143">
        <v>12670.365853658535</v>
      </c>
      <c r="H242" s="143">
        <v>5170.2134146341468</v>
      </c>
      <c r="I242" s="143">
        <v>2838.6280487804634</v>
      </c>
      <c r="J242" s="143" t="str">
        <f>_xlfn.XLOOKUP(Table1[[#This Row],[Mã xuất]],$M$3:$M$72,$O$3:$O$72)</f>
        <v>TSX</v>
      </c>
    </row>
    <row r="243" spans="1:10">
      <c r="A243">
        <v>2025</v>
      </c>
      <c r="B243">
        <v>11</v>
      </c>
      <c r="C243" t="s">
        <v>1140</v>
      </c>
      <c r="D243" t="s">
        <v>1141</v>
      </c>
      <c r="E243" s="143">
        <v>124999.99999999999</v>
      </c>
      <c r="F243" s="143">
        <v>89642.790949395494</v>
      </c>
      <c r="G243" s="143">
        <v>29486.502039212693</v>
      </c>
      <c r="H243" s="143">
        <v>3465.397037439935</v>
      </c>
      <c r="I243" s="143">
        <v>2405.309973951863</v>
      </c>
      <c r="J243" s="143" t="str">
        <f>_xlfn.XLOOKUP(Table1[[#This Row],[Mã xuất]],$M$3:$M$72,$O$3:$O$72)</f>
        <v>TSX</v>
      </c>
    </row>
    <row r="244" spans="1:10">
      <c r="A244">
        <v>2025</v>
      </c>
      <c r="B244">
        <v>11</v>
      </c>
      <c r="C244" t="s">
        <v>1084</v>
      </c>
      <c r="D244" t="s">
        <v>1085</v>
      </c>
      <c r="E244" s="143">
        <v>90499.999999999985</v>
      </c>
      <c r="F244" s="143">
        <v>44137.825926104648</v>
      </c>
      <c r="G244" s="143">
        <v>38975.795814634301</v>
      </c>
      <c r="H244" s="143">
        <v>5582.8103797712702</v>
      </c>
      <c r="I244" s="143">
        <v>1803.5678794897667</v>
      </c>
      <c r="J244" s="143" t="str">
        <f>_xlfn.XLOOKUP(Table1[[#This Row],[Mã xuất]],$M$3:$M$72,$O$3:$O$72)</f>
        <v>TSX</v>
      </c>
    </row>
    <row r="245" spans="1:10">
      <c r="A245">
        <v>2025</v>
      </c>
      <c r="B245">
        <v>11</v>
      </c>
      <c r="C245" t="s">
        <v>1094</v>
      </c>
      <c r="D245" t="s">
        <v>1095</v>
      </c>
      <c r="E245" s="143">
        <v>54330</v>
      </c>
      <c r="F245" s="143">
        <v>43028.377717630268</v>
      </c>
      <c r="G245" s="143">
        <v>8029.2284599759123</v>
      </c>
      <c r="H245" s="143">
        <v>2644.8069498069499</v>
      </c>
      <c r="I245" s="143">
        <v>627.5868725868695</v>
      </c>
      <c r="J245" s="143" t="str">
        <f>_xlfn.XLOOKUP(Table1[[#This Row],[Mã xuất]],$M$3:$M$72,$O$3:$O$72)</f>
        <v>TSX</v>
      </c>
    </row>
    <row r="246" spans="1:10">
      <c r="A246">
        <v>2025</v>
      </c>
      <c r="B246">
        <v>11</v>
      </c>
      <c r="C246" t="s">
        <v>1192</v>
      </c>
      <c r="D246" t="s">
        <v>1193</v>
      </c>
      <c r="E246" s="143">
        <v>46500</v>
      </c>
      <c r="F246" s="143">
        <v>35392.865853658535</v>
      </c>
      <c r="G246" s="143">
        <v>8876.3414634146338</v>
      </c>
      <c r="H246" s="143">
        <v>1410.5487804878048</v>
      </c>
      <c r="I246" s="143">
        <v>820.24390243902599</v>
      </c>
      <c r="J246" s="143" t="str">
        <f>_xlfn.XLOOKUP(Table1[[#This Row],[Mã xuất]],$M$3:$M$72,$O$3:$O$72)</f>
        <v>TSX</v>
      </c>
    </row>
    <row r="247" spans="1:10">
      <c r="A247">
        <v>2025</v>
      </c>
      <c r="B247">
        <v>11</v>
      </c>
      <c r="C247" t="s">
        <v>1194</v>
      </c>
      <c r="D247" t="s">
        <v>1195</v>
      </c>
      <c r="E247" s="143">
        <v>43000.000000000007</v>
      </c>
      <c r="F247" s="143">
        <v>34286.341463414632</v>
      </c>
      <c r="G247" s="143">
        <v>5953.292682926829</v>
      </c>
      <c r="H247" s="143">
        <v>1904.2378048780488</v>
      </c>
      <c r="I247" s="143">
        <v>856.12804878049747</v>
      </c>
      <c r="J247" s="143" t="str">
        <f>_xlfn.XLOOKUP(Table1[[#This Row],[Mã xuất]],$M$3:$M$72,$O$3:$O$72)</f>
        <v>TSX</v>
      </c>
    </row>
    <row r="248" spans="1:10">
      <c r="A248">
        <v>2025</v>
      </c>
      <c r="B248">
        <v>11</v>
      </c>
      <c r="C248" t="s">
        <v>1196</v>
      </c>
      <c r="D248" t="s">
        <v>1197</v>
      </c>
      <c r="E248" s="143">
        <v>37000</v>
      </c>
      <c r="F248" s="143">
        <v>0</v>
      </c>
      <c r="G248" s="143">
        <v>31896.551724137928</v>
      </c>
      <c r="H248" s="143">
        <v>4335.3793103448279</v>
      </c>
      <c r="I248" s="143">
        <v>768.06896551724458</v>
      </c>
      <c r="J248" s="143" t="str">
        <f>_xlfn.XLOOKUP(Table1[[#This Row],[Mã xuất]],$M$3:$M$72,$O$3:$O$72)</f>
        <v>TSX</v>
      </c>
    </row>
    <row r="249" spans="1:10">
      <c r="A249">
        <v>2025</v>
      </c>
      <c r="B249">
        <v>11</v>
      </c>
      <c r="C249" t="s">
        <v>1112</v>
      </c>
      <c r="D249" t="s">
        <v>1113</v>
      </c>
      <c r="E249" s="143">
        <v>35500</v>
      </c>
      <c r="F249" s="143">
        <v>21619.96871711182</v>
      </c>
      <c r="G249" s="143">
        <v>11930.335391830646</v>
      </c>
      <c r="H249" s="143">
        <v>1255.6385995160131</v>
      </c>
      <c r="I249" s="143">
        <v>694.05729154152095</v>
      </c>
      <c r="J249" s="143" t="str">
        <f>_xlfn.XLOOKUP(Table1[[#This Row],[Mã xuất]],$M$3:$M$72,$O$3:$O$72)</f>
        <v>TSX</v>
      </c>
    </row>
    <row r="250" spans="1:10">
      <c r="A250">
        <v>2025</v>
      </c>
      <c r="B250">
        <v>11</v>
      </c>
      <c r="C250" t="s">
        <v>1086</v>
      </c>
      <c r="D250" t="s">
        <v>1087</v>
      </c>
      <c r="E250" s="143">
        <v>28378</v>
      </c>
      <c r="F250" s="143">
        <v>15500</v>
      </c>
      <c r="G250" s="143">
        <v>11500</v>
      </c>
      <c r="H250" s="143">
        <v>816</v>
      </c>
      <c r="I250" s="143">
        <v>562</v>
      </c>
      <c r="J250" s="143" t="str">
        <f>_xlfn.XLOOKUP(Table1[[#This Row],[Mã xuất]],$M$3:$M$72,$O$3:$O$72)</f>
        <v>MN</v>
      </c>
    </row>
    <row r="251" spans="1:10">
      <c r="A251">
        <v>2025</v>
      </c>
      <c r="B251">
        <v>11</v>
      </c>
      <c r="C251" t="s">
        <v>1096</v>
      </c>
      <c r="D251" t="s">
        <v>1097</v>
      </c>
      <c r="E251" s="143">
        <v>20000</v>
      </c>
      <c r="F251" s="143">
        <v>0</v>
      </c>
      <c r="G251" s="143">
        <v>10500</v>
      </c>
      <c r="H251" s="143">
        <v>9186</v>
      </c>
      <c r="I251" s="143">
        <v>314</v>
      </c>
      <c r="J251" s="143" t="str">
        <f>_xlfn.XLOOKUP(Table1[[#This Row],[Mã xuất]],$M$3:$M$72,$O$3:$O$72)</f>
        <v>TSX</v>
      </c>
    </row>
    <row r="252" spans="1:10">
      <c r="A252">
        <v>2025</v>
      </c>
      <c r="B252">
        <v>11</v>
      </c>
      <c r="C252" t="s">
        <v>1198</v>
      </c>
      <c r="D252" t="s">
        <v>1199</v>
      </c>
      <c r="E252" s="143">
        <v>15000.000000000002</v>
      </c>
      <c r="F252" s="143">
        <v>12236.842105263158</v>
      </c>
      <c r="G252" s="143">
        <v>2368.4210526315792</v>
      </c>
      <c r="H252" s="143">
        <v>94.736842105263165</v>
      </c>
      <c r="I252" s="143">
        <v>300.00000000000108</v>
      </c>
      <c r="J252" s="143" t="str">
        <f>_xlfn.XLOOKUP(Table1[[#This Row],[Mã xuất]],$M$3:$M$72,$O$3:$O$72)</f>
        <v>TSX</v>
      </c>
    </row>
    <row r="253" spans="1:10">
      <c r="A253">
        <v>2025</v>
      </c>
      <c r="B253">
        <v>11</v>
      </c>
      <c r="C253" t="s">
        <v>1092</v>
      </c>
      <c r="D253" t="s">
        <v>1093</v>
      </c>
      <c r="E253" s="143">
        <v>10478</v>
      </c>
      <c r="F253" s="143">
        <v>2000</v>
      </c>
      <c r="G253" s="143">
        <v>7000</v>
      </c>
      <c r="H253" s="143">
        <v>1310</v>
      </c>
      <c r="I253" s="143">
        <v>168</v>
      </c>
      <c r="J253" s="143" t="str">
        <f>_xlfn.XLOOKUP(Table1[[#This Row],[Mã xuất]],$M$3:$M$72,$O$3:$O$72)</f>
        <v>MN</v>
      </c>
    </row>
    <row r="254" spans="1:10">
      <c r="A254">
        <v>2025</v>
      </c>
      <c r="B254">
        <v>11</v>
      </c>
      <c r="C254" t="s">
        <v>1176</v>
      </c>
      <c r="D254" t="s">
        <v>1177</v>
      </c>
      <c r="E254" s="143">
        <v>7000</v>
      </c>
      <c r="F254" s="143">
        <v>5203.3445929155741</v>
      </c>
      <c r="G254" s="143">
        <v>1553.4512785861796</v>
      </c>
      <c r="H254" s="143">
        <v>204.93060287177934</v>
      </c>
      <c r="I254" s="143">
        <v>38.273525626466949</v>
      </c>
      <c r="J254" s="143" t="str">
        <f>_xlfn.XLOOKUP(Table1[[#This Row],[Mã xuất]],$M$3:$M$72,$O$3:$O$72)</f>
        <v>TSX</v>
      </c>
    </row>
    <row r="255" spans="1:10">
      <c r="A255">
        <v>2025</v>
      </c>
      <c r="B255">
        <v>11</v>
      </c>
      <c r="C255" t="s">
        <v>1200</v>
      </c>
      <c r="D255" t="s">
        <v>1201</v>
      </c>
      <c r="E255" s="143">
        <v>6499.9999999999991</v>
      </c>
      <c r="F255" s="143">
        <v>0</v>
      </c>
      <c r="G255" s="143">
        <v>5603.4482758620688</v>
      </c>
      <c r="H255" s="143">
        <v>761.62068965517244</v>
      </c>
      <c r="I255" s="143">
        <v>134.93103448275781</v>
      </c>
      <c r="J255" s="143" t="str">
        <f>_xlfn.XLOOKUP(Table1[[#This Row],[Mã xuất]],$M$3:$M$72,$O$3:$O$72)</f>
        <v>TSX</v>
      </c>
    </row>
    <row r="256" spans="1:10">
      <c r="A256">
        <v>2025</v>
      </c>
      <c r="B256">
        <v>11</v>
      </c>
      <c r="C256" t="s">
        <v>1122</v>
      </c>
      <c r="D256" t="s">
        <v>1123</v>
      </c>
      <c r="E256" s="143">
        <v>4575</v>
      </c>
      <c r="F256" s="143">
        <v>3647.2972972972975</v>
      </c>
      <c r="G256" s="143">
        <v>850</v>
      </c>
      <c r="H256" s="143">
        <v>66.602316602316606</v>
      </c>
      <c r="I256" s="143">
        <v>11.100386100385876</v>
      </c>
      <c r="J256" s="143" t="str">
        <f>_xlfn.XLOOKUP(Table1[[#This Row],[Mã xuất]],$M$3:$M$72,$O$3:$O$72)</f>
        <v>TSX</v>
      </c>
    </row>
    <row r="257" spans="1:10">
      <c r="A257">
        <v>2025</v>
      </c>
      <c r="B257">
        <v>11</v>
      </c>
      <c r="C257" t="s">
        <v>1146</v>
      </c>
      <c r="D257" t="s">
        <v>1147</v>
      </c>
      <c r="E257" s="143">
        <v>4000</v>
      </c>
      <c r="F257" s="143">
        <v>3263.1578947368421</v>
      </c>
      <c r="G257" s="143">
        <v>631.57894736842104</v>
      </c>
      <c r="H257" s="143">
        <v>25.263157894736842</v>
      </c>
      <c r="I257" s="143">
        <v>80.000000000000028</v>
      </c>
      <c r="J257" s="143" t="str">
        <f>_xlfn.XLOOKUP(Table1[[#This Row],[Mã xuất]],$M$3:$M$72,$O$3:$O$72)</f>
        <v>TSX</v>
      </c>
    </row>
    <row r="258" spans="1:10">
      <c r="A258">
        <v>2025</v>
      </c>
      <c r="B258">
        <v>11</v>
      </c>
      <c r="C258" t="s">
        <v>1188</v>
      </c>
      <c r="D258" t="s">
        <v>1189</v>
      </c>
      <c r="E258" s="143">
        <v>2960</v>
      </c>
      <c r="F258" s="143">
        <v>1450.9803921568628</v>
      </c>
      <c r="G258" s="143">
        <v>967.32026143790847</v>
      </c>
      <c r="H258" s="143">
        <v>483.66013071895424</v>
      </c>
      <c r="I258" s="143">
        <v>58.039215686274531</v>
      </c>
      <c r="J258" s="143" t="str">
        <f>_xlfn.XLOOKUP(Table1[[#This Row],[Mã xuất]],$M$3:$M$72,$O$3:$O$72)</f>
        <v>TSX</v>
      </c>
    </row>
    <row r="259" spans="1:10">
      <c r="A259">
        <v>2025</v>
      </c>
      <c r="B259">
        <v>12</v>
      </c>
      <c r="C259" t="s">
        <v>1078</v>
      </c>
      <c r="D259" t="s">
        <v>1079</v>
      </c>
      <c r="E259" s="143">
        <v>1567279.9999999998</v>
      </c>
      <c r="F259" s="143">
        <v>547000</v>
      </c>
      <c r="G259" s="143">
        <v>914500</v>
      </c>
      <c r="H259" s="143">
        <v>67475</v>
      </c>
      <c r="I259" s="143">
        <v>38304.999999999767</v>
      </c>
      <c r="J259" s="143" t="str">
        <f>_xlfn.XLOOKUP(Table1[[#This Row],[Mã xuất]],$M$3:$M$72,$O$3:$O$72)</f>
        <v>MN</v>
      </c>
    </row>
    <row r="260" spans="1:10">
      <c r="A260">
        <v>2025</v>
      </c>
      <c r="B260">
        <v>12</v>
      </c>
      <c r="C260" t="s">
        <v>1110</v>
      </c>
      <c r="D260" t="s">
        <v>1111</v>
      </c>
      <c r="E260" s="143">
        <v>360844.99999999994</v>
      </c>
      <c r="F260" s="143">
        <v>111500</v>
      </c>
      <c r="G260" s="143">
        <v>224500</v>
      </c>
      <c r="H260" s="143">
        <v>15200</v>
      </c>
      <c r="I260" s="143">
        <v>9644.9999999999418</v>
      </c>
      <c r="J260" s="143" t="str">
        <f>_xlfn.XLOOKUP(Table1[[#This Row],[Mã xuất]],$M$3:$M$72,$O$3:$O$72)</f>
        <v>MN</v>
      </c>
    </row>
    <row r="261" spans="1:10">
      <c r="A261">
        <v>2025</v>
      </c>
      <c r="B261">
        <v>12</v>
      </c>
      <c r="C261" t="s">
        <v>1092</v>
      </c>
      <c r="D261" t="s">
        <v>1093</v>
      </c>
      <c r="E261" s="143">
        <v>276803</v>
      </c>
      <c r="F261" s="143">
        <v>21000</v>
      </c>
      <c r="G261" s="143">
        <v>243500</v>
      </c>
      <c r="H261" s="143">
        <v>6240</v>
      </c>
      <c r="I261" s="143">
        <v>6063</v>
      </c>
      <c r="J261" s="143" t="str">
        <f>_xlfn.XLOOKUP(Table1[[#This Row],[Mã xuất]],$M$3:$M$72,$O$3:$O$72)</f>
        <v>MN</v>
      </c>
    </row>
    <row r="262" spans="1:10">
      <c r="A262">
        <v>2025</v>
      </c>
      <c r="B262">
        <v>12</v>
      </c>
      <c r="C262" t="s">
        <v>1080</v>
      </c>
      <c r="D262" t="s">
        <v>1081</v>
      </c>
      <c r="E262" s="143">
        <v>267650</v>
      </c>
      <c r="F262" s="143">
        <v>133728.52773067937</v>
      </c>
      <c r="G262" s="143">
        <v>115456.5985803567</v>
      </c>
      <c r="H262" s="143">
        <v>12068.924025771426</v>
      </c>
      <c r="I262" s="143">
        <v>6395.9496631924994</v>
      </c>
      <c r="J262" s="143" t="str">
        <f>_xlfn.XLOOKUP(Table1[[#This Row],[Mã xuất]],$M$3:$M$72,$O$3:$O$72)</f>
        <v>TSX</v>
      </c>
    </row>
    <row r="263" spans="1:10">
      <c r="A263">
        <v>2025</v>
      </c>
      <c r="B263">
        <v>12</v>
      </c>
      <c r="C263" t="s">
        <v>1082</v>
      </c>
      <c r="D263" t="s">
        <v>1083</v>
      </c>
      <c r="E263" s="143">
        <v>233800</v>
      </c>
      <c r="F263" s="143">
        <v>84500</v>
      </c>
      <c r="G263" s="143">
        <v>129500</v>
      </c>
      <c r="H263" s="143">
        <v>14109</v>
      </c>
      <c r="I263" s="143">
        <v>5691</v>
      </c>
      <c r="J263" s="143" t="str">
        <f>_xlfn.XLOOKUP(Table1[[#This Row],[Mã xuất]],$M$3:$M$72,$O$3:$O$72)</f>
        <v>TSX</v>
      </c>
    </row>
    <row r="264" spans="1:10">
      <c r="A264">
        <v>2025</v>
      </c>
      <c r="B264">
        <v>12</v>
      </c>
      <c r="C264" t="s">
        <v>1142</v>
      </c>
      <c r="D264" t="s">
        <v>1143</v>
      </c>
      <c r="E264" s="143">
        <v>203200.00000000003</v>
      </c>
      <c r="F264" s="143">
        <v>111426.08326253186</v>
      </c>
      <c r="G264" s="143">
        <v>81896.346644010191</v>
      </c>
      <c r="H264" s="143">
        <v>4798.5131690739163</v>
      </c>
      <c r="I264" s="143">
        <v>5079.0569243840637</v>
      </c>
      <c r="J264" s="143" t="str">
        <f>_xlfn.XLOOKUP(Table1[[#This Row],[Mã xuất]],$M$3:$M$72,$O$3:$O$72)</f>
        <v>MN</v>
      </c>
    </row>
    <row r="265" spans="1:10">
      <c r="A265">
        <v>2025</v>
      </c>
      <c r="B265">
        <v>12</v>
      </c>
      <c r="C265" t="s">
        <v>1098</v>
      </c>
      <c r="D265" t="s">
        <v>1099</v>
      </c>
      <c r="E265" s="143">
        <v>169000</v>
      </c>
      <c r="F265" s="143">
        <v>66073.916737468142</v>
      </c>
      <c r="G265" s="143">
        <v>90603.653355989809</v>
      </c>
      <c r="H265" s="143">
        <v>7571.4868309260837</v>
      </c>
      <c r="I265" s="143">
        <v>4750.9430756159654</v>
      </c>
      <c r="J265" s="143" t="str">
        <f>_xlfn.XLOOKUP(Table1[[#This Row],[Mã xuất]],$M$3:$M$72,$O$3:$O$72)</f>
        <v>MN</v>
      </c>
    </row>
    <row r="266" spans="1:10">
      <c r="A266">
        <v>2025</v>
      </c>
      <c r="B266">
        <v>12</v>
      </c>
      <c r="C266" t="s">
        <v>1084</v>
      </c>
      <c r="D266" t="s">
        <v>1085</v>
      </c>
      <c r="E266" s="143">
        <v>162500</v>
      </c>
      <c r="F266" s="143">
        <v>73271.472269320613</v>
      </c>
      <c r="G266" s="143">
        <v>78543.401419643298</v>
      </c>
      <c r="H266" s="143">
        <v>7179.0759742285736</v>
      </c>
      <c r="I266" s="143">
        <v>3506.0503368075151</v>
      </c>
      <c r="J266" s="143" t="str">
        <f>_xlfn.XLOOKUP(Table1[[#This Row],[Mã xuất]],$M$3:$M$72,$O$3:$O$72)</f>
        <v>TSX</v>
      </c>
    </row>
    <row r="267" spans="1:10">
      <c r="A267">
        <v>2025</v>
      </c>
      <c r="B267">
        <v>12</v>
      </c>
      <c r="C267" t="s">
        <v>1086</v>
      </c>
      <c r="D267" t="s">
        <v>1087</v>
      </c>
      <c r="E267" s="143">
        <v>133585</v>
      </c>
      <c r="F267" s="143">
        <v>36914.590747330963</v>
      </c>
      <c r="G267" s="143">
        <v>89697.508896797153</v>
      </c>
      <c r="H267" s="143">
        <v>2192.576512455516</v>
      </c>
      <c r="I267" s="143">
        <v>4780.3238434163668</v>
      </c>
      <c r="J267" s="143" t="str">
        <f>_xlfn.XLOOKUP(Table1[[#This Row],[Mã xuất]],$M$3:$M$72,$O$3:$O$72)</f>
        <v>MN</v>
      </c>
    </row>
    <row r="268" spans="1:10">
      <c r="A268">
        <v>2025</v>
      </c>
      <c r="B268">
        <v>12</v>
      </c>
      <c r="C268" t="s">
        <v>1150</v>
      </c>
      <c r="D268" t="s">
        <v>1151</v>
      </c>
      <c r="E268" s="143">
        <v>89599.999999999985</v>
      </c>
      <c r="F268" s="143">
        <v>52220.593096742828</v>
      </c>
      <c r="G268" s="143">
        <v>30462.109868740885</v>
      </c>
      <c r="H268" s="143">
        <v>4428.070004861449</v>
      </c>
      <c r="I268" s="143">
        <v>2489.2270296548231</v>
      </c>
      <c r="J268" s="143" t="str">
        <f>_xlfn.XLOOKUP(Table1[[#This Row],[Mã xuất]],$M$3:$M$72,$O$3:$O$72)</f>
        <v>TSX</v>
      </c>
    </row>
    <row r="269" spans="1:10">
      <c r="A269">
        <v>2025</v>
      </c>
      <c r="B269">
        <v>12</v>
      </c>
      <c r="C269" t="s">
        <v>1196</v>
      </c>
      <c r="D269" t="s">
        <v>1197</v>
      </c>
      <c r="E269" s="143">
        <v>62500</v>
      </c>
      <c r="F269" s="143">
        <v>27232.142857142859</v>
      </c>
      <c r="G269" s="143">
        <v>33482.142857142855</v>
      </c>
      <c r="H269" s="143">
        <v>535.71428571428567</v>
      </c>
      <c r="I269" s="143">
        <v>1250.0000000000041</v>
      </c>
      <c r="J269" s="143" t="str">
        <f>_xlfn.XLOOKUP(Table1[[#This Row],[Mã xuất]],$M$3:$M$72,$O$3:$O$72)</f>
        <v>TSX</v>
      </c>
    </row>
    <row r="270" spans="1:10">
      <c r="A270">
        <v>2025</v>
      </c>
      <c r="B270">
        <v>12</v>
      </c>
      <c r="C270" t="s">
        <v>1108</v>
      </c>
      <c r="D270" t="s">
        <v>1109</v>
      </c>
      <c r="E270" s="143">
        <v>55500</v>
      </c>
      <c r="F270" s="143">
        <v>43300</v>
      </c>
      <c r="G270" s="143">
        <v>11000</v>
      </c>
      <c r="H270" s="143">
        <v>100</v>
      </c>
      <c r="I270" s="143">
        <v>1100</v>
      </c>
      <c r="J270" s="143" t="str">
        <f>_xlfn.XLOOKUP(Table1[[#This Row],[Mã xuất]],$M$3:$M$72,$O$3:$O$72)</f>
        <v>TSX</v>
      </c>
    </row>
    <row r="271" spans="1:10">
      <c r="A271">
        <v>2025</v>
      </c>
      <c r="B271">
        <v>12</v>
      </c>
      <c r="C271" t="s">
        <v>1096</v>
      </c>
      <c r="D271" t="s">
        <v>1097</v>
      </c>
      <c r="E271" s="143">
        <v>44500</v>
      </c>
      <c r="F271" s="143">
        <v>0</v>
      </c>
      <c r="G271" s="143">
        <v>17600</v>
      </c>
      <c r="H271" s="143">
        <v>19650</v>
      </c>
      <c r="I271" s="143">
        <v>7250</v>
      </c>
      <c r="J271" s="143" t="str">
        <f>_xlfn.XLOOKUP(Table1[[#This Row],[Mã xuất]],$M$3:$M$72,$O$3:$O$72)</f>
        <v>TSX</v>
      </c>
    </row>
    <row r="272" spans="1:10">
      <c r="A272">
        <v>2025</v>
      </c>
      <c r="B272">
        <v>12</v>
      </c>
      <c r="C272" t="s">
        <v>1124</v>
      </c>
      <c r="D272" t="s">
        <v>1125</v>
      </c>
      <c r="E272" s="143">
        <v>41200</v>
      </c>
      <c r="F272" s="143">
        <v>23379.406903257172</v>
      </c>
      <c r="G272" s="143">
        <v>14737.890131259117</v>
      </c>
      <c r="H272" s="143">
        <v>1951.9299951385512</v>
      </c>
      <c r="I272" s="143">
        <v>1130.7729703451603</v>
      </c>
      <c r="J272" s="143" t="str">
        <f>_xlfn.XLOOKUP(Table1[[#This Row],[Mã xuất]],$M$3:$M$72,$O$3:$O$72)</f>
        <v>TSX</v>
      </c>
    </row>
    <row r="273" spans="1:10">
      <c r="A273">
        <v>2025</v>
      </c>
      <c r="B273">
        <v>12</v>
      </c>
      <c r="C273" t="s">
        <v>1200</v>
      </c>
      <c r="D273" t="s">
        <v>1201</v>
      </c>
      <c r="E273" s="143">
        <v>32500</v>
      </c>
      <c r="F273" s="143">
        <v>24767.857142857141</v>
      </c>
      <c r="G273" s="143">
        <v>7017.8571428571431</v>
      </c>
      <c r="H273" s="143">
        <v>64.285714285714292</v>
      </c>
      <c r="I273" s="143">
        <v>650.00000000000125</v>
      </c>
      <c r="J273" s="143" t="str">
        <f>_xlfn.XLOOKUP(Table1[[#This Row],[Mã xuất]],$M$3:$M$72,$O$3:$O$72)</f>
        <v>TSX</v>
      </c>
    </row>
    <row r="274" spans="1:10">
      <c r="A274">
        <v>2025</v>
      </c>
      <c r="B274">
        <v>12</v>
      </c>
      <c r="C274" t="s">
        <v>1094</v>
      </c>
      <c r="D274" t="s">
        <v>1095</v>
      </c>
      <c r="E274" s="143">
        <v>30400.000000000004</v>
      </c>
      <c r="F274" s="143">
        <v>22448.732517482516</v>
      </c>
      <c r="G274" s="143">
        <v>5208.3916083916083</v>
      </c>
      <c r="H274" s="143">
        <v>2094.484265734266</v>
      </c>
      <c r="I274" s="143">
        <v>648.39160839161286</v>
      </c>
      <c r="J274" s="143" t="str">
        <f>_xlfn.XLOOKUP(Table1[[#This Row],[Mã xuất]],$M$3:$M$72,$O$3:$O$72)</f>
        <v>TSX</v>
      </c>
    </row>
    <row r="275" spans="1:10">
      <c r="A275">
        <v>2025</v>
      </c>
      <c r="B275">
        <v>12</v>
      </c>
      <c r="C275" t="s">
        <v>1168</v>
      </c>
      <c r="D275" t="s">
        <v>1169</v>
      </c>
      <c r="E275" s="143">
        <v>21000</v>
      </c>
      <c r="F275" s="143">
        <v>10652.173913043478</v>
      </c>
      <c r="G275" s="143">
        <v>9739.1304347826099</v>
      </c>
      <c r="H275" s="143">
        <v>182.60869565217391</v>
      </c>
      <c r="I275" s="143">
        <v>426.08695652173822</v>
      </c>
      <c r="J275" s="143" t="str">
        <f>_xlfn.XLOOKUP(Table1[[#This Row],[Mã xuất]],$M$3:$M$72,$O$3:$O$72)</f>
        <v>TSX</v>
      </c>
    </row>
    <row r="276" spans="1:10">
      <c r="A276">
        <v>2025</v>
      </c>
      <c r="B276">
        <v>12</v>
      </c>
      <c r="C276" t="s">
        <v>1112</v>
      </c>
      <c r="D276" t="s">
        <v>1113</v>
      </c>
      <c r="E276" s="143">
        <v>20000</v>
      </c>
      <c r="F276" s="143">
        <v>18590.909090909092</v>
      </c>
      <c r="G276" s="143">
        <v>863.63636363636363</v>
      </c>
      <c r="H276" s="143">
        <v>145.45454545454547</v>
      </c>
      <c r="I276" s="143">
        <v>399.99999999999898</v>
      </c>
      <c r="J276" s="143" t="str">
        <f>_xlfn.XLOOKUP(Table1[[#This Row],[Mã xuất]],$M$3:$M$72,$O$3:$O$72)</f>
        <v>TSX</v>
      </c>
    </row>
    <row r="277" spans="1:10">
      <c r="A277">
        <v>2025</v>
      </c>
      <c r="B277">
        <v>12</v>
      </c>
      <c r="C277" t="s">
        <v>1120</v>
      </c>
      <c r="D277" t="s">
        <v>1121</v>
      </c>
      <c r="E277" s="143">
        <v>20000</v>
      </c>
      <c r="F277" s="143">
        <v>10909.09090909091</v>
      </c>
      <c r="G277" s="143">
        <v>8636.363636363636</v>
      </c>
      <c r="H277" s="143">
        <v>54.545454545454547</v>
      </c>
      <c r="I277" s="143">
        <v>399.99999999999949</v>
      </c>
      <c r="J277" s="143" t="str">
        <f>_xlfn.XLOOKUP(Table1[[#This Row],[Mã xuất]],$M$3:$M$72,$O$3:$O$72)</f>
        <v>TSX</v>
      </c>
    </row>
    <row r="278" spans="1:10">
      <c r="A278">
        <v>2025</v>
      </c>
      <c r="B278">
        <v>12</v>
      </c>
      <c r="C278" t="s">
        <v>1138</v>
      </c>
      <c r="D278" t="s">
        <v>1139</v>
      </c>
      <c r="E278" s="143">
        <v>18000</v>
      </c>
      <c r="F278" s="143">
        <v>10000</v>
      </c>
      <c r="G278" s="143">
        <v>6500</v>
      </c>
      <c r="H278" s="143">
        <v>983</v>
      </c>
      <c r="I278" s="143">
        <v>517</v>
      </c>
      <c r="J278" s="143" t="str">
        <f>_xlfn.XLOOKUP(Table1[[#This Row],[Mã xuất]],$M$3:$M$72,$O$3:$O$72)</f>
        <v>TSX</v>
      </c>
    </row>
    <row r="279" spans="1:10">
      <c r="A279">
        <v>2025</v>
      </c>
      <c r="B279">
        <v>12</v>
      </c>
      <c r="C279" t="s">
        <v>1202</v>
      </c>
      <c r="D279" t="s">
        <v>1203</v>
      </c>
      <c r="E279" s="143">
        <v>17000</v>
      </c>
      <c r="F279" s="143">
        <v>16500</v>
      </c>
      <c r="G279" s="143">
        <v>0</v>
      </c>
      <c r="H279" s="143">
        <v>160</v>
      </c>
      <c r="I279" s="143">
        <v>340</v>
      </c>
      <c r="J279" s="143" t="str">
        <f>_xlfn.XLOOKUP(Table1[[#This Row],[Mã xuất]],$M$3:$M$72,$O$3:$O$72)</f>
        <v>Unknown</v>
      </c>
    </row>
    <row r="280" spans="1:10">
      <c r="A280">
        <v>2025</v>
      </c>
      <c r="B280">
        <v>12</v>
      </c>
      <c r="C280" t="s">
        <v>1136</v>
      </c>
      <c r="D280" t="s">
        <v>1137</v>
      </c>
      <c r="E280" s="143">
        <v>13500</v>
      </c>
      <c r="F280" s="143">
        <v>6847.826086956522</v>
      </c>
      <c r="G280" s="143">
        <v>6260.8695652173901</v>
      </c>
      <c r="H280" s="143">
        <v>117.39130434782609</v>
      </c>
      <c r="I280" s="143">
        <v>273.91304347826178</v>
      </c>
      <c r="J280" s="143" t="str">
        <f>_xlfn.XLOOKUP(Table1[[#This Row],[Mã xuất]],$M$3:$M$72,$O$3:$O$72)</f>
        <v>TSX</v>
      </c>
    </row>
    <row r="281" spans="1:10">
      <c r="A281">
        <v>2025</v>
      </c>
      <c r="B281">
        <v>12</v>
      </c>
      <c r="C281" t="s">
        <v>1176</v>
      </c>
      <c r="D281" t="s">
        <v>1177</v>
      </c>
      <c r="E281" s="143">
        <v>4199.9999999999991</v>
      </c>
      <c r="F281" s="143">
        <v>3120.4982517482517</v>
      </c>
      <c r="G281" s="143">
        <v>660.83916083916085</v>
      </c>
      <c r="H281" s="143">
        <v>327.82342657342662</v>
      </c>
      <c r="I281" s="143">
        <v>90.839160839159888</v>
      </c>
      <c r="J281" s="143" t="str">
        <f>_xlfn.XLOOKUP(Table1[[#This Row],[Mã xuất]],$M$3:$M$72,$O$3:$O$72)</f>
        <v>TSX</v>
      </c>
    </row>
    <row r="282" spans="1:10">
      <c r="A282">
        <v>2025</v>
      </c>
      <c r="B282">
        <v>12</v>
      </c>
      <c r="C282" t="s">
        <v>1122</v>
      </c>
      <c r="D282" t="s">
        <v>1123</v>
      </c>
      <c r="E282" s="143">
        <v>1600</v>
      </c>
      <c r="F282" s="143">
        <v>1130.7692307692307</v>
      </c>
      <c r="G282" s="143">
        <v>430.76923076923077</v>
      </c>
      <c r="H282" s="143">
        <v>7.6923076923076925</v>
      </c>
      <c r="I282" s="143">
        <v>30.769230769230816</v>
      </c>
      <c r="J282" s="143" t="str">
        <f>_xlfn.XLOOKUP(Table1[[#This Row],[Mã xuất]],$M$3:$M$72,$O$3:$O$72)</f>
        <v>TSX</v>
      </c>
    </row>
    <row r="283" spans="1:10">
      <c r="A283">
        <v>2024</v>
      </c>
      <c r="B283">
        <v>1</v>
      </c>
      <c r="C283" t="s">
        <v>1078</v>
      </c>
      <c r="D283" t="s">
        <v>1079</v>
      </c>
      <c r="E283" s="143">
        <v>3184116.0000000005</v>
      </c>
      <c r="F283" s="143">
        <v>752500</v>
      </c>
      <c r="G283" s="143">
        <v>2270000</v>
      </c>
      <c r="H283" s="143">
        <v>139035</v>
      </c>
      <c r="I283" s="143">
        <v>22581.000000000466</v>
      </c>
      <c r="J283" s="143" t="str">
        <f>_xlfn.XLOOKUP(Table1[[#This Row],[Mã xuất]],$M$3:$M$72,$O$3:$O$72)</f>
        <v>MN</v>
      </c>
    </row>
    <row r="284" spans="1:10">
      <c r="A284">
        <v>2024</v>
      </c>
      <c r="B284">
        <v>1</v>
      </c>
      <c r="C284" t="s">
        <v>1080</v>
      </c>
      <c r="D284" t="s">
        <v>1081</v>
      </c>
      <c r="E284" s="143">
        <v>506300.00000000006</v>
      </c>
      <c r="F284" s="143">
        <v>182434.59075146128</v>
      </c>
      <c r="G284" s="143">
        <v>303244.02979136619</v>
      </c>
      <c r="H284" s="143">
        <v>22266.053493425668</v>
      </c>
      <c r="I284" s="143">
        <v>-1644.67403625308</v>
      </c>
      <c r="J284" s="143" t="str">
        <f>_xlfn.XLOOKUP(Table1[[#This Row],[Mã xuất]],$M$3:$M$72,$O$3:$O$72)</f>
        <v>TSX</v>
      </c>
    </row>
    <row r="285" spans="1:10">
      <c r="A285">
        <v>2024</v>
      </c>
      <c r="B285">
        <v>1</v>
      </c>
      <c r="C285" t="s">
        <v>1086</v>
      </c>
      <c r="D285" t="s">
        <v>1087</v>
      </c>
      <c r="E285" s="143">
        <v>312033</v>
      </c>
      <c r="F285" s="143">
        <v>56000</v>
      </c>
      <c r="G285" s="143">
        <v>245000</v>
      </c>
      <c r="H285" s="143">
        <v>8297</v>
      </c>
      <c r="I285" s="143">
        <v>2736</v>
      </c>
      <c r="J285" s="143" t="str">
        <f>_xlfn.XLOOKUP(Table1[[#This Row],[Mã xuất]],$M$3:$M$72,$O$3:$O$72)</f>
        <v>MN</v>
      </c>
    </row>
    <row r="286" spans="1:10">
      <c r="A286">
        <v>2024</v>
      </c>
      <c r="B286">
        <v>1</v>
      </c>
      <c r="C286" t="s">
        <v>1204</v>
      </c>
      <c r="D286" t="s">
        <v>1205</v>
      </c>
      <c r="E286" s="143">
        <v>209258</v>
      </c>
      <c r="F286" s="143">
        <v>0</v>
      </c>
      <c r="G286" s="143">
        <v>197600</v>
      </c>
      <c r="H286" s="143">
        <v>11846</v>
      </c>
      <c r="I286" s="143">
        <v>-188</v>
      </c>
      <c r="J286" s="143" t="str">
        <f>_xlfn.XLOOKUP(Table1[[#This Row],[Mã xuất]],$M$3:$M$72,$O$3:$O$72)</f>
        <v>TSX</v>
      </c>
    </row>
    <row r="287" spans="1:10">
      <c r="A287">
        <v>2024</v>
      </c>
      <c r="B287">
        <v>1</v>
      </c>
      <c r="C287" t="s">
        <v>1094</v>
      </c>
      <c r="D287" t="s">
        <v>1095</v>
      </c>
      <c r="E287" s="143">
        <v>93500</v>
      </c>
      <c r="F287" s="143">
        <v>85500</v>
      </c>
      <c r="G287" s="143">
        <v>1500</v>
      </c>
      <c r="H287" s="143">
        <v>5457</v>
      </c>
      <c r="I287" s="143">
        <v>1043</v>
      </c>
      <c r="J287" s="143" t="str">
        <f>_xlfn.XLOOKUP(Table1[[#This Row],[Mã xuất]],$M$3:$M$72,$O$3:$O$72)</f>
        <v>TSX</v>
      </c>
    </row>
    <row r="288" spans="1:10">
      <c r="A288">
        <v>2024</v>
      </c>
      <c r="B288">
        <v>1</v>
      </c>
      <c r="C288" t="s">
        <v>1206</v>
      </c>
      <c r="D288" t="s">
        <v>1207</v>
      </c>
      <c r="E288" s="143">
        <v>71326</v>
      </c>
      <c r="F288" s="143">
        <v>2000</v>
      </c>
      <c r="G288" s="143">
        <v>61600</v>
      </c>
      <c r="H288" s="143">
        <v>7071</v>
      </c>
      <c r="I288" s="143">
        <v>655</v>
      </c>
      <c r="J288" s="143" t="str">
        <f>_xlfn.XLOOKUP(Table1[[#This Row],[Mã xuất]],$M$3:$M$72,$O$3:$O$72)</f>
        <v>TSX</v>
      </c>
    </row>
    <row r="289" spans="1:10">
      <c r="A289">
        <v>2024</v>
      </c>
      <c r="B289">
        <v>1</v>
      </c>
      <c r="C289" t="s">
        <v>1084</v>
      </c>
      <c r="D289" t="s">
        <v>1085</v>
      </c>
      <c r="E289" s="143">
        <v>34000</v>
      </c>
      <c r="F289" s="143">
        <v>13472.822103781627</v>
      </c>
      <c r="G289" s="143">
        <v>19610.028537427566</v>
      </c>
      <c r="H289" s="143">
        <v>1006.1955007029726</v>
      </c>
      <c r="I289" s="143">
        <v>-89.046141912164558</v>
      </c>
      <c r="J289" s="143" t="str">
        <f>_xlfn.XLOOKUP(Table1[[#This Row],[Mã xuất]],$M$3:$M$72,$O$3:$O$72)</f>
        <v>TSX</v>
      </c>
    </row>
    <row r="290" spans="1:10">
      <c r="A290">
        <v>2024</v>
      </c>
      <c r="B290">
        <v>1</v>
      </c>
      <c r="C290" t="s">
        <v>1138</v>
      </c>
      <c r="D290" t="s">
        <v>1139</v>
      </c>
      <c r="E290" s="143">
        <v>15695</v>
      </c>
      <c r="F290" s="143">
        <v>7092.5871447571089</v>
      </c>
      <c r="G290" s="143">
        <v>8145.9416712061848</v>
      </c>
      <c r="H290" s="143">
        <v>480.75100587135813</v>
      </c>
      <c r="I290" s="143">
        <v>-24.279821834650932</v>
      </c>
      <c r="J290" s="143" t="str">
        <f>_xlfn.XLOOKUP(Table1[[#This Row],[Mã xuất]],$M$3:$M$72,$O$3:$O$72)</f>
        <v>TSX</v>
      </c>
    </row>
    <row r="291" spans="1:10">
      <c r="A291">
        <v>2024</v>
      </c>
      <c r="B291">
        <v>1</v>
      </c>
      <c r="C291" t="s">
        <v>1144</v>
      </c>
      <c r="D291" t="s">
        <v>1145</v>
      </c>
      <c r="E291" s="143">
        <v>13000</v>
      </c>
      <c r="F291" s="143">
        <v>0</v>
      </c>
      <c r="G291" s="143">
        <v>13000</v>
      </c>
      <c r="H291" s="143">
        <v>315</v>
      </c>
      <c r="I291" s="143">
        <v>-315</v>
      </c>
      <c r="J291" s="143" t="str">
        <f>_xlfn.XLOOKUP(Table1[[#This Row],[Mã xuất]],$M$3:$M$72,$O$3:$O$72)</f>
        <v>TSX</v>
      </c>
    </row>
    <row r="292" spans="1:10">
      <c r="A292">
        <v>2024</v>
      </c>
      <c r="B292">
        <v>1</v>
      </c>
      <c r="C292" t="s">
        <v>1116</v>
      </c>
      <c r="D292" t="s">
        <v>1117</v>
      </c>
      <c r="E292" s="143">
        <v>3000</v>
      </c>
      <c r="F292" s="143">
        <v>0</v>
      </c>
      <c r="G292" s="143">
        <v>3000</v>
      </c>
      <c r="H292" s="143">
        <v>0</v>
      </c>
      <c r="I292" s="143">
        <v>0</v>
      </c>
      <c r="J292" s="143" t="str">
        <f>_xlfn.XLOOKUP(Table1[[#This Row],[Mã xuất]],$M$3:$M$72,$O$3:$O$72)</f>
        <v>TSX</v>
      </c>
    </row>
    <row r="293" spans="1:10">
      <c r="A293">
        <v>2024</v>
      </c>
      <c r="B293">
        <v>1</v>
      </c>
      <c r="C293" t="s">
        <v>1208</v>
      </c>
      <c r="D293" t="s">
        <v>1209</v>
      </c>
      <c r="E293" s="143">
        <v>2500</v>
      </c>
      <c r="F293" s="143">
        <v>0</v>
      </c>
      <c r="G293" s="143">
        <v>2500</v>
      </c>
      <c r="H293" s="143">
        <v>0</v>
      </c>
      <c r="I293" s="143">
        <v>0</v>
      </c>
      <c r="J293" s="143" t="str">
        <f>_xlfn.XLOOKUP(Table1[[#This Row],[Mã xuất]],$M$3:$M$72,$O$3:$O$72)</f>
        <v>TSX</v>
      </c>
    </row>
    <row r="294" spans="1:10">
      <c r="A294">
        <v>2024</v>
      </c>
      <c r="B294">
        <v>1</v>
      </c>
      <c r="C294" t="s">
        <v>1090</v>
      </c>
      <c r="D294" t="s">
        <v>1091</v>
      </c>
      <c r="E294" s="143">
        <v>1908</v>
      </c>
      <c r="F294" s="143">
        <v>0</v>
      </c>
      <c r="G294" s="143">
        <v>1840</v>
      </c>
      <c r="H294" s="143">
        <v>0</v>
      </c>
      <c r="I294" s="143">
        <v>68</v>
      </c>
      <c r="J294" s="143" t="str">
        <f>_xlfn.XLOOKUP(Table1[[#This Row],[Mã xuất]],$M$3:$M$72,$O$3:$O$72)</f>
        <v>MN</v>
      </c>
    </row>
    <row r="295" spans="1:10">
      <c r="A295">
        <v>2024</v>
      </c>
      <c r="B295">
        <v>2</v>
      </c>
      <c r="C295" t="s">
        <v>1078</v>
      </c>
      <c r="D295" t="s">
        <v>1079</v>
      </c>
      <c r="E295" s="143">
        <v>950263.99999999988</v>
      </c>
      <c r="F295" s="143">
        <v>150000</v>
      </c>
      <c r="G295" s="143">
        <v>739000</v>
      </c>
      <c r="H295" s="143">
        <v>45992</v>
      </c>
      <c r="I295" s="143">
        <v>15271.999999999884</v>
      </c>
      <c r="J295" s="143" t="str">
        <f>_xlfn.XLOOKUP(Table1[[#This Row],[Mã xuất]],$M$3:$M$72,$O$3:$O$72)</f>
        <v>MN</v>
      </c>
    </row>
    <row r="296" spans="1:10">
      <c r="A296">
        <v>2024</v>
      </c>
      <c r="B296">
        <v>2</v>
      </c>
      <c r="C296" t="s">
        <v>1098</v>
      </c>
      <c r="D296" t="s">
        <v>1099</v>
      </c>
      <c r="E296" s="143">
        <v>562499.99999999988</v>
      </c>
      <c r="F296" s="143">
        <v>192138.63636363635</v>
      </c>
      <c r="G296" s="143">
        <v>343436.36363636359</v>
      </c>
      <c r="H296" s="143">
        <v>20837.713636363638</v>
      </c>
      <c r="I296" s="143">
        <v>6087.2863636363036</v>
      </c>
      <c r="J296" s="143" t="str">
        <f>_xlfn.XLOOKUP(Table1[[#This Row],[Mã xuất]],$M$3:$M$72,$O$3:$O$72)</f>
        <v>MN</v>
      </c>
    </row>
    <row r="297" spans="1:10">
      <c r="A297">
        <v>2024</v>
      </c>
      <c r="B297">
        <v>2</v>
      </c>
      <c r="C297" t="s">
        <v>1086</v>
      </c>
      <c r="D297" t="s">
        <v>1087</v>
      </c>
      <c r="E297" s="143">
        <v>471955.99999999994</v>
      </c>
      <c r="F297" s="143">
        <v>58500</v>
      </c>
      <c r="G297" s="143">
        <v>368000</v>
      </c>
      <c r="H297" s="143">
        <v>32359</v>
      </c>
      <c r="I297" s="143">
        <v>13096.999999999942</v>
      </c>
      <c r="J297" s="143" t="str">
        <f>_xlfn.XLOOKUP(Table1[[#This Row],[Mã xuất]],$M$3:$M$72,$O$3:$O$72)</f>
        <v>MN</v>
      </c>
    </row>
    <row r="298" spans="1:10">
      <c r="A298">
        <v>2024</v>
      </c>
      <c r="B298">
        <v>2</v>
      </c>
      <c r="C298" t="s">
        <v>1080</v>
      </c>
      <c r="D298" t="s">
        <v>1081</v>
      </c>
      <c r="E298" s="143">
        <v>296999.99999999994</v>
      </c>
      <c r="F298" s="143">
        <v>102852.9919447641</v>
      </c>
      <c r="G298" s="143">
        <v>184740.79401611048</v>
      </c>
      <c r="H298" s="143">
        <v>9874.4225482674847</v>
      </c>
      <c r="I298" s="143">
        <v>-468.20850914212133</v>
      </c>
      <c r="J298" s="143" t="str">
        <f>_xlfn.XLOOKUP(Table1[[#This Row],[Mã xuất]],$M$3:$M$72,$O$3:$O$72)</f>
        <v>TSX</v>
      </c>
    </row>
    <row r="299" spans="1:10">
      <c r="A299">
        <v>2024</v>
      </c>
      <c r="B299">
        <v>2</v>
      </c>
      <c r="C299" t="s">
        <v>1210</v>
      </c>
      <c r="D299" t="s">
        <v>1211</v>
      </c>
      <c r="E299" s="143">
        <v>176628.5</v>
      </c>
      <c r="F299" s="143">
        <v>64000</v>
      </c>
      <c r="G299" s="143">
        <v>103000</v>
      </c>
      <c r="H299" s="143">
        <v>5372</v>
      </c>
      <c r="I299" s="143">
        <v>4256.5</v>
      </c>
      <c r="J299" s="143" t="str">
        <f>_xlfn.XLOOKUP(Table1[[#This Row],[Mã xuất]],$M$3:$M$72,$O$3:$O$72)</f>
        <v>MN</v>
      </c>
    </row>
    <row r="300" spans="1:10">
      <c r="A300">
        <v>2024</v>
      </c>
      <c r="B300">
        <v>2</v>
      </c>
      <c r="C300" t="s">
        <v>1146</v>
      </c>
      <c r="D300" t="s">
        <v>1147</v>
      </c>
      <c r="E300" s="143">
        <v>148000.00000000003</v>
      </c>
      <c r="F300" s="143">
        <v>27500</v>
      </c>
      <c r="G300" s="143">
        <v>115000</v>
      </c>
      <c r="H300" s="143">
        <v>3205</v>
      </c>
      <c r="I300" s="143">
        <v>2295.0000000000291</v>
      </c>
      <c r="J300" s="143" t="str">
        <f>_xlfn.XLOOKUP(Table1[[#This Row],[Mã xuất]],$M$3:$M$72,$O$3:$O$72)</f>
        <v>TSX</v>
      </c>
    </row>
    <row r="301" spans="1:10">
      <c r="A301">
        <v>2024</v>
      </c>
      <c r="B301">
        <v>2</v>
      </c>
      <c r="C301" t="s">
        <v>1204</v>
      </c>
      <c r="D301" t="s">
        <v>1205</v>
      </c>
      <c r="E301" s="143">
        <v>113690.99999999999</v>
      </c>
      <c r="F301" s="143">
        <v>2893.939393939394</v>
      </c>
      <c r="G301" s="143">
        <v>102984.84848484848</v>
      </c>
      <c r="H301" s="143">
        <v>5285.2121212121201</v>
      </c>
      <c r="I301" s="143">
        <v>2526.9999999999927</v>
      </c>
      <c r="J301" s="143" t="str">
        <f>_xlfn.XLOOKUP(Table1[[#This Row],[Mã xuất]],$M$3:$M$72,$O$3:$O$72)</f>
        <v>TSX</v>
      </c>
    </row>
    <row r="302" spans="1:10">
      <c r="A302">
        <v>2024</v>
      </c>
      <c r="B302">
        <v>2</v>
      </c>
      <c r="C302" t="s">
        <v>1084</v>
      </c>
      <c r="D302" t="s">
        <v>1085</v>
      </c>
      <c r="E302" s="143">
        <v>47000</v>
      </c>
      <c r="F302" s="143">
        <v>15253.068661296511</v>
      </c>
      <c r="G302" s="143">
        <v>30274.357499041045</v>
      </c>
      <c r="H302" s="143">
        <v>1712.3653305203941</v>
      </c>
      <c r="I302" s="143">
        <v>-239.79149085795029</v>
      </c>
      <c r="J302" s="143" t="str">
        <f>_xlfn.XLOOKUP(Table1[[#This Row],[Mã xuất]],$M$3:$M$72,$O$3:$O$72)</f>
        <v>TSX</v>
      </c>
    </row>
    <row r="303" spans="1:10">
      <c r="A303">
        <v>2024</v>
      </c>
      <c r="B303">
        <v>2</v>
      </c>
      <c r="C303" t="s">
        <v>1094</v>
      </c>
      <c r="D303" t="s">
        <v>1095</v>
      </c>
      <c r="E303" s="143">
        <v>45500</v>
      </c>
      <c r="F303" s="143">
        <v>43000</v>
      </c>
      <c r="G303" s="143">
        <v>0</v>
      </c>
      <c r="H303" s="143">
        <v>1859</v>
      </c>
      <c r="I303" s="143">
        <v>641</v>
      </c>
      <c r="J303" s="143" t="str">
        <f>_xlfn.XLOOKUP(Table1[[#This Row],[Mã xuất]],$M$3:$M$72,$O$3:$O$72)</f>
        <v>TSX</v>
      </c>
    </row>
    <row r="304" spans="1:10">
      <c r="A304">
        <v>2024</v>
      </c>
      <c r="B304">
        <v>2</v>
      </c>
      <c r="C304" t="s">
        <v>1090</v>
      </c>
      <c r="D304" t="s">
        <v>1091</v>
      </c>
      <c r="E304" s="143">
        <v>22003</v>
      </c>
      <c r="F304" s="143">
        <v>0</v>
      </c>
      <c r="G304" s="143">
        <v>19000</v>
      </c>
      <c r="H304" s="143">
        <v>2775</v>
      </c>
      <c r="I304" s="143">
        <v>228</v>
      </c>
      <c r="J304" s="143" t="str">
        <f>_xlfn.XLOOKUP(Table1[[#This Row],[Mã xuất]],$M$3:$M$72,$O$3:$O$72)</f>
        <v>MN</v>
      </c>
    </row>
    <row r="305" spans="1:10">
      <c r="A305">
        <v>2024</v>
      </c>
      <c r="B305">
        <v>2</v>
      </c>
      <c r="C305" t="s">
        <v>1088</v>
      </c>
      <c r="D305" t="s">
        <v>1089</v>
      </c>
      <c r="E305" s="143">
        <v>16500</v>
      </c>
      <c r="F305" s="143">
        <v>0</v>
      </c>
      <c r="G305" s="143">
        <v>14000</v>
      </c>
      <c r="H305" s="143">
        <v>1721</v>
      </c>
      <c r="I305" s="143">
        <v>779</v>
      </c>
      <c r="J305" s="143" t="str">
        <f>_xlfn.XLOOKUP(Table1[[#This Row],[Mã xuất]],$M$3:$M$72,$O$3:$O$72)</f>
        <v>TSX</v>
      </c>
    </row>
    <row r="306" spans="1:10">
      <c r="A306">
        <v>2024</v>
      </c>
      <c r="B306">
        <v>2</v>
      </c>
      <c r="C306" t="s">
        <v>1112</v>
      </c>
      <c r="D306" t="s">
        <v>1113</v>
      </c>
      <c r="E306" s="143">
        <v>11500.000000000002</v>
      </c>
      <c r="F306" s="143">
        <v>4861.363636363636</v>
      </c>
      <c r="G306" s="143">
        <v>6063.6363636363631</v>
      </c>
      <c r="H306" s="143">
        <v>464.28636363636372</v>
      </c>
      <c r="I306" s="143">
        <v>110.71363636363901</v>
      </c>
      <c r="J306" s="143" t="str">
        <f>_xlfn.XLOOKUP(Table1[[#This Row],[Mã xuất]],$M$3:$M$72,$O$3:$O$72)</f>
        <v>TSX</v>
      </c>
    </row>
    <row r="307" spans="1:10">
      <c r="A307">
        <v>2024</v>
      </c>
      <c r="B307">
        <v>2</v>
      </c>
      <c r="C307" t="s">
        <v>1116</v>
      </c>
      <c r="D307" t="s">
        <v>1117</v>
      </c>
      <c r="E307" s="143">
        <v>7500</v>
      </c>
      <c r="F307" s="143">
        <v>4000</v>
      </c>
      <c r="G307" s="143">
        <v>3500</v>
      </c>
      <c r="H307" s="143">
        <v>0</v>
      </c>
      <c r="I307" s="143">
        <v>0</v>
      </c>
      <c r="J307" s="143" t="str">
        <f>_xlfn.XLOOKUP(Table1[[#This Row],[Mã xuất]],$M$3:$M$72,$O$3:$O$72)</f>
        <v>TSX</v>
      </c>
    </row>
    <row r="308" spans="1:10">
      <c r="A308">
        <v>2024</v>
      </c>
      <c r="B308">
        <v>3</v>
      </c>
      <c r="C308" t="s">
        <v>1078</v>
      </c>
      <c r="D308" t="s">
        <v>1079</v>
      </c>
      <c r="E308" s="143">
        <v>2661361.0000000005</v>
      </c>
      <c r="F308" s="143">
        <v>586000</v>
      </c>
      <c r="G308" s="143">
        <v>1923500</v>
      </c>
      <c r="H308" s="143">
        <v>132070</v>
      </c>
      <c r="I308" s="143">
        <v>19791.000000000466</v>
      </c>
      <c r="J308" s="143" t="str">
        <f>_xlfn.XLOOKUP(Table1[[#This Row],[Mã xuất]],$M$3:$M$72,$O$3:$O$72)</f>
        <v>MN</v>
      </c>
    </row>
    <row r="309" spans="1:10">
      <c r="A309">
        <v>2024</v>
      </c>
      <c r="B309">
        <v>3</v>
      </c>
      <c r="C309" t="s">
        <v>1080</v>
      </c>
      <c r="D309" t="s">
        <v>1081</v>
      </c>
      <c r="E309" s="143">
        <v>829999.99999999988</v>
      </c>
      <c r="F309" s="143">
        <v>127930.57739224721</v>
      </c>
      <c r="G309" s="143">
        <v>671561.53429113585</v>
      </c>
      <c r="H309" s="143">
        <v>34206.4110056926</v>
      </c>
      <c r="I309" s="143">
        <v>-3698.5226890757185</v>
      </c>
      <c r="J309" s="143" t="str">
        <f>_xlfn.XLOOKUP(Table1[[#This Row],[Mã xuất]],$M$3:$M$72,$O$3:$O$72)</f>
        <v>TSX</v>
      </c>
    </row>
    <row r="310" spans="1:10">
      <c r="A310">
        <v>2024</v>
      </c>
      <c r="B310">
        <v>3</v>
      </c>
      <c r="C310" t="s">
        <v>1086</v>
      </c>
      <c r="D310" t="s">
        <v>1087</v>
      </c>
      <c r="E310" s="143">
        <v>443676</v>
      </c>
      <c r="F310" s="143">
        <v>45151.147705634954</v>
      </c>
      <c r="G310" s="143">
        <v>363880.65744596266</v>
      </c>
      <c r="H310" s="143">
        <v>23025.395827666296</v>
      </c>
      <c r="I310" s="143">
        <v>11618.799020736107</v>
      </c>
      <c r="J310" s="143" t="str">
        <f>_xlfn.XLOOKUP(Table1[[#This Row],[Mã xuất]],$M$3:$M$72,$O$3:$O$72)</f>
        <v>MN</v>
      </c>
    </row>
    <row r="311" spans="1:10">
      <c r="A311">
        <v>2024</v>
      </c>
      <c r="B311">
        <v>3</v>
      </c>
      <c r="C311" t="s">
        <v>1146</v>
      </c>
      <c r="D311" t="s">
        <v>1147</v>
      </c>
      <c r="E311" s="143">
        <v>113000</v>
      </c>
      <c r="F311" s="143">
        <v>20152.777777777777</v>
      </c>
      <c r="G311" s="143">
        <v>89055.555555555562</v>
      </c>
      <c r="H311" s="143">
        <v>2135.4166666666665</v>
      </c>
      <c r="I311" s="143">
        <v>1656.2499999999905</v>
      </c>
      <c r="J311" s="143" t="str">
        <f>_xlfn.XLOOKUP(Table1[[#This Row],[Mã xuất]],$M$3:$M$72,$O$3:$O$72)</f>
        <v>TSX</v>
      </c>
    </row>
    <row r="312" spans="1:10">
      <c r="A312">
        <v>2024</v>
      </c>
      <c r="B312">
        <v>3</v>
      </c>
      <c r="C312" t="s">
        <v>1204</v>
      </c>
      <c r="D312" t="s">
        <v>1205</v>
      </c>
      <c r="E312" s="143">
        <v>103850.00000000001</v>
      </c>
      <c r="F312" s="143">
        <v>0</v>
      </c>
      <c r="G312" s="143">
        <v>92400</v>
      </c>
      <c r="H312" s="143">
        <v>9225</v>
      </c>
      <c r="I312" s="143">
        <v>2225.0000000000146</v>
      </c>
      <c r="J312" s="143" t="str">
        <f>_xlfn.XLOOKUP(Table1[[#This Row],[Mã xuất]],$M$3:$M$72,$O$3:$O$72)</f>
        <v>TSX</v>
      </c>
    </row>
    <row r="313" spans="1:10">
      <c r="A313">
        <v>2024</v>
      </c>
      <c r="B313">
        <v>3</v>
      </c>
      <c r="C313" t="s">
        <v>1098</v>
      </c>
      <c r="D313" t="s">
        <v>1099</v>
      </c>
      <c r="E313" s="143">
        <v>92500</v>
      </c>
      <c r="F313" s="143">
        <v>18500</v>
      </c>
      <c r="G313" s="143">
        <v>70500</v>
      </c>
      <c r="H313" s="143">
        <v>6589</v>
      </c>
      <c r="I313" s="143">
        <v>-3089</v>
      </c>
      <c r="J313" s="143" t="str">
        <f>_xlfn.XLOOKUP(Table1[[#This Row],[Mã xuất]],$M$3:$M$72,$O$3:$O$72)</f>
        <v>MN</v>
      </c>
    </row>
    <row r="314" spans="1:10">
      <c r="A314">
        <v>2024</v>
      </c>
      <c r="B314">
        <v>3</v>
      </c>
      <c r="C314" t="s">
        <v>1094</v>
      </c>
      <c r="D314" t="s">
        <v>1095</v>
      </c>
      <c r="E314" s="143">
        <v>35000</v>
      </c>
      <c r="F314" s="143">
        <v>31500</v>
      </c>
      <c r="G314" s="143">
        <v>2000</v>
      </c>
      <c r="H314" s="143">
        <v>3440</v>
      </c>
      <c r="I314" s="143">
        <v>-1940</v>
      </c>
      <c r="J314" s="143" t="str">
        <f>_xlfn.XLOOKUP(Table1[[#This Row],[Mã xuất]],$M$3:$M$72,$O$3:$O$72)</f>
        <v>TSX</v>
      </c>
    </row>
    <row r="315" spans="1:10">
      <c r="A315">
        <v>2024</v>
      </c>
      <c r="B315">
        <v>3</v>
      </c>
      <c r="C315" t="s">
        <v>1090</v>
      </c>
      <c r="D315" t="s">
        <v>1091</v>
      </c>
      <c r="E315" s="143">
        <v>28729</v>
      </c>
      <c r="F315" s="143">
        <v>0</v>
      </c>
      <c r="G315" s="143">
        <v>26500</v>
      </c>
      <c r="H315" s="143">
        <v>3803</v>
      </c>
      <c r="I315" s="143">
        <v>-1574</v>
      </c>
      <c r="J315" s="143" t="str">
        <f>_xlfn.XLOOKUP(Table1[[#This Row],[Mã xuất]],$M$3:$M$72,$O$3:$O$72)</f>
        <v>MN</v>
      </c>
    </row>
    <row r="316" spans="1:10">
      <c r="A316">
        <v>2024</v>
      </c>
      <c r="B316">
        <v>3</v>
      </c>
      <c r="C316" t="s">
        <v>1084</v>
      </c>
      <c r="D316" t="s">
        <v>1085</v>
      </c>
      <c r="E316" s="143">
        <v>24499.999999999996</v>
      </c>
      <c r="F316" s="143">
        <v>4569.4226077527783</v>
      </c>
      <c r="G316" s="143">
        <v>19938.465708864191</v>
      </c>
      <c r="H316" s="143">
        <v>1662.5889943074003</v>
      </c>
      <c r="I316" s="143">
        <v>-1670.4773109243729</v>
      </c>
      <c r="J316" s="143" t="str">
        <f>_xlfn.XLOOKUP(Table1[[#This Row],[Mã xuất]],$M$3:$M$72,$O$3:$O$72)</f>
        <v>TSX</v>
      </c>
    </row>
    <row r="317" spans="1:10">
      <c r="A317">
        <v>2024</v>
      </c>
      <c r="B317">
        <v>3</v>
      </c>
      <c r="C317" t="s">
        <v>1152</v>
      </c>
      <c r="D317" t="s">
        <v>1153</v>
      </c>
      <c r="E317" s="143">
        <v>17500</v>
      </c>
      <c r="F317" s="143">
        <v>9500</v>
      </c>
      <c r="G317" s="143">
        <v>6000</v>
      </c>
      <c r="H317" s="143">
        <v>2063</v>
      </c>
      <c r="I317" s="143">
        <v>-63</v>
      </c>
      <c r="J317" s="143" t="str">
        <f>_xlfn.XLOOKUP(Table1[[#This Row],[Mã xuất]],$M$3:$M$72,$O$3:$O$72)</f>
        <v>TSX</v>
      </c>
    </row>
    <row r="318" spans="1:10">
      <c r="A318">
        <v>2024</v>
      </c>
      <c r="B318">
        <v>3</v>
      </c>
      <c r="C318" t="s">
        <v>1100</v>
      </c>
      <c r="D318" t="s">
        <v>1101</v>
      </c>
      <c r="E318" s="143">
        <v>14400</v>
      </c>
      <c r="F318" s="143">
        <v>0</v>
      </c>
      <c r="G318" s="143">
        <v>12385.365853658537</v>
      </c>
      <c r="H318" s="143">
        <v>1746.2195121951218</v>
      </c>
      <c r="I318" s="143">
        <v>268.41463414634109</v>
      </c>
      <c r="J318" s="143" t="str">
        <f>_xlfn.XLOOKUP(Table1[[#This Row],[Mã xuất]],$M$3:$M$72,$O$3:$O$72)</f>
        <v>TSX</v>
      </c>
    </row>
    <row r="319" spans="1:10">
      <c r="A319">
        <v>2024</v>
      </c>
      <c r="B319">
        <v>3</v>
      </c>
      <c r="C319" t="s">
        <v>1212</v>
      </c>
      <c r="D319" t="s">
        <v>1213</v>
      </c>
      <c r="E319" s="143">
        <v>5000</v>
      </c>
      <c r="F319" s="143">
        <v>347.22222222222223</v>
      </c>
      <c r="G319" s="143">
        <v>4444.4444444444443</v>
      </c>
      <c r="H319" s="143">
        <v>104.58333333333333</v>
      </c>
      <c r="I319" s="143">
        <v>103.7499999999997</v>
      </c>
      <c r="J319" s="143" t="str">
        <f>_xlfn.XLOOKUP(Table1[[#This Row],[Mã xuất]],$M$3:$M$72,$O$3:$O$72)</f>
        <v>TSX</v>
      </c>
    </row>
    <row r="320" spans="1:10">
      <c r="A320">
        <v>2024</v>
      </c>
      <c r="B320">
        <v>3</v>
      </c>
      <c r="C320" t="s">
        <v>1082</v>
      </c>
      <c r="D320" t="s">
        <v>1083</v>
      </c>
      <c r="E320" s="143">
        <v>4800</v>
      </c>
      <c r="F320" s="143">
        <v>0</v>
      </c>
      <c r="G320" s="143">
        <v>4214.6341463414637</v>
      </c>
      <c r="H320" s="143">
        <v>928.78048780487813</v>
      </c>
      <c r="I320" s="143">
        <v>-343.41463414634188</v>
      </c>
      <c r="J320" s="143" t="str">
        <f>_xlfn.XLOOKUP(Table1[[#This Row],[Mã xuất]],$M$3:$M$72,$O$3:$O$72)</f>
        <v>TSX</v>
      </c>
    </row>
    <row r="321" spans="1:10">
      <c r="A321">
        <v>2024</v>
      </c>
      <c r="B321">
        <v>3</v>
      </c>
      <c r="C321" t="s">
        <v>1092</v>
      </c>
      <c r="D321" t="s">
        <v>1093</v>
      </c>
      <c r="E321" s="143">
        <v>4168</v>
      </c>
      <c r="F321" s="143">
        <v>348.85229436504784</v>
      </c>
      <c r="G321" s="143">
        <v>3619.342554037371</v>
      </c>
      <c r="H321" s="143">
        <v>190.60417233370299</v>
      </c>
      <c r="I321" s="143">
        <v>9.2009792638782528</v>
      </c>
      <c r="J321" s="143" t="str">
        <f>_xlfn.XLOOKUP(Table1[[#This Row],[Mã xuất]],$M$3:$M$72,$O$3:$O$72)</f>
        <v>MN</v>
      </c>
    </row>
    <row r="322" spans="1:10">
      <c r="A322">
        <v>2024</v>
      </c>
      <c r="B322">
        <v>4</v>
      </c>
      <c r="C322" t="s">
        <v>1078</v>
      </c>
      <c r="D322" t="s">
        <v>1079</v>
      </c>
      <c r="E322" s="143">
        <v>1213110</v>
      </c>
      <c r="F322" s="143">
        <v>312500</v>
      </c>
      <c r="G322" s="143">
        <v>848000</v>
      </c>
      <c r="H322" s="143">
        <v>35927</v>
      </c>
      <c r="I322" s="143">
        <v>16683</v>
      </c>
      <c r="J322" s="143" t="str">
        <f>_xlfn.XLOOKUP(Table1[[#This Row],[Mã xuất]],$M$3:$M$72,$O$3:$O$72)</f>
        <v>MN</v>
      </c>
    </row>
    <row r="323" spans="1:10">
      <c r="A323">
        <v>2024</v>
      </c>
      <c r="B323">
        <v>4</v>
      </c>
      <c r="C323" t="s">
        <v>1090</v>
      </c>
      <c r="D323" t="s">
        <v>1091</v>
      </c>
      <c r="E323" s="143">
        <v>163339</v>
      </c>
      <c r="F323" s="143">
        <v>6000</v>
      </c>
      <c r="G323" s="143">
        <v>140100</v>
      </c>
      <c r="H323" s="143">
        <v>13972</v>
      </c>
      <c r="I323" s="143">
        <v>3267</v>
      </c>
      <c r="J323" s="143" t="str">
        <f>_xlfn.XLOOKUP(Table1[[#This Row],[Mã xuất]],$M$3:$M$72,$O$3:$O$72)</f>
        <v>MN</v>
      </c>
    </row>
    <row r="324" spans="1:10">
      <c r="A324">
        <v>2024</v>
      </c>
      <c r="B324">
        <v>4</v>
      </c>
      <c r="C324" t="s">
        <v>1086</v>
      </c>
      <c r="D324" t="s">
        <v>1087</v>
      </c>
      <c r="E324" s="143">
        <v>117576.00000000001</v>
      </c>
      <c r="F324" s="143">
        <v>11500</v>
      </c>
      <c r="G324" s="143">
        <v>99500</v>
      </c>
      <c r="H324" s="143">
        <v>5544</v>
      </c>
      <c r="I324" s="143">
        <v>1032.0000000000146</v>
      </c>
      <c r="J324" s="143" t="str">
        <f>_xlfn.XLOOKUP(Table1[[#This Row],[Mã xuất]],$M$3:$M$72,$O$3:$O$72)</f>
        <v>MN</v>
      </c>
    </row>
    <row r="325" spans="1:10">
      <c r="A325">
        <v>2024</v>
      </c>
      <c r="B325">
        <v>4</v>
      </c>
      <c r="C325" t="s">
        <v>1124</v>
      </c>
      <c r="D325" t="s">
        <v>1125</v>
      </c>
      <c r="E325" s="143">
        <v>64800.000000000007</v>
      </c>
      <c r="F325" s="143">
        <v>51141.463414634141</v>
      </c>
      <c r="G325" s="143">
        <v>7687.8048780487807</v>
      </c>
      <c r="H325" s="143">
        <v>3724.6097560975613</v>
      </c>
      <c r="I325" s="143">
        <v>2246.1219512195239</v>
      </c>
      <c r="J325" s="143" t="str">
        <f>_xlfn.XLOOKUP(Table1[[#This Row],[Mã xuất]],$M$3:$M$72,$O$3:$O$72)</f>
        <v>TSX</v>
      </c>
    </row>
    <row r="326" spans="1:10">
      <c r="A326">
        <v>2024</v>
      </c>
      <c r="B326">
        <v>4</v>
      </c>
      <c r="C326" t="s">
        <v>1080</v>
      </c>
      <c r="D326" t="s">
        <v>1081</v>
      </c>
      <c r="E326" s="143">
        <v>51000</v>
      </c>
      <c r="F326" s="143">
        <v>6972.65625</v>
      </c>
      <c r="G326" s="143">
        <v>42333.984375</v>
      </c>
      <c r="H326" s="143">
        <v>612.59765625</v>
      </c>
      <c r="I326" s="143">
        <v>1080.76171875</v>
      </c>
      <c r="J326" s="143" t="str">
        <f>_xlfn.XLOOKUP(Table1[[#This Row],[Mã xuất]],$M$3:$M$72,$O$3:$O$72)</f>
        <v>TSX</v>
      </c>
    </row>
    <row r="327" spans="1:10">
      <c r="A327">
        <v>2024</v>
      </c>
      <c r="B327">
        <v>4</v>
      </c>
      <c r="C327" t="s">
        <v>1094</v>
      </c>
      <c r="D327" t="s">
        <v>1095</v>
      </c>
      <c r="E327" s="143">
        <v>22999.999999999996</v>
      </c>
      <c r="F327" s="143">
        <v>21500</v>
      </c>
      <c r="G327" s="143">
        <v>500</v>
      </c>
      <c r="H327" s="143">
        <v>940</v>
      </c>
      <c r="I327" s="143">
        <v>59.999999999996362</v>
      </c>
      <c r="J327" s="143" t="str">
        <f>_xlfn.XLOOKUP(Table1[[#This Row],[Mã xuất]],$M$3:$M$72,$O$3:$O$72)</f>
        <v>TSX</v>
      </c>
    </row>
    <row r="328" spans="1:10">
      <c r="A328">
        <v>2024</v>
      </c>
      <c r="B328">
        <v>4</v>
      </c>
      <c r="C328" t="s">
        <v>1198</v>
      </c>
      <c r="D328" t="s">
        <v>1199</v>
      </c>
      <c r="E328" s="143">
        <v>19700</v>
      </c>
      <c r="F328" s="143">
        <v>7286.3013698630139</v>
      </c>
      <c r="G328" s="143">
        <v>11873.972602739726</v>
      </c>
      <c r="H328" s="143">
        <v>481.97534246575339</v>
      </c>
      <c r="I328" s="143">
        <v>57.750684931507237</v>
      </c>
      <c r="J328" s="143" t="str">
        <f>_xlfn.XLOOKUP(Table1[[#This Row],[Mã xuất]],$M$3:$M$72,$O$3:$O$72)</f>
        <v>TSX</v>
      </c>
    </row>
    <row r="329" spans="1:10">
      <c r="A329">
        <v>2024</v>
      </c>
      <c r="B329">
        <v>4</v>
      </c>
      <c r="C329" t="s">
        <v>1144</v>
      </c>
      <c r="D329" t="s">
        <v>1145</v>
      </c>
      <c r="E329" s="143">
        <v>14500</v>
      </c>
      <c r="F329" s="143">
        <v>0</v>
      </c>
      <c r="G329" s="143">
        <v>14000</v>
      </c>
      <c r="H329" s="143">
        <v>500</v>
      </c>
      <c r="I329" s="143">
        <v>0</v>
      </c>
      <c r="J329" s="143" t="str">
        <f>_xlfn.XLOOKUP(Table1[[#This Row],[Mã xuất]],$M$3:$M$72,$O$3:$O$72)</f>
        <v>TSX</v>
      </c>
    </row>
    <row r="330" spans="1:10">
      <c r="A330">
        <v>2024</v>
      </c>
      <c r="B330">
        <v>4</v>
      </c>
      <c r="C330" t="s">
        <v>1174</v>
      </c>
      <c r="D330" t="s">
        <v>1175</v>
      </c>
      <c r="E330" s="143">
        <v>7999.9999999999991</v>
      </c>
      <c r="F330" s="143">
        <v>2958.9041095890411</v>
      </c>
      <c r="G330" s="143">
        <v>4821.9178082191784</v>
      </c>
      <c r="H330" s="143">
        <v>195.72602739726028</v>
      </c>
      <c r="I330" s="143">
        <v>23.452054794518858</v>
      </c>
      <c r="J330" s="143" t="str">
        <f>_xlfn.XLOOKUP(Table1[[#This Row],[Mã xuất]],$M$3:$M$72,$O$3:$O$72)</f>
        <v>MN</v>
      </c>
    </row>
    <row r="331" spans="1:10">
      <c r="A331">
        <v>2024</v>
      </c>
      <c r="B331">
        <v>4</v>
      </c>
      <c r="C331" t="s">
        <v>1146</v>
      </c>
      <c r="D331" t="s">
        <v>1147</v>
      </c>
      <c r="E331" s="143">
        <v>4500</v>
      </c>
      <c r="F331" s="143">
        <v>1664.3835616438357</v>
      </c>
      <c r="G331" s="143">
        <v>2712.3287671232874</v>
      </c>
      <c r="H331" s="143">
        <v>110.09589041095892</v>
      </c>
      <c r="I331" s="143">
        <v>13.191780821918158</v>
      </c>
      <c r="J331" s="143" t="str">
        <f>_xlfn.XLOOKUP(Table1[[#This Row],[Mã xuất]],$M$3:$M$72,$O$3:$O$72)</f>
        <v>TSX</v>
      </c>
    </row>
    <row r="332" spans="1:10">
      <c r="A332">
        <v>2024</v>
      </c>
      <c r="B332">
        <v>4</v>
      </c>
      <c r="C332" t="s">
        <v>1150</v>
      </c>
      <c r="D332" t="s">
        <v>1151</v>
      </c>
      <c r="E332" s="143">
        <v>3200</v>
      </c>
      <c r="F332" s="143">
        <v>2458.5365853658536</v>
      </c>
      <c r="G332" s="143">
        <v>312.19512195121951</v>
      </c>
      <c r="H332" s="143">
        <v>308.39024390243901</v>
      </c>
      <c r="I332" s="143">
        <v>120.87804878048786</v>
      </c>
      <c r="J332" s="143" t="str">
        <f>_xlfn.XLOOKUP(Table1[[#This Row],[Mã xuất]],$M$3:$M$72,$O$3:$O$72)</f>
        <v>TSX</v>
      </c>
    </row>
    <row r="333" spans="1:10">
      <c r="A333">
        <v>2024</v>
      </c>
      <c r="B333">
        <v>4</v>
      </c>
      <c r="C333" t="s">
        <v>1214</v>
      </c>
      <c r="D333" t="s">
        <v>1215</v>
      </c>
      <c r="E333" s="143">
        <v>2300</v>
      </c>
      <c r="F333" s="143">
        <v>850.68493150684935</v>
      </c>
      <c r="G333" s="143">
        <v>1386.3013698630139</v>
      </c>
      <c r="H333" s="143">
        <v>56.271232876712332</v>
      </c>
      <c r="I333" s="143">
        <v>6.7424657534244545</v>
      </c>
      <c r="J333" s="143" t="str">
        <f>_xlfn.XLOOKUP(Table1[[#This Row],[Mã xuất]],$M$3:$M$72,$O$3:$O$72)</f>
        <v>TSX</v>
      </c>
    </row>
    <row r="334" spans="1:10">
      <c r="A334">
        <v>2024</v>
      </c>
      <c r="B334">
        <v>4</v>
      </c>
      <c r="C334" t="s">
        <v>1216</v>
      </c>
      <c r="D334" t="s">
        <v>1217</v>
      </c>
      <c r="E334" s="143">
        <v>1999.9999999999998</v>
      </c>
      <c r="F334" s="143">
        <v>739.72602739726028</v>
      </c>
      <c r="G334" s="143">
        <v>1205.4794520547946</v>
      </c>
      <c r="H334" s="143">
        <v>48.93150684931507</v>
      </c>
      <c r="I334" s="143">
        <v>5.8630136986297146</v>
      </c>
      <c r="J334" s="143" t="str">
        <f>_xlfn.XLOOKUP(Table1[[#This Row],[Mã xuất]],$M$3:$M$72,$O$3:$O$72)</f>
        <v>MN</v>
      </c>
    </row>
    <row r="335" spans="1:10">
      <c r="A335">
        <v>2024</v>
      </c>
      <c r="B335">
        <v>4</v>
      </c>
      <c r="C335" t="s">
        <v>1162</v>
      </c>
      <c r="D335" t="s">
        <v>1163</v>
      </c>
      <c r="E335" s="143">
        <v>200</v>
      </c>
      <c r="F335" s="143">
        <v>27.34375</v>
      </c>
      <c r="G335" s="143">
        <v>166.015625</v>
      </c>
      <c r="H335" s="143">
        <v>2.40234375</v>
      </c>
      <c r="I335" s="143">
        <v>4.23828125</v>
      </c>
      <c r="J335" s="143" t="str">
        <f>_xlfn.XLOOKUP(Table1[[#This Row],[Mã xuất]],$M$3:$M$72,$O$3:$O$72)</f>
        <v>MN</v>
      </c>
    </row>
    <row r="336" spans="1:10">
      <c r="A336">
        <v>2024</v>
      </c>
      <c r="B336">
        <v>5</v>
      </c>
      <c r="C336" t="s">
        <v>1078</v>
      </c>
      <c r="D336" t="s">
        <v>1079</v>
      </c>
      <c r="E336" s="143">
        <v>2806415</v>
      </c>
      <c r="F336" s="143">
        <v>696000</v>
      </c>
      <c r="G336" s="143">
        <v>1985521.2000000002</v>
      </c>
      <c r="H336" s="143">
        <v>101431</v>
      </c>
      <c r="I336" s="143">
        <v>23462.799999999814</v>
      </c>
      <c r="J336" s="143" t="str">
        <f>_xlfn.XLOOKUP(Table1[[#This Row],[Mã xuất]],$M$3:$M$72,$O$3:$O$72)</f>
        <v>MN</v>
      </c>
    </row>
    <row r="337" spans="1:10">
      <c r="A337">
        <v>2024</v>
      </c>
      <c r="B337">
        <v>5</v>
      </c>
      <c r="C337" t="s">
        <v>1086</v>
      </c>
      <c r="D337" t="s">
        <v>1087</v>
      </c>
      <c r="E337" s="143">
        <v>477015.00000000012</v>
      </c>
      <c r="F337" s="143">
        <v>101000</v>
      </c>
      <c r="G337" s="143">
        <v>349000</v>
      </c>
      <c r="H337" s="143">
        <v>24365</v>
      </c>
      <c r="I337" s="143">
        <v>2650.0000000001164</v>
      </c>
      <c r="J337" s="143" t="str">
        <f>_xlfn.XLOOKUP(Table1[[#This Row],[Mã xuất]],$M$3:$M$72,$O$3:$O$72)</f>
        <v>MN</v>
      </c>
    </row>
    <row r="338" spans="1:10">
      <c r="A338">
        <v>2024</v>
      </c>
      <c r="B338">
        <v>5</v>
      </c>
      <c r="C338" t="s">
        <v>1080</v>
      </c>
      <c r="D338" t="s">
        <v>1081</v>
      </c>
      <c r="E338" s="143">
        <v>435500</v>
      </c>
      <c r="F338" s="143">
        <v>148019.80855892852</v>
      </c>
      <c r="G338" s="143">
        <v>267141.47228419146</v>
      </c>
      <c r="H338" s="143">
        <v>18664.894445213802</v>
      </c>
      <c r="I338" s="143">
        <v>1673.8247116661878</v>
      </c>
      <c r="J338" s="143" t="str">
        <f>_xlfn.XLOOKUP(Table1[[#This Row],[Mã xuất]],$M$3:$M$72,$O$3:$O$72)</f>
        <v>TSX</v>
      </c>
    </row>
    <row r="339" spans="1:10">
      <c r="A339">
        <v>2024</v>
      </c>
      <c r="B339">
        <v>5</v>
      </c>
      <c r="C339" t="s">
        <v>1084</v>
      </c>
      <c r="D339" t="s">
        <v>1085</v>
      </c>
      <c r="E339" s="143">
        <v>310700</v>
      </c>
      <c r="F339" s="143">
        <v>139689.18615006621</v>
      </c>
      <c r="G339" s="143">
        <v>164189.21554649633</v>
      </c>
      <c r="H339" s="143">
        <v>6676.026189706834</v>
      </c>
      <c r="I339" s="143">
        <v>145.57211373063183</v>
      </c>
      <c r="J339" s="143" t="str">
        <f>_xlfn.XLOOKUP(Table1[[#This Row],[Mã xuất]],$M$3:$M$72,$O$3:$O$72)</f>
        <v>TSX</v>
      </c>
    </row>
    <row r="340" spans="1:10">
      <c r="A340">
        <v>2024</v>
      </c>
      <c r="B340">
        <v>5</v>
      </c>
      <c r="C340" t="s">
        <v>1090</v>
      </c>
      <c r="D340" t="s">
        <v>1091</v>
      </c>
      <c r="E340" s="143">
        <v>203174</v>
      </c>
      <c r="F340" s="143">
        <v>2400</v>
      </c>
      <c r="G340" s="143">
        <v>181800</v>
      </c>
      <c r="H340" s="143">
        <v>14516</v>
      </c>
      <c r="I340" s="143">
        <v>4458</v>
      </c>
      <c r="J340" s="143" t="str">
        <f>_xlfn.XLOOKUP(Table1[[#This Row],[Mã xuất]],$M$3:$M$72,$O$3:$O$72)</f>
        <v>MN</v>
      </c>
    </row>
    <row r="341" spans="1:10">
      <c r="A341">
        <v>2024</v>
      </c>
      <c r="B341">
        <v>5</v>
      </c>
      <c r="C341" t="s">
        <v>1098</v>
      </c>
      <c r="D341" t="s">
        <v>1099</v>
      </c>
      <c r="E341" s="143">
        <v>132500</v>
      </c>
      <c r="F341" s="143">
        <v>62500</v>
      </c>
      <c r="G341" s="143">
        <v>59000</v>
      </c>
      <c r="H341" s="143">
        <v>7842</v>
      </c>
      <c r="I341" s="143">
        <v>3158</v>
      </c>
      <c r="J341" s="143" t="str">
        <f>_xlfn.XLOOKUP(Table1[[#This Row],[Mã xuất]],$M$3:$M$72,$O$3:$O$72)</f>
        <v>MN</v>
      </c>
    </row>
    <row r="342" spans="1:10">
      <c r="A342">
        <v>2024</v>
      </c>
      <c r="B342">
        <v>5</v>
      </c>
      <c r="C342" t="s">
        <v>1088</v>
      </c>
      <c r="D342" t="s">
        <v>1089</v>
      </c>
      <c r="E342" s="143">
        <v>94200</v>
      </c>
      <c r="F342" s="143">
        <v>0</v>
      </c>
      <c r="G342" s="143">
        <v>90800</v>
      </c>
      <c r="H342" s="143">
        <v>2489</v>
      </c>
      <c r="I342" s="143">
        <v>911</v>
      </c>
      <c r="J342" s="143" t="str">
        <f>_xlfn.XLOOKUP(Table1[[#This Row],[Mã xuất]],$M$3:$M$72,$O$3:$O$72)</f>
        <v>TSX</v>
      </c>
    </row>
    <row r="343" spans="1:10">
      <c r="A343">
        <v>2024</v>
      </c>
      <c r="B343">
        <v>5</v>
      </c>
      <c r="C343" t="s">
        <v>1124</v>
      </c>
      <c r="D343" t="s">
        <v>1125</v>
      </c>
      <c r="E343" s="143">
        <v>76552</v>
      </c>
      <c r="F343" s="143">
        <v>53600</v>
      </c>
      <c r="G343" s="143">
        <v>18000</v>
      </c>
      <c r="H343" s="143">
        <v>5909</v>
      </c>
      <c r="I343" s="143">
        <v>-957</v>
      </c>
      <c r="J343" s="143" t="str">
        <f>_xlfn.XLOOKUP(Table1[[#This Row],[Mã xuất]],$M$3:$M$72,$O$3:$O$72)</f>
        <v>TSX</v>
      </c>
    </row>
    <row r="344" spans="1:10">
      <c r="A344">
        <v>2024</v>
      </c>
      <c r="B344">
        <v>5</v>
      </c>
      <c r="C344" t="s">
        <v>1138</v>
      </c>
      <c r="D344" t="s">
        <v>1139</v>
      </c>
      <c r="E344" s="143">
        <v>34000</v>
      </c>
      <c r="F344" s="143">
        <v>15291.005291005291</v>
      </c>
      <c r="G344" s="143">
        <v>18169.312169312168</v>
      </c>
      <c r="H344" s="143">
        <v>613.07936507936506</v>
      </c>
      <c r="I344" s="143">
        <v>-73.396825396824397</v>
      </c>
      <c r="J344" s="143" t="str">
        <f>_xlfn.XLOOKUP(Table1[[#This Row],[Mã xuất]],$M$3:$M$72,$O$3:$O$72)</f>
        <v>TSX</v>
      </c>
    </row>
    <row r="345" spans="1:10">
      <c r="A345">
        <v>2024</v>
      </c>
      <c r="B345">
        <v>5</v>
      </c>
      <c r="C345" t="s">
        <v>1134</v>
      </c>
      <c r="D345" t="s">
        <v>1135</v>
      </c>
      <c r="E345" s="143">
        <v>28000</v>
      </c>
      <c r="F345" s="143">
        <v>16400</v>
      </c>
      <c r="G345" s="143">
        <v>9600</v>
      </c>
      <c r="H345" s="143">
        <v>1267</v>
      </c>
      <c r="I345" s="143">
        <v>733</v>
      </c>
      <c r="J345" s="143" t="str">
        <f>_xlfn.XLOOKUP(Table1[[#This Row],[Mã xuất]],$M$3:$M$72,$O$3:$O$72)</f>
        <v>TSX</v>
      </c>
    </row>
    <row r="346" spans="1:10">
      <c r="A346">
        <v>2024</v>
      </c>
      <c r="B346">
        <v>5</v>
      </c>
      <c r="C346" t="s">
        <v>1100</v>
      </c>
      <c r="D346" t="s">
        <v>1101</v>
      </c>
      <c r="E346" s="143">
        <v>17100</v>
      </c>
      <c r="F346" s="143">
        <v>0</v>
      </c>
      <c r="G346" s="143">
        <v>16400</v>
      </c>
      <c r="H346" s="143">
        <v>782</v>
      </c>
      <c r="I346" s="143">
        <v>-82</v>
      </c>
      <c r="J346" s="143" t="str">
        <f>_xlfn.XLOOKUP(Table1[[#This Row],[Mã xuất]],$M$3:$M$72,$O$3:$O$72)</f>
        <v>TSX</v>
      </c>
    </row>
    <row r="347" spans="1:10">
      <c r="A347">
        <v>2024</v>
      </c>
      <c r="B347">
        <v>5</v>
      </c>
      <c r="C347" t="s">
        <v>1094</v>
      </c>
      <c r="D347" t="s">
        <v>1095</v>
      </c>
      <c r="E347" s="143">
        <v>16000</v>
      </c>
      <c r="F347" s="143">
        <v>13500</v>
      </c>
      <c r="G347" s="143">
        <v>500</v>
      </c>
      <c r="H347" s="143">
        <v>1150</v>
      </c>
      <c r="I347" s="143">
        <v>850</v>
      </c>
      <c r="J347" s="143" t="str">
        <f>_xlfn.XLOOKUP(Table1[[#This Row],[Mã xuất]],$M$3:$M$72,$O$3:$O$72)</f>
        <v>TSX</v>
      </c>
    </row>
    <row r="348" spans="1:10">
      <c r="A348">
        <v>2024</v>
      </c>
      <c r="B348">
        <v>6</v>
      </c>
      <c r="C348" t="s">
        <v>1078</v>
      </c>
      <c r="D348" t="s">
        <v>1079</v>
      </c>
      <c r="E348" s="143">
        <v>2493628.0000000005</v>
      </c>
      <c r="F348" s="143">
        <v>800000</v>
      </c>
      <c r="G348" s="143">
        <v>1616500</v>
      </c>
      <c r="H348" s="143">
        <v>73102</v>
      </c>
      <c r="I348" s="143">
        <v>4026.0000000004657</v>
      </c>
      <c r="J348" s="143" t="str">
        <f>_xlfn.XLOOKUP(Table1[[#This Row],[Mã xuất]],$M$3:$M$72,$O$3:$O$72)</f>
        <v>MN</v>
      </c>
    </row>
    <row r="349" spans="1:10">
      <c r="A349">
        <v>2024</v>
      </c>
      <c r="B349">
        <v>6</v>
      </c>
      <c r="C349" t="s">
        <v>1086</v>
      </c>
      <c r="D349" t="s">
        <v>1087</v>
      </c>
      <c r="E349" s="143">
        <v>594869.99999999988</v>
      </c>
      <c r="F349" s="143">
        <v>122042.04106082884</v>
      </c>
      <c r="G349" s="143">
        <v>432973.47020276281</v>
      </c>
      <c r="H349" s="143">
        <v>39141.044944271998</v>
      </c>
      <c r="I349" s="143">
        <v>713.44379213624052</v>
      </c>
      <c r="J349" s="143" t="str">
        <f>_xlfn.XLOOKUP(Table1[[#This Row],[Mã xuất]],$M$3:$M$72,$O$3:$O$72)</f>
        <v>MN</v>
      </c>
    </row>
    <row r="350" spans="1:10">
      <c r="A350">
        <v>2024</v>
      </c>
      <c r="B350">
        <v>6</v>
      </c>
      <c r="C350" t="s">
        <v>1098</v>
      </c>
      <c r="D350" t="s">
        <v>1099</v>
      </c>
      <c r="E350" s="143">
        <v>523974</v>
      </c>
      <c r="F350" s="143">
        <v>194000</v>
      </c>
      <c r="G350" s="143">
        <v>314500</v>
      </c>
      <c r="H350" s="143">
        <v>11847</v>
      </c>
      <c r="I350" s="143">
        <v>3627</v>
      </c>
      <c r="J350" s="143" t="str">
        <f>_xlfn.XLOOKUP(Table1[[#This Row],[Mã xuất]],$M$3:$M$72,$O$3:$O$72)</f>
        <v>MN</v>
      </c>
    </row>
    <row r="351" spans="1:10">
      <c r="A351">
        <v>2024</v>
      </c>
      <c r="B351">
        <v>6</v>
      </c>
      <c r="C351" t="s">
        <v>1080</v>
      </c>
      <c r="D351" t="s">
        <v>1081</v>
      </c>
      <c r="E351" s="143">
        <v>507977</v>
      </c>
      <c r="F351" s="143">
        <v>86181.899730000296</v>
      </c>
      <c r="G351" s="143">
        <v>404431.02442798309</v>
      </c>
      <c r="H351" s="143">
        <v>16309.981507387662</v>
      </c>
      <c r="I351" s="143">
        <v>1054.0943346289478</v>
      </c>
      <c r="J351" s="143" t="str">
        <f>_xlfn.XLOOKUP(Table1[[#This Row],[Mã xuất]],$M$3:$M$72,$O$3:$O$72)</f>
        <v>TSX</v>
      </c>
    </row>
    <row r="352" spans="1:10">
      <c r="A352">
        <v>2024</v>
      </c>
      <c r="B352">
        <v>6</v>
      </c>
      <c r="C352" t="s">
        <v>1090</v>
      </c>
      <c r="D352" t="s">
        <v>1091</v>
      </c>
      <c r="E352" s="143">
        <v>408476</v>
      </c>
      <c r="F352" s="143">
        <v>0</v>
      </c>
      <c r="G352" s="143">
        <v>379600</v>
      </c>
      <c r="H352" s="143">
        <v>28875</v>
      </c>
      <c r="I352" s="143">
        <v>1</v>
      </c>
      <c r="J352" s="143" t="str">
        <f>_xlfn.XLOOKUP(Table1[[#This Row],[Mã xuất]],$M$3:$M$72,$O$3:$O$72)</f>
        <v>MN</v>
      </c>
    </row>
    <row r="353" spans="1:10">
      <c r="A353">
        <v>2024</v>
      </c>
      <c r="B353">
        <v>6</v>
      </c>
      <c r="C353" t="s">
        <v>1084</v>
      </c>
      <c r="D353" t="s">
        <v>1085</v>
      </c>
      <c r="E353" s="143">
        <v>241000</v>
      </c>
      <c r="F353" s="143">
        <v>41818.100269999704</v>
      </c>
      <c r="G353" s="143">
        <v>191068.97557201696</v>
      </c>
      <c r="H353" s="143">
        <v>7534.0184926123366</v>
      </c>
      <c r="I353" s="143">
        <v>578.90566537099585</v>
      </c>
      <c r="J353" s="143" t="str">
        <f>_xlfn.XLOOKUP(Table1[[#This Row],[Mã xuất]],$M$3:$M$72,$O$3:$O$72)</f>
        <v>TSX</v>
      </c>
    </row>
    <row r="354" spans="1:10">
      <c r="A354">
        <v>2024</v>
      </c>
      <c r="B354">
        <v>6</v>
      </c>
      <c r="C354" t="s">
        <v>1112</v>
      </c>
      <c r="D354" t="s">
        <v>1113</v>
      </c>
      <c r="E354" s="143">
        <v>159980</v>
      </c>
      <c r="F354" s="143">
        <v>78000</v>
      </c>
      <c r="G354" s="143">
        <v>78500</v>
      </c>
      <c r="H354" s="143">
        <v>2975</v>
      </c>
      <c r="I354" s="143">
        <v>505</v>
      </c>
      <c r="J354" s="143" t="str">
        <f>_xlfn.XLOOKUP(Table1[[#This Row],[Mã xuất]],$M$3:$M$72,$O$3:$O$72)</f>
        <v>TSX</v>
      </c>
    </row>
    <row r="355" spans="1:10">
      <c r="A355">
        <v>2024</v>
      </c>
      <c r="B355">
        <v>6</v>
      </c>
      <c r="C355" t="s">
        <v>1124</v>
      </c>
      <c r="D355" t="s">
        <v>1125</v>
      </c>
      <c r="E355" s="143">
        <v>96648.000000000015</v>
      </c>
      <c r="F355" s="143">
        <v>76751.487694554264</v>
      </c>
      <c r="G355" s="143">
        <v>14757.249943607459</v>
      </c>
      <c r="H355" s="143">
        <v>5139.2623618382786</v>
      </c>
      <c r="I355" s="143">
        <v>1.2732925824820995E-11</v>
      </c>
      <c r="J355" s="143" t="str">
        <f>_xlfn.XLOOKUP(Table1[[#This Row],[Mã xuất]],$M$3:$M$72,$O$3:$O$72)</f>
        <v>TSX</v>
      </c>
    </row>
    <row r="356" spans="1:10">
      <c r="A356">
        <v>2024</v>
      </c>
      <c r="B356">
        <v>6</v>
      </c>
      <c r="C356" t="s">
        <v>1092</v>
      </c>
      <c r="D356" t="s">
        <v>1093</v>
      </c>
      <c r="E356" s="143">
        <v>67896.94</v>
      </c>
      <c r="F356" s="143">
        <v>3457.9589391711593</v>
      </c>
      <c r="G356" s="143">
        <v>58026.529797237199</v>
      </c>
      <c r="H356" s="143">
        <v>6177.310055728004</v>
      </c>
      <c r="I356" s="143">
        <v>235.1412078636431</v>
      </c>
      <c r="J356" s="143" t="str">
        <f>_xlfn.XLOOKUP(Table1[[#This Row],[Mã xuất]],$M$3:$M$72,$O$3:$O$72)</f>
        <v>MN</v>
      </c>
    </row>
    <row r="357" spans="1:10">
      <c r="A357">
        <v>2024</v>
      </c>
      <c r="B357">
        <v>6</v>
      </c>
      <c r="C357" t="s">
        <v>1186</v>
      </c>
      <c r="D357" t="s">
        <v>1187</v>
      </c>
      <c r="E357" s="143">
        <v>47732</v>
      </c>
      <c r="F357" s="143">
        <v>0</v>
      </c>
      <c r="G357" s="143">
        <v>39200</v>
      </c>
      <c r="H357" s="143">
        <v>8778</v>
      </c>
      <c r="I357" s="143">
        <v>-246</v>
      </c>
      <c r="J357" s="143" t="str">
        <f>_xlfn.XLOOKUP(Table1[[#This Row],[Mã xuất]],$M$3:$M$72,$O$3:$O$72)</f>
        <v>Unknown</v>
      </c>
    </row>
    <row r="358" spans="1:10">
      <c r="A358">
        <v>2024</v>
      </c>
      <c r="B358">
        <v>6</v>
      </c>
      <c r="C358" t="s">
        <v>1144</v>
      </c>
      <c r="D358" t="s">
        <v>1145</v>
      </c>
      <c r="E358" s="143">
        <v>38000</v>
      </c>
      <c r="F358" s="143">
        <v>0</v>
      </c>
      <c r="G358" s="143">
        <v>38000</v>
      </c>
      <c r="H358" s="143">
        <v>0</v>
      </c>
      <c r="I358" s="143">
        <v>0</v>
      </c>
      <c r="J358" s="143" t="str">
        <f>_xlfn.XLOOKUP(Table1[[#This Row],[Mã xuất]],$M$3:$M$72,$O$3:$O$72)</f>
        <v>TSX</v>
      </c>
    </row>
    <row r="359" spans="1:10">
      <c r="A359">
        <v>2024</v>
      </c>
      <c r="B359">
        <v>6</v>
      </c>
      <c r="C359" t="s">
        <v>1094</v>
      </c>
      <c r="D359" t="s">
        <v>1095</v>
      </c>
      <c r="E359" s="143">
        <v>30500</v>
      </c>
      <c r="F359" s="143">
        <v>30000</v>
      </c>
      <c r="G359" s="143">
        <v>500</v>
      </c>
      <c r="H359" s="143">
        <v>0</v>
      </c>
      <c r="I359" s="143">
        <v>0</v>
      </c>
      <c r="J359" s="143" t="str">
        <f>_xlfn.XLOOKUP(Table1[[#This Row],[Mã xuất]],$M$3:$M$72,$O$3:$O$72)</f>
        <v>TSX</v>
      </c>
    </row>
    <row r="360" spans="1:10">
      <c r="A360">
        <v>2024</v>
      </c>
      <c r="B360">
        <v>6</v>
      </c>
      <c r="C360" t="s">
        <v>1150</v>
      </c>
      <c r="D360" t="s">
        <v>1151</v>
      </c>
      <c r="E360" s="143">
        <v>19906.999999999996</v>
      </c>
      <c r="F360" s="143">
        <v>15248.512305445738</v>
      </c>
      <c r="G360" s="143">
        <v>3242.7500563925396</v>
      </c>
      <c r="H360" s="143">
        <v>1415.7376381617219</v>
      </c>
      <c r="I360" s="143">
        <v>-3.1832314562052488E-12</v>
      </c>
      <c r="J360" s="143" t="str">
        <f>_xlfn.XLOOKUP(Table1[[#This Row],[Mã xuất]],$M$3:$M$72,$O$3:$O$72)</f>
        <v>TSX</v>
      </c>
    </row>
    <row r="361" spans="1:10">
      <c r="A361">
        <v>2024</v>
      </c>
      <c r="B361">
        <v>6</v>
      </c>
      <c r="C361" t="s">
        <v>1116</v>
      </c>
      <c r="D361" t="s">
        <v>1117</v>
      </c>
      <c r="E361" s="143">
        <v>19500</v>
      </c>
      <c r="F361" s="143">
        <v>0</v>
      </c>
      <c r="G361" s="143">
        <v>19500</v>
      </c>
      <c r="H361" s="143">
        <v>0</v>
      </c>
      <c r="I361" s="143">
        <v>0</v>
      </c>
      <c r="J361" s="143" t="str">
        <f>_xlfn.XLOOKUP(Table1[[#This Row],[Mã xuất]],$M$3:$M$72,$O$3:$O$72)</f>
        <v>TSX</v>
      </c>
    </row>
    <row r="362" spans="1:10">
      <c r="A362">
        <v>2024</v>
      </c>
      <c r="B362">
        <v>6</v>
      </c>
      <c r="C362" t="s">
        <v>1088</v>
      </c>
      <c r="D362" t="s">
        <v>1089</v>
      </c>
      <c r="E362" s="143">
        <v>9200</v>
      </c>
      <c r="F362" s="143">
        <v>0</v>
      </c>
      <c r="G362" s="143">
        <v>9200</v>
      </c>
      <c r="H362" s="143">
        <v>0</v>
      </c>
      <c r="I362" s="143">
        <v>0</v>
      </c>
      <c r="J362" s="143" t="str">
        <f>_xlfn.XLOOKUP(Table1[[#This Row],[Mã xuất]],$M$3:$M$72,$O$3:$O$72)</f>
        <v>TSX</v>
      </c>
    </row>
    <row r="363" spans="1:10">
      <c r="A363">
        <v>2024</v>
      </c>
      <c r="B363">
        <v>7</v>
      </c>
      <c r="C363" t="s">
        <v>1078</v>
      </c>
      <c r="D363" t="s">
        <v>1079</v>
      </c>
      <c r="E363" s="143">
        <v>437602</v>
      </c>
      <c r="F363" s="143">
        <v>205000</v>
      </c>
      <c r="G363" s="143">
        <v>224500</v>
      </c>
      <c r="H363" s="143">
        <v>8102</v>
      </c>
      <c r="I363" s="143">
        <v>0</v>
      </c>
      <c r="J363" s="143" t="str">
        <f>_xlfn.XLOOKUP(Table1[[#This Row],[Mã xuất]],$M$3:$M$72,$O$3:$O$72)</f>
        <v>MN</v>
      </c>
    </row>
    <row r="364" spans="1:10">
      <c r="A364">
        <v>2024</v>
      </c>
      <c r="B364">
        <v>7</v>
      </c>
      <c r="C364" t="s">
        <v>1080</v>
      </c>
      <c r="D364" t="s">
        <v>1081</v>
      </c>
      <c r="E364" s="143">
        <v>432028.23</v>
      </c>
      <c r="F364" s="143">
        <v>211172.58027982732</v>
      </c>
      <c r="G364" s="143">
        <v>213450.09870704912</v>
      </c>
      <c r="H364" s="143">
        <v>6755.1174336429203</v>
      </c>
      <c r="I364" s="143">
        <v>650.43357948061475</v>
      </c>
      <c r="J364" s="143" t="str">
        <f>_xlfn.XLOOKUP(Table1[[#This Row],[Mã xuất]],$M$3:$M$72,$O$3:$O$72)</f>
        <v>TSX</v>
      </c>
    </row>
    <row r="365" spans="1:10">
      <c r="A365">
        <v>2024</v>
      </c>
      <c r="B365">
        <v>7</v>
      </c>
      <c r="C365" t="s">
        <v>1108</v>
      </c>
      <c r="D365" t="s">
        <v>1109</v>
      </c>
      <c r="E365" s="143">
        <v>329688.89999999991</v>
      </c>
      <c r="F365" s="143">
        <v>256996.91493333335</v>
      </c>
      <c r="G365" s="143">
        <v>70679.985066666661</v>
      </c>
      <c r="H365" s="143">
        <v>2012</v>
      </c>
      <c r="I365" s="143">
        <v>-1.0186340659856796E-10</v>
      </c>
      <c r="J365" s="143" t="str">
        <f>_xlfn.XLOOKUP(Table1[[#This Row],[Mã xuất]],$M$3:$M$72,$O$3:$O$72)</f>
        <v>TSX</v>
      </c>
    </row>
    <row r="366" spans="1:10">
      <c r="A366">
        <v>2024</v>
      </c>
      <c r="B366">
        <v>7</v>
      </c>
      <c r="C366" t="s">
        <v>1098</v>
      </c>
      <c r="D366" t="s">
        <v>1099</v>
      </c>
      <c r="E366" s="143">
        <v>294206</v>
      </c>
      <c r="F366" s="143">
        <v>99607.594936708861</v>
      </c>
      <c r="G366" s="143">
        <v>190791.62609542356</v>
      </c>
      <c r="H366" s="143">
        <v>3806.7789678675754</v>
      </c>
      <c r="I366" s="143">
        <v>9.0949470177292824E-13</v>
      </c>
      <c r="J366" s="143" t="str">
        <f>_xlfn.XLOOKUP(Table1[[#This Row],[Mã xuất]],$M$3:$M$72,$O$3:$O$72)</f>
        <v>MN</v>
      </c>
    </row>
    <row r="367" spans="1:10">
      <c r="A367">
        <v>2024</v>
      </c>
      <c r="B367">
        <v>7</v>
      </c>
      <c r="C367" t="s">
        <v>1086</v>
      </c>
      <c r="D367" t="s">
        <v>1087</v>
      </c>
      <c r="E367" s="143">
        <v>221000.99999999997</v>
      </c>
      <c r="F367" s="143">
        <v>109000</v>
      </c>
      <c r="G367" s="143">
        <v>112000</v>
      </c>
      <c r="H367" s="143">
        <v>0</v>
      </c>
      <c r="I367" s="143">
        <v>0.99999999997089617</v>
      </c>
      <c r="J367" s="143" t="str">
        <f>_xlfn.XLOOKUP(Table1[[#This Row],[Mã xuất]],$M$3:$M$72,$O$3:$O$72)</f>
        <v>MN</v>
      </c>
    </row>
    <row r="368" spans="1:10">
      <c r="A368">
        <v>2024</v>
      </c>
      <c r="B368">
        <v>7</v>
      </c>
      <c r="C368" t="s">
        <v>1092</v>
      </c>
      <c r="D368" t="s">
        <v>1093</v>
      </c>
      <c r="E368" s="143">
        <v>194777.06</v>
      </c>
      <c r="F368" s="143">
        <v>16000</v>
      </c>
      <c r="G368" s="143">
        <v>169500</v>
      </c>
      <c r="H368" s="143">
        <v>9274.4599999999991</v>
      </c>
      <c r="I368" s="143">
        <v>2.5999999999985448</v>
      </c>
      <c r="J368" s="143" t="str">
        <f>_xlfn.XLOOKUP(Table1[[#This Row],[Mã xuất]],$M$3:$M$72,$O$3:$O$72)</f>
        <v>MN</v>
      </c>
    </row>
    <row r="369" spans="1:10">
      <c r="A369">
        <v>2024</v>
      </c>
      <c r="B369">
        <v>7</v>
      </c>
      <c r="C369" t="s">
        <v>1094</v>
      </c>
      <c r="D369" t="s">
        <v>1095</v>
      </c>
      <c r="E369" s="143">
        <v>166366</v>
      </c>
      <c r="F369" s="143">
        <v>155500</v>
      </c>
      <c r="G369" s="143">
        <v>5500</v>
      </c>
      <c r="H369" s="143">
        <v>5366</v>
      </c>
      <c r="I369" s="143">
        <v>0</v>
      </c>
      <c r="J369" s="143" t="str">
        <f>_xlfn.XLOOKUP(Table1[[#This Row],[Mã xuất]],$M$3:$M$72,$O$3:$O$72)</f>
        <v>TSX</v>
      </c>
    </row>
    <row r="370" spans="1:10">
      <c r="A370">
        <v>2024</v>
      </c>
      <c r="B370">
        <v>7</v>
      </c>
      <c r="C370" t="s">
        <v>1090</v>
      </c>
      <c r="D370" t="s">
        <v>1091</v>
      </c>
      <c r="E370" s="143">
        <v>158145</v>
      </c>
      <c r="F370" s="143">
        <v>0</v>
      </c>
      <c r="G370" s="143">
        <v>156300</v>
      </c>
      <c r="H370" s="143">
        <v>1840</v>
      </c>
      <c r="I370" s="143">
        <v>5</v>
      </c>
      <c r="J370" s="143" t="str">
        <f>_xlfn.XLOOKUP(Table1[[#This Row],[Mã xuất]],$M$3:$M$72,$O$3:$O$72)</f>
        <v>MN</v>
      </c>
    </row>
    <row r="371" spans="1:10">
      <c r="A371">
        <v>2024</v>
      </c>
      <c r="B371">
        <v>7</v>
      </c>
      <c r="C371" t="s">
        <v>1112</v>
      </c>
      <c r="D371" t="s">
        <v>1113</v>
      </c>
      <c r="E371" s="143">
        <v>135520</v>
      </c>
      <c r="F371" s="143">
        <v>67392.405063291139</v>
      </c>
      <c r="G371" s="143">
        <v>62208.373904576438</v>
      </c>
      <c r="H371" s="143">
        <v>5919.2210321324246</v>
      </c>
      <c r="I371" s="143">
        <v>-9.0949470177292824E-13</v>
      </c>
      <c r="J371" s="143" t="str">
        <f>_xlfn.XLOOKUP(Table1[[#This Row],[Mã xuất]],$M$3:$M$72,$O$3:$O$72)</f>
        <v>TSX</v>
      </c>
    </row>
    <row r="372" spans="1:10">
      <c r="A372">
        <v>2024</v>
      </c>
      <c r="B372">
        <v>7</v>
      </c>
      <c r="C372" t="s">
        <v>1084</v>
      </c>
      <c r="D372" t="s">
        <v>1085</v>
      </c>
      <c r="E372" s="143">
        <v>74257</v>
      </c>
      <c r="F372" s="143">
        <v>30827.419720172678</v>
      </c>
      <c r="G372" s="143">
        <v>42049.901292950875</v>
      </c>
      <c r="H372" s="143">
        <v>1360.882566357079</v>
      </c>
      <c r="I372" s="143">
        <v>18.796420519367302</v>
      </c>
      <c r="J372" s="143" t="str">
        <f>_xlfn.XLOOKUP(Table1[[#This Row],[Mã xuất]],$M$3:$M$72,$O$3:$O$72)</f>
        <v>TSX</v>
      </c>
    </row>
    <row r="373" spans="1:10">
      <c r="A373">
        <v>2024</v>
      </c>
      <c r="B373">
        <v>7</v>
      </c>
      <c r="C373" t="s">
        <v>1138</v>
      </c>
      <c r="D373" t="s">
        <v>1139</v>
      </c>
      <c r="E373" s="143">
        <v>15257.1</v>
      </c>
      <c r="F373" s="143">
        <v>13792.418400000002</v>
      </c>
      <c r="G373" s="143">
        <v>1464.6816000000001</v>
      </c>
      <c r="H373" s="143">
        <v>0</v>
      </c>
      <c r="I373" s="143">
        <v>-2.0463630789890885E-12</v>
      </c>
      <c r="J373" s="143" t="str">
        <f>_xlfn.XLOOKUP(Table1[[#This Row],[Mã xuất]],$M$3:$M$72,$O$3:$O$72)</f>
        <v>TSX</v>
      </c>
    </row>
    <row r="374" spans="1:10">
      <c r="A374">
        <v>2024</v>
      </c>
      <c r="B374">
        <v>7</v>
      </c>
      <c r="C374" t="s">
        <v>1142</v>
      </c>
      <c r="D374" t="s">
        <v>1143</v>
      </c>
      <c r="E374" s="143">
        <v>7066</v>
      </c>
      <c r="F374" s="143">
        <v>4710.666666666667</v>
      </c>
      <c r="G374" s="143">
        <v>2355.333333333333</v>
      </c>
      <c r="H374" s="143">
        <v>0</v>
      </c>
      <c r="I374" s="143">
        <v>0</v>
      </c>
      <c r="J374" s="143" t="str">
        <f>_xlfn.XLOOKUP(Table1[[#This Row],[Mã xuất]],$M$3:$M$72,$O$3:$O$72)</f>
        <v>MN</v>
      </c>
    </row>
    <row r="375" spans="1:10">
      <c r="A375">
        <v>2024</v>
      </c>
      <c r="B375">
        <v>7</v>
      </c>
      <c r="C375" t="s">
        <v>1082</v>
      </c>
      <c r="D375" t="s">
        <v>1083</v>
      </c>
      <c r="E375" s="143">
        <v>6300</v>
      </c>
      <c r="F375" s="143">
        <v>0</v>
      </c>
      <c r="G375" s="143">
        <v>5055.4069545280854</v>
      </c>
      <c r="H375" s="143">
        <v>1244.5930454719144</v>
      </c>
      <c r="I375" s="143">
        <v>2.2737367544323206E-13</v>
      </c>
      <c r="J375" s="143" t="str">
        <f>_xlfn.XLOOKUP(Table1[[#This Row],[Mã xuất]],$M$3:$M$72,$O$3:$O$72)</f>
        <v>TSX</v>
      </c>
    </row>
    <row r="376" spans="1:10">
      <c r="A376">
        <v>2024</v>
      </c>
      <c r="B376">
        <v>7</v>
      </c>
      <c r="C376" t="s">
        <v>1100</v>
      </c>
      <c r="D376" t="s">
        <v>1101</v>
      </c>
      <c r="E376" s="143">
        <v>4168</v>
      </c>
      <c r="F376" s="143">
        <v>0</v>
      </c>
      <c r="G376" s="143">
        <v>3344.5930454719146</v>
      </c>
      <c r="H376" s="143">
        <v>823.40695452808563</v>
      </c>
      <c r="I376" s="143">
        <v>-2.2737367544323206E-13</v>
      </c>
      <c r="J376" s="143" t="str">
        <f>_xlfn.XLOOKUP(Table1[[#This Row],[Mã xuất]],$M$3:$M$72,$O$3:$O$72)</f>
        <v>TSX</v>
      </c>
    </row>
    <row r="377" spans="1:10">
      <c r="A377">
        <v>2024</v>
      </c>
      <c r="B377">
        <v>8</v>
      </c>
      <c r="C377" t="s">
        <v>1078</v>
      </c>
      <c r="D377" t="s">
        <v>1079</v>
      </c>
      <c r="E377" s="143">
        <v>1075397.9999999998</v>
      </c>
      <c r="F377" s="143">
        <v>346500</v>
      </c>
      <c r="G377" s="143">
        <v>687300</v>
      </c>
      <c r="H377" s="143">
        <v>39903</v>
      </c>
      <c r="I377" s="143">
        <v>1694.9999999997672</v>
      </c>
      <c r="J377" s="143" t="str">
        <f>_xlfn.XLOOKUP(Table1[[#This Row],[Mã xuất]],$M$3:$M$72,$O$3:$O$72)</f>
        <v>MN</v>
      </c>
    </row>
    <row r="378" spans="1:10">
      <c r="A378">
        <v>2024</v>
      </c>
      <c r="B378">
        <v>8</v>
      </c>
      <c r="C378" t="s">
        <v>1086</v>
      </c>
      <c r="D378" t="s">
        <v>1087</v>
      </c>
      <c r="E378" s="143">
        <v>454559</v>
      </c>
      <c r="F378" s="143">
        <v>309000</v>
      </c>
      <c r="G378" s="143">
        <v>128500</v>
      </c>
      <c r="H378" s="143">
        <v>14374</v>
      </c>
      <c r="I378" s="143">
        <v>2685</v>
      </c>
      <c r="J378" s="143" t="str">
        <f>_xlfn.XLOOKUP(Table1[[#This Row],[Mã xuất]],$M$3:$M$72,$O$3:$O$72)</f>
        <v>MN</v>
      </c>
    </row>
    <row r="379" spans="1:10">
      <c r="A379">
        <v>2024</v>
      </c>
      <c r="B379">
        <v>8</v>
      </c>
      <c r="C379" t="s">
        <v>1080</v>
      </c>
      <c r="D379" t="s">
        <v>1081</v>
      </c>
      <c r="E379" s="143">
        <v>416902.00000000012</v>
      </c>
      <c r="F379" s="143">
        <v>202036.94741876854</v>
      </c>
      <c r="G379" s="143">
        <v>191597.56326463292</v>
      </c>
      <c r="H379" s="143">
        <v>21059.48682639025</v>
      </c>
      <c r="I379" s="143">
        <v>2208.0024902084078</v>
      </c>
      <c r="J379" s="143" t="str">
        <f>_xlfn.XLOOKUP(Table1[[#This Row],[Mã xuất]],$M$3:$M$72,$O$3:$O$72)</f>
        <v>TSX</v>
      </c>
    </row>
    <row r="380" spans="1:10">
      <c r="A380">
        <v>2024</v>
      </c>
      <c r="B380">
        <v>8</v>
      </c>
      <c r="C380" t="s">
        <v>1108</v>
      </c>
      <c r="D380" t="s">
        <v>1109</v>
      </c>
      <c r="E380" s="143">
        <v>391000</v>
      </c>
      <c r="F380" s="143">
        <v>86500</v>
      </c>
      <c r="G380" s="143">
        <v>291500</v>
      </c>
      <c r="H380" s="143">
        <v>12999</v>
      </c>
      <c r="I380" s="143">
        <v>1</v>
      </c>
      <c r="J380" s="143" t="str">
        <f>_xlfn.XLOOKUP(Table1[[#This Row],[Mã xuất]],$M$3:$M$72,$O$3:$O$72)</f>
        <v>TSX</v>
      </c>
    </row>
    <row r="381" spans="1:10">
      <c r="A381">
        <v>2024</v>
      </c>
      <c r="B381">
        <v>8</v>
      </c>
      <c r="C381" t="s">
        <v>1084</v>
      </c>
      <c r="D381" t="s">
        <v>1085</v>
      </c>
      <c r="E381" s="143">
        <v>137500</v>
      </c>
      <c r="F381" s="143">
        <v>93463.052581231459</v>
      </c>
      <c r="G381" s="143">
        <v>38892.436735367097</v>
      </c>
      <c r="H381" s="143">
        <v>4002.513173609746</v>
      </c>
      <c r="I381" s="143">
        <v>1141.9975097916981</v>
      </c>
      <c r="J381" s="143" t="str">
        <f>_xlfn.XLOOKUP(Table1[[#This Row],[Mã xuất]],$M$3:$M$72,$O$3:$O$72)</f>
        <v>TSX</v>
      </c>
    </row>
    <row r="382" spans="1:10">
      <c r="A382">
        <v>2024</v>
      </c>
      <c r="B382">
        <v>8</v>
      </c>
      <c r="C382" t="s">
        <v>1092</v>
      </c>
      <c r="D382" t="s">
        <v>1093</v>
      </c>
      <c r="E382" s="143">
        <v>115986</v>
      </c>
      <c r="F382" s="143">
        <v>29500</v>
      </c>
      <c r="G382" s="143">
        <v>81500</v>
      </c>
      <c r="H382" s="143">
        <v>4835</v>
      </c>
      <c r="I382" s="143">
        <v>151</v>
      </c>
      <c r="J382" s="143" t="str">
        <f>_xlfn.XLOOKUP(Table1[[#This Row],[Mã xuất]],$M$3:$M$72,$O$3:$O$72)</f>
        <v>MN</v>
      </c>
    </row>
    <row r="383" spans="1:10">
      <c r="A383">
        <v>2024</v>
      </c>
      <c r="B383">
        <v>8</v>
      </c>
      <c r="C383" t="s">
        <v>1090</v>
      </c>
      <c r="D383" t="s">
        <v>1091</v>
      </c>
      <c r="E383" s="143">
        <v>61320.159999999996</v>
      </c>
      <c r="F383" s="143">
        <v>48000</v>
      </c>
      <c r="G383" s="143">
        <v>999.99999999999989</v>
      </c>
      <c r="H383" s="143">
        <v>12320</v>
      </c>
      <c r="I383" s="143">
        <v>0.1599999999962165</v>
      </c>
      <c r="J383" s="143" t="str">
        <f>_xlfn.XLOOKUP(Table1[[#This Row],[Mã xuất]],$M$3:$M$72,$O$3:$O$72)</f>
        <v>MN</v>
      </c>
    </row>
    <row r="384" spans="1:10">
      <c r="A384">
        <v>2024</v>
      </c>
      <c r="B384">
        <v>8</v>
      </c>
      <c r="C384" t="s">
        <v>1112</v>
      </c>
      <c r="D384" t="s">
        <v>1113</v>
      </c>
      <c r="E384" s="143">
        <v>54000</v>
      </c>
      <c r="F384" s="143">
        <v>8500</v>
      </c>
      <c r="G384" s="143">
        <v>43500</v>
      </c>
      <c r="H384" s="143">
        <v>2000</v>
      </c>
      <c r="I384" s="143">
        <v>0</v>
      </c>
      <c r="J384" s="143" t="str">
        <f>_xlfn.XLOOKUP(Table1[[#This Row],[Mã xuất]],$M$3:$M$72,$O$3:$O$72)</f>
        <v>TSX</v>
      </c>
    </row>
    <row r="385" spans="1:10">
      <c r="A385">
        <v>2024</v>
      </c>
      <c r="B385">
        <v>8</v>
      </c>
      <c r="C385" t="s">
        <v>1100</v>
      </c>
      <c r="D385" t="s">
        <v>1101</v>
      </c>
      <c r="E385" s="143">
        <v>39959.599999999999</v>
      </c>
      <c r="F385" s="143">
        <v>0</v>
      </c>
      <c r="G385" s="143">
        <v>39500</v>
      </c>
      <c r="H385" s="143">
        <v>474</v>
      </c>
      <c r="I385" s="143">
        <v>-14.400000000001455</v>
      </c>
      <c r="J385" s="143" t="str">
        <f>_xlfn.XLOOKUP(Table1[[#This Row],[Mã xuất]],$M$3:$M$72,$O$3:$O$72)</f>
        <v>TSX</v>
      </c>
    </row>
    <row r="386" spans="1:10">
      <c r="A386">
        <v>2024</v>
      </c>
      <c r="B386">
        <v>8</v>
      </c>
      <c r="C386" t="s">
        <v>1144</v>
      </c>
      <c r="D386" t="s">
        <v>1145</v>
      </c>
      <c r="E386" s="143">
        <v>25500</v>
      </c>
      <c r="F386" s="143">
        <v>0</v>
      </c>
      <c r="G386" s="143">
        <v>22620.967741935485</v>
      </c>
      <c r="H386" s="143">
        <v>2879.0322580645161</v>
      </c>
      <c r="I386" s="143">
        <v>-9.0949470177292824E-13</v>
      </c>
      <c r="J386" s="143" t="str">
        <f>_xlfn.XLOOKUP(Table1[[#This Row],[Mã xuất]],$M$3:$M$72,$O$3:$O$72)</f>
        <v>TSX</v>
      </c>
    </row>
    <row r="387" spans="1:10">
      <c r="A387">
        <v>2024</v>
      </c>
      <c r="B387">
        <v>8</v>
      </c>
      <c r="C387" t="s">
        <v>1204</v>
      </c>
      <c r="D387" t="s">
        <v>1205</v>
      </c>
      <c r="E387" s="143">
        <v>9303</v>
      </c>
      <c r="F387" s="143">
        <v>0</v>
      </c>
      <c r="G387" s="143">
        <v>7124.1863433312064</v>
      </c>
      <c r="H387" s="143">
        <v>2025.1159327802593</v>
      </c>
      <c r="I387" s="143">
        <v>153.69772388853426</v>
      </c>
      <c r="J387" s="143" t="str">
        <f>_xlfn.XLOOKUP(Table1[[#This Row],[Mã xuất]],$M$3:$M$72,$O$3:$O$72)</f>
        <v>TSX</v>
      </c>
    </row>
    <row r="388" spans="1:10">
      <c r="A388">
        <v>2024</v>
      </c>
      <c r="B388">
        <v>8</v>
      </c>
      <c r="C388" t="s">
        <v>1116</v>
      </c>
      <c r="D388" t="s">
        <v>1117</v>
      </c>
      <c r="E388" s="143">
        <v>5500</v>
      </c>
      <c r="F388" s="143">
        <v>0</v>
      </c>
      <c r="G388" s="143">
        <v>4879.0322580645161</v>
      </c>
      <c r="H388" s="143">
        <v>620.9677419354839</v>
      </c>
      <c r="I388" s="143">
        <v>0</v>
      </c>
      <c r="J388" s="143" t="str">
        <f>_xlfn.XLOOKUP(Table1[[#This Row],[Mã xuất]],$M$3:$M$72,$O$3:$O$72)</f>
        <v>TSX</v>
      </c>
    </row>
    <row r="389" spans="1:10">
      <c r="A389">
        <v>2024</v>
      </c>
      <c r="B389">
        <v>8</v>
      </c>
      <c r="C389" t="s">
        <v>1218</v>
      </c>
      <c r="D389" t="s">
        <v>1219</v>
      </c>
      <c r="E389" s="143">
        <v>4800</v>
      </c>
      <c r="F389" s="143">
        <v>0</v>
      </c>
      <c r="G389" s="143">
        <v>3675.813656668794</v>
      </c>
      <c r="H389" s="143">
        <v>1044.8840672197405</v>
      </c>
      <c r="I389" s="143">
        <v>79.302276111465517</v>
      </c>
      <c r="J389" s="143" t="str">
        <f>_xlfn.XLOOKUP(Table1[[#This Row],[Mã xuất]],$M$3:$M$72,$O$3:$O$72)</f>
        <v>TSX</v>
      </c>
    </row>
    <row r="390" spans="1:10">
      <c r="A390">
        <v>2024</v>
      </c>
      <c r="B390">
        <v>9</v>
      </c>
      <c r="C390" t="s">
        <v>1078</v>
      </c>
      <c r="D390" t="s">
        <v>1079</v>
      </c>
      <c r="E390" s="143">
        <v>1582644.0000000009</v>
      </c>
      <c r="F390" s="143">
        <v>635500</v>
      </c>
      <c r="G390" s="143">
        <v>880000</v>
      </c>
      <c r="H390" s="143">
        <v>65704</v>
      </c>
      <c r="I390" s="143">
        <v>1440.0000000009313</v>
      </c>
      <c r="J390" s="143" t="str">
        <f>_xlfn.XLOOKUP(Table1[[#This Row],[Mã xuất]],$M$3:$M$72,$O$3:$O$72)</f>
        <v>MN</v>
      </c>
    </row>
    <row r="391" spans="1:10">
      <c r="A391">
        <v>2024</v>
      </c>
      <c r="B391">
        <v>9</v>
      </c>
      <c r="C391" t="s">
        <v>1086</v>
      </c>
      <c r="D391" t="s">
        <v>1087</v>
      </c>
      <c r="E391" s="143">
        <v>450265.8</v>
      </c>
      <c r="F391" s="143">
        <v>188000</v>
      </c>
      <c r="G391" s="143">
        <v>247000</v>
      </c>
      <c r="H391" s="143">
        <v>13350</v>
      </c>
      <c r="I391" s="143">
        <v>1915.7999999999884</v>
      </c>
      <c r="J391" s="143" t="str">
        <f>_xlfn.XLOOKUP(Table1[[#This Row],[Mã xuất]],$M$3:$M$72,$O$3:$O$72)</f>
        <v>MN</v>
      </c>
    </row>
    <row r="392" spans="1:10">
      <c r="A392">
        <v>2024</v>
      </c>
      <c r="B392">
        <v>9</v>
      </c>
      <c r="C392" t="s">
        <v>1098</v>
      </c>
      <c r="D392" t="s">
        <v>1099</v>
      </c>
      <c r="E392" s="143">
        <v>192031.6</v>
      </c>
      <c r="F392" s="143">
        <v>143000</v>
      </c>
      <c r="G392" s="143">
        <v>42000</v>
      </c>
      <c r="H392" s="143">
        <v>6922</v>
      </c>
      <c r="I392" s="143">
        <v>109.60000000000582</v>
      </c>
      <c r="J392" s="143" t="str">
        <f>_xlfn.XLOOKUP(Table1[[#This Row],[Mã xuất]],$M$3:$M$72,$O$3:$O$72)</f>
        <v>MN</v>
      </c>
    </row>
    <row r="393" spans="1:10">
      <c r="A393">
        <v>2024</v>
      </c>
      <c r="B393">
        <v>9</v>
      </c>
      <c r="C393" t="s">
        <v>1080</v>
      </c>
      <c r="D393" t="s">
        <v>1081</v>
      </c>
      <c r="E393" s="143">
        <v>166186</v>
      </c>
      <c r="F393" s="143">
        <v>91591.094237151759</v>
      </c>
      <c r="G393" s="143">
        <v>65005.833249522278</v>
      </c>
      <c r="H393" s="143">
        <v>9146.6078145428946</v>
      </c>
      <c r="I393" s="143">
        <v>442.46469878306743</v>
      </c>
      <c r="J393" s="143" t="str">
        <f>_xlfn.XLOOKUP(Table1[[#This Row],[Mã xuất]],$M$3:$M$72,$O$3:$O$72)</f>
        <v>TSX</v>
      </c>
    </row>
    <row r="394" spans="1:10">
      <c r="A394">
        <v>2024</v>
      </c>
      <c r="B394">
        <v>9</v>
      </c>
      <c r="C394" t="s">
        <v>1126</v>
      </c>
      <c r="D394" t="s">
        <v>1127</v>
      </c>
      <c r="E394" s="143">
        <v>143499.99999999997</v>
      </c>
      <c r="F394" s="143">
        <v>103500</v>
      </c>
      <c r="G394" s="143">
        <v>22000</v>
      </c>
      <c r="H394" s="143">
        <v>16803</v>
      </c>
      <c r="I394" s="143">
        <v>1196.9999999999709</v>
      </c>
      <c r="J394" s="143" t="str">
        <f>_xlfn.XLOOKUP(Table1[[#This Row],[Mã xuất]],$M$3:$M$72,$O$3:$O$72)</f>
        <v>TSX</v>
      </c>
    </row>
    <row r="395" spans="1:10">
      <c r="A395">
        <v>2024</v>
      </c>
      <c r="B395">
        <v>9</v>
      </c>
      <c r="C395" t="s">
        <v>1094</v>
      </c>
      <c r="D395" t="s">
        <v>1095</v>
      </c>
      <c r="E395" s="143">
        <v>129382</v>
      </c>
      <c r="F395" s="143">
        <v>98000</v>
      </c>
      <c r="G395" s="143">
        <v>26500</v>
      </c>
      <c r="H395" s="143">
        <v>4762</v>
      </c>
      <c r="I395" s="143">
        <v>120</v>
      </c>
      <c r="J395" s="143" t="str">
        <f>_xlfn.XLOOKUP(Table1[[#This Row],[Mã xuất]],$M$3:$M$72,$O$3:$O$72)</f>
        <v>TSX</v>
      </c>
    </row>
    <row r="396" spans="1:10">
      <c r="A396">
        <v>2024</v>
      </c>
      <c r="B396">
        <v>9</v>
      </c>
      <c r="C396" t="s">
        <v>1108</v>
      </c>
      <c r="D396" t="s">
        <v>1109</v>
      </c>
      <c r="E396" s="143">
        <v>94648</v>
      </c>
      <c r="F396" s="143">
        <v>78266.226585612705</v>
      </c>
      <c r="G396" s="143">
        <v>14937.240066212067</v>
      </c>
      <c r="H396" s="143">
        <v>1433.2582542161135</v>
      </c>
      <c r="I396" s="143">
        <v>11.275093959114201</v>
      </c>
      <c r="J396" s="143" t="str">
        <f>_xlfn.XLOOKUP(Table1[[#This Row],[Mã xuất]],$M$3:$M$72,$O$3:$O$72)</f>
        <v>TSX</v>
      </c>
    </row>
    <row r="397" spans="1:10">
      <c r="A397">
        <v>2024</v>
      </c>
      <c r="B397">
        <v>9</v>
      </c>
      <c r="C397" t="s">
        <v>1138</v>
      </c>
      <c r="D397" t="s">
        <v>1139</v>
      </c>
      <c r="E397" s="143">
        <v>78590</v>
      </c>
      <c r="F397" s="143">
        <v>65197.497479145663</v>
      </c>
      <c r="G397" s="143">
        <v>10085.800715005958</v>
      </c>
      <c r="H397" s="143">
        <v>3263.4769456412141</v>
      </c>
      <c r="I397" s="143">
        <v>43.224860207164966</v>
      </c>
      <c r="J397" s="143" t="str">
        <f>_xlfn.XLOOKUP(Table1[[#This Row],[Mã xuất]],$M$3:$M$72,$O$3:$O$72)</f>
        <v>TSX</v>
      </c>
    </row>
    <row r="398" spans="1:10">
      <c r="A398">
        <v>2024</v>
      </c>
      <c r="B398">
        <v>9</v>
      </c>
      <c r="C398" t="s">
        <v>1084</v>
      </c>
      <c r="D398" t="s">
        <v>1085</v>
      </c>
      <c r="E398" s="143">
        <v>77210</v>
      </c>
      <c r="F398" s="143">
        <v>47908.905762848233</v>
      </c>
      <c r="G398" s="143">
        <v>23994.166750477722</v>
      </c>
      <c r="H398" s="143">
        <v>5240.3921854571054</v>
      </c>
      <c r="I398" s="143">
        <v>66.535301216939843</v>
      </c>
      <c r="J398" s="143" t="str">
        <f>_xlfn.XLOOKUP(Table1[[#This Row],[Mã xuất]],$M$3:$M$72,$O$3:$O$72)</f>
        <v>TSX</v>
      </c>
    </row>
    <row r="399" spans="1:10">
      <c r="A399">
        <v>2024</v>
      </c>
      <c r="B399">
        <v>9</v>
      </c>
      <c r="C399" t="s">
        <v>1140</v>
      </c>
      <c r="D399" t="s">
        <v>1141</v>
      </c>
      <c r="E399" s="143">
        <v>51802</v>
      </c>
      <c r="F399" s="143">
        <v>43036.275935241632</v>
      </c>
      <c r="G399" s="143">
        <v>7976.9592187819744</v>
      </c>
      <c r="H399" s="143">
        <v>783.26480014267293</v>
      </c>
      <c r="I399" s="143">
        <v>5.5000458337202645</v>
      </c>
      <c r="J399" s="143" t="str">
        <f>_xlfn.XLOOKUP(Table1[[#This Row],[Mã xuất]],$M$3:$M$72,$O$3:$O$72)</f>
        <v>TSX</v>
      </c>
    </row>
    <row r="400" spans="1:10">
      <c r="A400">
        <v>2024</v>
      </c>
      <c r="B400">
        <v>9</v>
      </c>
      <c r="C400" t="s">
        <v>1116</v>
      </c>
      <c r="D400" t="s">
        <v>1117</v>
      </c>
      <c r="E400" s="143">
        <v>17500</v>
      </c>
      <c r="F400" s="143">
        <v>0</v>
      </c>
      <c r="G400" s="143">
        <v>17500</v>
      </c>
      <c r="H400" s="143">
        <v>0</v>
      </c>
      <c r="I400" s="143">
        <v>0</v>
      </c>
      <c r="J400" s="143" t="str">
        <f>_xlfn.XLOOKUP(Table1[[#This Row],[Mã xuất]],$M$3:$M$72,$O$3:$O$72)</f>
        <v>TSX</v>
      </c>
    </row>
    <row r="401" spans="1:10">
      <c r="A401">
        <v>2024</v>
      </c>
      <c r="B401">
        <v>9</v>
      </c>
      <c r="C401" t="s">
        <v>1144</v>
      </c>
      <c r="D401" t="s">
        <v>1145</v>
      </c>
      <c r="E401" s="143">
        <v>2500</v>
      </c>
      <c r="F401" s="143">
        <v>0</v>
      </c>
      <c r="G401" s="143">
        <v>2500</v>
      </c>
      <c r="H401" s="143">
        <v>0</v>
      </c>
      <c r="I401" s="143">
        <v>0</v>
      </c>
      <c r="J401" s="143" t="str">
        <f>_xlfn.XLOOKUP(Table1[[#This Row],[Mã xuất]],$M$3:$M$72,$O$3:$O$72)</f>
        <v>TSX</v>
      </c>
    </row>
    <row r="402" spans="1:10">
      <c r="A402">
        <v>2024</v>
      </c>
      <c r="B402">
        <v>10</v>
      </c>
      <c r="C402" t="s">
        <v>1078</v>
      </c>
      <c r="D402" t="s">
        <v>1079</v>
      </c>
      <c r="E402" s="143">
        <v>1714669.9999999995</v>
      </c>
      <c r="F402" s="143">
        <v>700500</v>
      </c>
      <c r="G402" s="143">
        <v>971000</v>
      </c>
      <c r="H402" s="143">
        <v>39372</v>
      </c>
      <c r="I402" s="143">
        <v>3797.9999999995343</v>
      </c>
      <c r="J402" s="143" t="str">
        <f>_xlfn.XLOOKUP(Table1[[#This Row],[Mã xuất]],$M$3:$M$72,$O$3:$O$72)</f>
        <v>MN</v>
      </c>
    </row>
    <row r="403" spans="1:10">
      <c r="A403">
        <v>2024</v>
      </c>
      <c r="B403">
        <v>10</v>
      </c>
      <c r="C403" t="s">
        <v>1108</v>
      </c>
      <c r="D403" t="s">
        <v>1109</v>
      </c>
      <c r="E403" s="143">
        <v>370352</v>
      </c>
      <c r="F403" s="143">
        <v>176876.79365293548</v>
      </c>
      <c r="G403" s="143">
        <v>178417.18976352978</v>
      </c>
      <c r="H403" s="143">
        <v>13854.063732674611</v>
      </c>
      <c r="I403" s="143">
        <v>1203.9528508601325</v>
      </c>
      <c r="J403" s="143" t="str">
        <f>_xlfn.XLOOKUP(Table1[[#This Row],[Mã xuất]],$M$3:$M$72,$O$3:$O$72)</f>
        <v>TSX</v>
      </c>
    </row>
    <row r="404" spans="1:10">
      <c r="A404">
        <v>2024</v>
      </c>
      <c r="B404">
        <v>10</v>
      </c>
      <c r="C404" t="s">
        <v>1086</v>
      </c>
      <c r="D404" t="s">
        <v>1087</v>
      </c>
      <c r="E404" s="143">
        <v>364549.19999999995</v>
      </c>
      <c r="F404" s="143">
        <v>158500</v>
      </c>
      <c r="G404" s="143">
        <v>185000</v>
      </c>
      <c r="H404" s="143">
        <v>18645</v>
      </c>
      <c r="I404" s="143">
        <v>2404.1999999999534</v>
      </c>
      <c r="J404" s="143" t="str">
        <f>_xlfn.XLOOKUP(Table1[[#This Row],[Mã xuất]],$M$3:$M$72,$O$3:$O$72)</f>
        <v>MN</v>
      </c>
    </row>
    <row r="405" spans="1:10">
      <c r="A405">
        <v>2024</v>
      </c>
      <c r="B405">
        <v>10</v>
      </c>
      <c r="C405" t="s">
        <v>1138</v>
      </c>
      <c r="D405" t="s">
        <v>1139</v>
      </c>
      <c r="E405" s="143">
        <v>268002.99999999994</v>
      </c>
      <c r="F405" s="143">
        <v>163115.40233675783</v>
      </c>
      <c r="G405" s="143">
        <v>96137.766976423824</v>
      </c>
      <c r="H405" s="143">
        <v>6454.393762775775</v>
      </c>
      <c r="I405" s="143">
        <v>2295.4369240425094</v>
      </c>
      <c r="J405" s="143" t="str">
        <f>_xlfn.XLOOKUP(Table1[[#This Row],[Mã xuất]],$M$3:$M$72,$O$3:$O$72)</f>
        <v>TSX</v>
      </c>
    </row>
    <row r="406" spans="1:10">
      <c r="A406">
        <v>2024</v>
      </c>
      <c r="B406">
        <v>10</v>
      </c>
      <c r="C406" t="s">
        <v>1080</v>
      </c>
      <c r="D406" t="s">
        <v>1081</v>
      </c>
      <c r="E406" s="143">
        <v>241600.00000000003</v>
      </c>
      <c r="F406" s="143">
        <v>136021.28512058713</v>
      </c>
      <c r="G406" s="143">
        <v>93383.378097574998</v>
      </c>
      <c r="H406" s="143">
        <v>10621.427730618741</v>
      </c>
      <c r="I406" s="143">
        <v>1573.9090512191633</v>
      </c>
      <c r="J406" s="143" t="str">
        <f>_xlfn.XLOOKUP(Table1[[#This Row],[Mã xuất]],$M$3:$M$72,$O$3:$O$72)</f>
        <v>TSX</v>
      </c>
    </row>
    <row r="407" spans="1:10">
      <c r="A407">
        <v>2024</v>
      </c>
      <c r="B407">
        <v>10</v>
      </c>
      <c r="C407" t="s">
        <v>1124</v>
      </c>
      <c r="D407" t="s">
        <v>1125</v>
      </c>
      <c r="E407" s="143">
        <v>234999.99999999997</v>
      </c>
      <c r="F407" s="143">
        <v>72000</v>
      </c>
      <c r="G407" s="143">
        <v>145415</v>
      </c>
      <c r="H407" s="143">
        <v>16420</v>
      </c>
      <c r="I407" s="143">
        <v>1164.9999999999709</v>
      </c>
      <c r="J407" s="143" t="str">
        <f>_xlfn.XLOOKUP(Table1[[#This Row],[Mã xuất]],$M$3:$M$72,$O$3:$O$72)</f>
        <v>TSX</v>
      </c>
    </row>
    <row r="408" spans="1:10">
      <c r="A408">
        <v>2024</v>
      </c>
      <c r="B408">
        <v>10</v>
      </c>
      <c r="C408" t="s">
        <v>1122</v>
      </c>
      <c r="D408" t="s">
        <v>1123</v>
      </c>
      <c r="E408" s="143">
        <v>196126</v>
      </c>
      <c r="F408" s="143">
        <v>138222.94112531526</v>
      </c>
      <c r="G408" s="143">
        <v>51445.734411687969</v>
      </c>
      <c r="H408" s="143">
        <v>5643.2240194799551</v>
      </c>
      <c r="I408" s="143">
        <v>814.10044351681154</v>
      </c>
      <c r="J408" s="143" t="str">
        <f>_xlfn.XLOOKUP(Table1[[#This Row],[Mã xuất]],$M$3:$M$72,$O$3:$O$72)</f>
        <v>TSX</v>
      </c>
    </row>
    <row r="409" spans="1:10">
      <c r="A409">
        <v>2024</v>
      </c>
      <c r="B409">
        <v>10</v>
      </c>
      <c r="C409" t="s">
        <v>1090</v>
      </c>
      <c r="D409" t="s">
        <v>1091</v>
      </c>
      <c r="E409" s="143">
        <v>166509.84</v>
      </c>
      <c r="F409" s="143">
        <v>144500</v>
      </c>
      <c r="G409" s="143">
        <v>4000</v>
      </c>
      <c r="H409" s="143">
        <v>17538</v>
      </c>
      <c r="I409" s="143">
        <v>471.83999999999651</v>
      </c>
      <c r="J409" s="143" t="str">
        <f>_xlfn.XLOOKUP(Table1[[#This Row],[Mã xuất]],$M$3:$M$72,$O$3:$O$72)</f>
        <v>MN</v>
      </c>
    </row>
    <row r="410" spans="1:10">
      <c r="A410">
        <v>2024</v>
      </c>
      <c r="B410">
        <v>10</v>
      </c>
      <c r="C410" t="s">
        <v>1140</v>
      </c>
      <c r="D410" t="s">
        <v>1141</v>
      </c>
      <c r="E410" s="143">
        <v>114448</v>
      </c>
      <c r="F410" s="143">
        <v>65311.594279362456</v>
      </c>
      <c r="G410" s="143">
        <v>44292.064808278315</v>
      </c>
      <c r="H410" s="143">
        <v>4522.6663311120337</v>
      </c>
      <c r="I410" s="143">
        <v>321.67458124719451</v>
      </c>
      <c r="J410" s="143" t="str">
        <f>_xlfn.XLOOKUP(Table1[[#This Row],[Mã xuất]],$M$3:$M$72,$O$3:$O$72)</f>
        <v>TSX</v>
      </c>
    </row>
    <row r="411" spans="1:10">
      <c r="A411">
        <v>2024</v>
      </c>
      <c r="B411">
        <v>10</v>
      </c>
      <c r="C411" t="s">
        <v>1130</v>
      </c>
      <c r="D411" t="s">
        <v>1131</v>
      </c>
      <c r="E411" s="143">
        <v>83500</v>
      </c>
      <c r="F411" s="143">
        <v>54353.306277507625</v>
      </c>
      <c r="G411" s="143">
        <v>26109.24908980418</v>
      </c>
      <c r="H411" s="143">
        <v>2347.2508484509071</v>
      </c>
      <c r="I411" s="143">
        <v>690.19378423728813</v>
      </c>
      <c r="J411" s="143" t="str">
        <f>_xlfn.XLOOKUP(Table1[[#This Row],[Mã xuất]],$M$3:$M$72,$O$3:$O$72)</f>
        <v>TSX</v>
      </c>
    </row>
    <row r="412" spans="1:10">
      <c r="A412">
        <v>2024</v>
      </c>
      <c r="B412">
        <v>10</v>
      </c>
      <c r="C412" t="s">
        <v>1094</v>
      </c>
      <c r="D412" t="s">
        <v>1095</v>
      </c>
      <c r="E412" s="143">
        <v>62992</v>
      </c>
      <c r="F412" s="143">
        <v>57177.058874684757</v>
      </c>
      <c r="G412" s="143">
        <v>2054.2655883120269</v>
      </c>
      <c r="H412" s="143">
        <v>3423.7759805200449</v>
      </c>
      <c r="I412" s="143">
        <v>336.89955648317118</v>
      </c>
      <c r="J412" s="143" t="str">
        <f>_xlfn.XLOOKUP(Table1[[#This Row],[Mã xuất]],$M$3:$M$72,$O$3:$O$72)</f>
        <v>TSX</v>
      </c>
    </row>
    <row r="413" spans="1:10">
      <c r="A413">
        <v>2024</v>
      </c>
      <c r="B413">
        <v>10</v>
      </c>
      <c r="C413" t="s">
        <v>1100</v>
      </c>
      <c r="D413" t="s">
        <v>1101</v>
      </c>
      <c r="E413" s="143">
        <v>52672.4</v>
      </c>
      <c r="F413" s="143">
        <v>37000</v>
      </c>
      <c r="G413" s="143">
        <v>6500</v>
      </c>
      <c r="H413" s="143">
        <v>8545</v>
      </c>
      <c r="I413" s="143">
        <v>627.40000000000146</v>
      </c>
      <c r="J413" s="143" t="str">
        <f>_xlfn.XLOOKUP(Table1[[#This Row],[Mã xuất]],$M$3:$M$72,$O$3:$O$72)</f>
        <v>TSX</v>
      </c>
    </row>
    <row r="414" spans="1:10">
      <c r="A414">
        <v>2024</v>
      </c>
      <c r="B414">
        <v>10</v>
      </c>
      <c r="C414" t="s">
        <v>1112</v>
      </c>
      <c r="D414" t="s">
        <v>1113</v>
      </c>
      <c r="E414" s="143">
        <v>43500</v>
      </c>
      <c r="F414" s="143">
        <v>24196.209730944225</v>
      </c>
      <c r="G414" s="143">
        <v>18652.978451768104</v>
      </c>
      <c r="H414" s="143">
        <v>388.87617343757836</v>
      </c>
      <c r="I414" s="143">
        <v>261.93564385009279</v>
      </c>
      <c r="J414" s="143" t="str">
        <f>_xlfn.XLOOKUP(Table1[[#This Row],[Mã xuất]],$M$3:$M$72,$O$3:$O$72)</f>
        <v>TSX</v>
      </c>
    </row>
    <row r="415" spans="1:10">
      <c r="A415">
        <v>2024</v>
      </c>
      <c r="B415">
        <v>10</v>
      </c>
      <c r="C415" t="s">
        <v>1176</v>
      </c>
      <c r="D415" t="s">
        <v>1177</v>
      </c>
      <c r="E415" s="143">
        <v>32550</v>
      </c>
      <c r="F415" s="143">
        <v>27500</v>
      </c>
      <c r="G415" s="143">
        <v>4500</v>
      </c>
      <c r="H415" s="143">
        <v>550</v>
      </c>
      <c r="I415" s="143">
        <v>0</v>
      </c>
      <c r="J415" s="143" t="str">
        <f>_xlfn.XLOOKUP(Table1[[#This Row],[Mã xuất]],$M$3:$M$72,$O$3:$O$72)</f>
        <v>TSX</v>
      </c>
    </row>
    <row r="416" spans="1:10">
      <c r="A416">
        <v>2024</v>
      </c>
      <c r="B416">
        <v>10</v>
      </c>
      <c r="C416" t="s">
        <v>1146</v>
      </c>
      <c r="D416" t="s">
        <v>1147</v>
      </c>
      <c r="E416" s="143">
        <v>29600</v>
      </c>
      <c r="F416" s="143">
        <v>16000</v>
      </c>
      <c r="G416" s="143">
        <v>13500</v>
      </c>
      <c r="H416" s="143">
        <v>0</v>
      </c>
      <c r="I416" s="143">
        <v>100</v>
      </c>
      <c r="J416" s="143" t="str">
        <f>_xlfn.XLOOKUP(Table1[[#This Row],[Mã xuất]],$M$3:$M$72,$O$3:$O$72)</f>
        <v>TSX</v>
      </c>
    </row>
    <row r="417" spans="1:10">
      <c r="A417">
        <v>2024</v>
      </c>
      <c r="B417">
        <v>10</v>
      </c>
      <c r="C417" t="s">
        <v>1126</v>
      </c>
      <c r="D417" t="s">
        <v>1127</v>
      </c>
      <c r="E417" s="143">
        <v>25500.000000000004</v>
      </c>
      <c r="F417" s="143">
        <v>16146.693722492371</v>
      </c>
      <c r="G417" s="143">
        <v>8390.7509101958185</v>
      </c>
      <c r="H417" s="143">
        <v>602.74915154909309</v>
      </c>
      <c r="I417" s="143">
        <v>359.80621576272074</v>
      </c>
      <c r="J417" s="143" t="str">
        <f>_xlfn.XLOOKUP(Table1[[#This Row],[Mã xuất]],$M$3:$M$72,$O$3:$O$72)</f>
        <v>TSX</v>
      </c>
    </row>
    <row r="418" spans="1:10">
      <c r="A418">
        <v>2024</v>
      </c>
      <c r="B418">
        <v>10</v>
      </c>
      <c r="C418" t="s">
        <v>1144</v>
      </c>
      <c r="D418" t="s">
        <v>1145</v>
      </c>
      <c r="E418" s="143">
        <v>17500</v>
      </c>
      <c r="F418" s="143">
        <v>0</v>
      </c>
      <c r="G418" s="143">
        <v>16602.564102564102</v>
      </c>
      <c r="H418" s="143">
        <v>897.43589743589746</v>
      </c>
      <c r="I418" s="143">
        <v>9.0949470177292824E-13</v>
      </c>
      <c r="J418" s="143" t="str">
        <f>_xlfn.XLOOKUP(Table1[[#This Row],[Mã xuất]],$M$3:$M$72,$O$3:$O$72)</f>
        <v>TSX</v>
      </c>
    </row>
    <row r="419" spans="1:10">
      <c r="A419">
        <v>2024</v>
      </c>
      <c r="B419">
        <v>10</v>
      </c>
      <c r="C419" t="s">
        <v>1220</v>
      </c>
      <c r="D419" t="s">
        <v>1221</v>
      </c>
      <c r="E419" s="143">
        <v>15000</v>
      </c>
      <c r="F419" s="143">
        <v>15000</v>
      </c>
      <c r="G419" s="143">
        <v>0</v>
      </c>
      <c r="H419" s="143">
        <v>0</v>
      </c>
      <c r="I419" s="143">
        <v>0</v>
      </c>
      <c r="J419" s="143" t="str">
        <f>_xlfn.XLOOKUP(Table1[[#This Row],[Mã xuất]],$M$3:$M$72,$O$3:$O$72)</f>
        <v>Unknown</v>
      </c>
    </row>
    <row r="420" spans="1:10">
      <c r="A420">
        <v>2024</v>
      </c>
      <c r="B420">
        <v>10</v>
      </c>
      <c r="C420" t="s">
        <v>1084</v>
      </c>
      <c r="D420" t="s">
        <v>1085</v>
      </c>
      <c r="E420" s="143">
        <v>13290</v>
      </c>
      <c r="F420" s="143">
        <v>7978.7148794128698</v>
      </c>
      <c r="G420" s="143">
        <v>4616.6219024250058</v>
      </c>
      <c r="H420" s="143">
        <v>659.57226938125871</v>
      </c>
      <c r="I420" s="143">
        <v>35.090948780865688</v>
      </c>
      <c r="J420" s="143" t="str">
        <f>_xlfn.XLOOKUP(Table1[[#This Row],[Mã xuất]],$M$3:$M$72,$O$3:$O$72)</f>
        <v>TSX</v>
      </c>
    </row>
    <row r="421" spans="1:10">
      <c r="A421">
        <v>2024</v>
      </c>
      <c r="B421">
        <v>10</v>
      </c>
      <c r="C421" t="s">
        <v>1116</v>
      </c>
      <c r="D421" t="s">
        <v>1117</v>
      </c>
      <c r="E421" s="143">
        <v>2000</v>
      </c>
      <c r="F421" s="143">
        <v>0</v>
      </c>
      <c r="G421" s="143">
        <v>1897.4358974358975</v>
      </c>
      <c r="H421" s="143">
        <v>102.56410256410257</v>
      </c>
      <c r="I421" s="143">
        <v>-2.8421709430404007E-14</v>
      </c>
      <c r="J421" s="143" t="str">
        <f>_xlfn.XLOOKUP(Table1[[#This Row],[Mã xuất]],$M$3:$M$72,$O$3:$O$72)</f>
        <v>TSX</v>
      </c>
    </row>
    <row r="422" spans="1:10">
      <c r="A422">
        <v>2024</v>
      </c>
      <c r="B422">
        <v>11</v>
      </c>
      <c r="C422" t="s">
        <v>1078</v>
      </c>
      <c r="D422" t="s">
        <v>1079</v>
      </c>
      <c r="E422" s="143">
        <v>2179042.0000000005</v>
      </c>
      <c r="F422" s="143">
        <v>872500</v>
      </c>
      <c r="G422" s="143">
        <v>1263500</v>
      </c>
      <c r="H422" s="143">
        <v>35996</v>
      </c>
      <c r="I422" s="143">
        <v>7046.0000000004657</v>
      </c>
      <c r="J422" s="143" t="str">
        <f>_xlfn.XLOOKUP(Table1[[#This Row],[Mã xuất]],$M$3:$M$72,$O$3:$O$72)</f>
        <v>MN</v>
      </c>
    </row>
    <row r="423" spans="1:10">
      <c r="A423">
        <v>2024</v>
      </c>
      <c r="B423">
        <v>11</v>
      </c>
      <c r="C423" t="s">
        <v>1086</v>
      </c>
      <c r="D423" t="s">
        <v>1087</v>
      </c>
      <c r="E423" s="143">
        <v>617369</v>
      </c>
      <c r="F423" s="143">
        <v>306000</v>
      </c>
      <c r="G423" s="143">
        <v>297502</v>
      </c>
      <c r="H423" s="143">
        <v>9947</v>
      </c>
      <c r="I423" s="143">
        <v>3920</v>
      </c>
      <c r="J423" s="143" t="str">
        <f>_xlfn.XLOOKUP(Table1[[#This Row],[Mã xuất]],$M$3:$M$72,$O$3:$O$72)</f>
        <v>MN</v>
      </c>
    </row>
    <row r="424" spans="1:10">
      <c r="A424">
        <v>2024</v>
      </c>
      <c r="B424">
        <v>11</v>
      </c>
      <c r="C424" t="s">
        <v>1108</v>
      </c>
      <c r="D424" t="s">
        <v>1109</v>
      </c>
      <c r="E424" s="143">
        <v>532450</v>
      </c>
      <c r="F424" s="143">
        <v>319672.26309111872</v>
      </c>
      <c r="G424" s="143">
        <v>199280.80367387537</v>
      </c>
      <c r="H424" s="143">
        <v>11768.47973787826</v>
      </c>
      <c r="I424" s="143">
        <v>1728.4534971276516</v>
      </c>
      <c r="J424" s="143" t="str">
        <f>_xlfn.XLOOKUP(Table1[[#This Row],[Mã xuất]],$M$3:$M$72,$O$3:$O$72)</f>
        <v>TSX</v>
      </c>
    </row>
    <row r="425" spans="1:10">
      <c r="A425">
        <v>2024</v>
      </c>
      <c r="B425">
        <v>11</v>
      </c>
      <c r="C425" t="s">
        <v>1080</v>
      </c>
      <c r="D425" t="s">
        <v>1081</v>
      </c>
      <c r="E425" s="143">
        <v>324700</v>
      </c>
      <c r="F425" s="143">
        <v>203783.680826867</v>
      </c>
      <c r="G425" s="143">
        <v>109876.04344765161</v>
      </c>
      <c r="H425" s="143">
        <v>8521.7501295847869</v>
      </c>
      <c r="I425" s="143">
        <v>2518.5255958966045</v>
      </c>
      <c r="J425" s="143" t="str">
        <f>_xlfn.XLOOKUP(Table1[[#This Row],[Mã xuất]],$M$3:$M$72,$O$3:$O$72)</f>
        <v>TSX</v>
      </c>
    </row>
    <row r="426" spans="1:10">
      <c r="A426">
        <v>2024</v>
      </c>
      <c r="B426">
        <v>11</v>
      </c>
      <c r="C426" t="s">
        <v>1138</v>
      </c>
      <c r="D426" t="s">
        <v>1139</v>
      </c>
      <c r="E426" s="143">
        <v>246600.00000000006</v>
      </c>
      <c r="F426" s="143">
        <v>145816.84571648319</v>
      </c>
      <c r="G426" s="143">
        <v>92585.390538148044</v>
      </c>
      <c r="H426" s="143">
        <v>7493.3259779966365</v>
      </c>
      <c r="I426" s="143">
        <v>704.43776737218559</v>
      </c>
      <c r="J426" s="143" t="str">
        <f>_xlfn.XLOOKUP(Table1[[#This Row],[Mã xuất]],$M$3:$M$72,$O$3:$O$72)</f>
        <v>TSX</v>
      </c>
    </row>
    <row r="427" spans="1:10">
      <c r="A427">
        <v>2024</v>
      </c>
      <c r="B427">
        <v>11</v>
      </c>
      <c r="C427" t="s">
        <v>1140</v>
      </c>
      <c r="D427" t="s">
        <v>1141</v>
      </c>
      <c r="E427" s="143">
        <v>123500</v>
      </c>
      <c r="F427" s="143">
        <v>72926.439337777803</v>
      </c>
      <c r="G427" s="143">
        <v>46400.973800400141</v>
      </c>
      <c r="H427" s="143">
        <v>3890.6711839310933</v>
      </c>
      <c r="I427" s="143">
        <v>281.91567789096234</v>
      </c>
      <c r="J427" s="143" t="str">
        <f>_xlfn.XLOOKUP(Table1[[#This Row],[Mã xuất]],$M$3:$M$72,$O$3:$O$72)</f>
        <v>TSX</v>
      </c>
    </row>
    <row r="428" spans="1:10">
      <c r="A428">
        <v>2024</v>
      </c>
      <c r="B428">
        <v>11</v>
      </c>
      <c r="C428" t="s">
        <v>1088</v>
      </c>
      <c r="D428" t="s">
        <v>1089</v>
      </c>
      <c r="E428" s="143">
        <v>61000</v>
      </c>
      <c r="F428" s="143">
        <v>0</v>
      </c>
      <c r="G428" s="143">
        <v>57000</v>
      </c>
      <c r="H428" s="143">
        <v>3694</v>
      </c>
      <c r="I428" s="143">
        <v>306</v>
      </c>
      <c r="J428" s="143" t="str">
        <f>_xlfn.XLOOKUP(Table1[[#This Row],[Mã xuất]],$M$3:$M$72,$O$3:$O$72)</f>
        <v>TSX</v>
      </c>
    </row>
    <row r="429" spans="1:10">
      <c r="A429">
        <v>2024</v>
      </c>
      <c r="B429">
        <v>11</v>
      </c>
      <c r="C429" t="s">
        <v>1098</v>
      </c>
      <c r="D429" t="s">
        <v>1099</v>
      </c>
      <c r="E429" s="143">
        <v>58150</v>
      </c>
      <c r="F429" s="143">
        <v>32000</v>
      </c>
      <c r="G429" s="143">
        <v>23500</v>
      </c>
      <c r="H429" s="143">
        <v>2000</v>
      </c>
      <c r="I429" s="143">
        <v>650</v>
      </c>
      <c r="J429" s="143" t="str">
        <f>_xlfn.XLOOKUP(Table1[[#This Row],[Mã xuất]],$M$3:$M$72,$O$3:$O$72)</f>
        <v>MN</v>
      </c>
    </row>
    <row r="430" spans="1:10">
      <c r="A430">
        <v>2024</v>
      </c>
      <c r="B430">
        <v>11</v>
      </c>
      <c r="C430" t="s">
        <v>1084</v>
      </c>
      <c r="D430" t="s">
        <v>1085</v>
      </c>
      <c r="E430" s="143">
        <v>40999.999999999993</v>
      </c>
      <c r="F430" s="143">
        <v>11647.088403902242</v>
      </c>
      <c r="G430" s="143">
        <v>26623.956552348383</v>
      </c>
      <c r="H430" s="143">
        <v>2147.4806396459821</v>
      </c>
      <c r="I430" s="143">
        <v>581.47440410338504</v>
      </c>
      <c r="J430" s="143" t="str">
        <f>_xlfn.XLOOKUP(Table1[[#This Row],[Mã xuất]],$M$3:$M$72,$O$3:$O$72)</f>
        <v>TSX</v>
      </c>
    </row>
    <row r="431" spans="1:10">
      <c r="A431">
        <v>2024</v>
      </c>
      <c r="B431">
        <v>11</v>
      </c>
      <c r="C431" t="s">
        <v>1090</v>
      </c>
      <c r="D431" t="s">
        <v>1091</v>
      </c>
      <c r="E431" s="143">
        <v>23000</v>
      </c>
      <c r="F431" s="143">
        <v>10000</v>
      </c>
      <c r="G431" s="143">
        <v>10500</v>
      </c>
      <c r="H431" s="143">
        <v>2300</v>
      </c>
      <c r="I431" s="143">
        <v>200</v>
      </c>
      <c r="J431" s="143" t="str">
        <f>_xlfn.XLOOKUP(Table1[[#This Row],[Mã xuất]],$M$3:$M$72,$O$3:$O$72)</f>
        <v>MN</v>
      </c>
    </row>
    <row r="432" spans="1:10">
      <c r="A432">
        <v>2024</v>
      </c>
      <c r="B432">
        <v>11</v>
      </c>
      <c r="C432" t="s">
        <v>1144</v>
      </c>
      <c r="D432" t="s">
        <v>1145</v>
      </c>
      <c r="E432" s="143">
        <v>15500</v>
      </c>
      <c r="F432" s="143">
        <v>0</v>
      </c>
      <c r="G432" s="143">
        <v>15500</v>
      </c>
      <c r="H432" s="143">
        <v>0</v>
      </c>
      <c r="I432" s="143">
        <v>0</v>
      </c>
      <c r="J432" s="143" t="str">
        <f>_xlfn.XLOOKUP(Table1[[#This Row],[Mã xuất]],$M$3:$M$72,$O$3:$O$72)</f>
        <v>TSX</v>
      </c>
    </row>
    <row r="433" spans="1:10">
      <c r="A433">
        <v>2024</v>
      </c>
      <c r="B433">
        <v>11</v>
      </c>
      <c r="C433" t="s">
        <v>1094</v>
      </c>
      <c r="D433" t="s">
        <v>1095</v>
      </c>
      <c r="E433" s="143">
        <v>15000</v>
      </c>
      <c r="F433" s="143">
        <v>14583.333333333334</v>
      </c>
      <c r="G433" s="143">
        <v>0</v>
      </c>
      <c r="H433" s="143">
        <v>341.66666666666669</v>
      </c>
      <c r="I433" s="143">
        <v>74.999999999999375</v>
      </c>
      <c r="J433" s="143" t="str">
        <f>_xlfn.XLOOKUP(Table1[[#This Row],[Mã xuất]],$M$3:$M$72,$O$3:$O$72)</f>
        <v>TSX</v>
      </c>
    </row>
    <row r="434" spans="1:10">
      <c r="A434">
        <v>2024</v>
      </c>
      <c r="B434">
        <v>11</v>
      </c>
      <c r="C434" t="s">
        <v>1112</v>
      </c>
      <c r="D434" t="s">
        <v>1113</v>
      </c>
      <c r="E434" s="143">
        <v>14504</v>
      </c>
      <c r="F434" s="143">
        <v>8753.6826238510275</v>
      </c>
      <c r="G434" s="143">
        <v>5232.8319875765073</v>
      </c>
      <c r="H434" s="143">
        <v>473.29233096324305</v>
      </c>
      <c r="I434" s="143">
        <v>44.19305760922208</v>
      </c>
      <c r="J434" s="143" t="str">
        <f>_xlfn.XLOOKUP(Table1[[#This Row],[Mã xuất]],$M$3:$M$72,$O$3:$O$72)</f>
        <v>TSX</v>
      </c>
    </row>
    <row r="435" spans="1:10">
      <c r="A435">
        <v>2024</v>
      </c>
      <c r="B435">
        <v>11</v>
      </c>
      <c r="C435" t="s">
        <v>1130</v>
      </c>
      <c r="D435" t="s">
        <v>1131</v>
      </c>
      <c r="E435" s="143">
        <v>14350</v>
      </c>
      <c r="F435" s="143">
        <v>7030.2593659942368</v>
      </c>
      <c r="G435" s="143">
        <v>4135.4466858789629</v>
      </c>
      <c r="H435" s="143">
        <v>2729.3948126801151</v>
      </c>
      <c r="I435" s="143">
        <v>454.89913544668525</v>
      </c>
      <c r="J435" s="143" t="str">
        <f>_xlfn.XLOOKUP(Table1[[#This Row],[Mã xuất]],$M$3:$M$72,$O$3:$O$72)</f>
        <v>TSX</v>
      </c>
    </row>
    <row r="436" spans="1:10">
      <c r="A436">
        <v>2024</v>
      </c>
      <c r="B436">
        <v>11</v>
      </c>
      <c r="C436" t="s">
        <v>1162</v>
      </c>
      <c r="D436" t="s">
        <v>1163</v>
      </c>
      <c r="E436" s="143">
        <v>9000</v>
      </c>
      <c r="F436" s="143">
        <v>9000</v>
      </c>
      <c r="G436" s="143">
        <v>0</v>
      </c>
      <c r="H436" s="143">
        <v>0</v>
      </c>
      <c r="I436" s="143">
        <v>0</v>
      </c>
      <c r="J436" s="143" t="str">
        <f>_xlfn.XLOOKUP(Table1[[#This Row],[Mã xuất]],$M$3:$M$72,$O$3:$O$72)</f>
        <v>MN</v>
      </c>
    </row>
    <row r="437" spans="1:10">
      <c r="A437">
        <v>2024</v>
      </c>
      <c r="B437">
        <v>11</v>
      </c>
      <c r="C437" t="s">
        <v>1126</v>
      </c>
      <c r="D437" t="s">
        <v>1127</v>
      </c>
      <c r="E437" s="143">
        <v>3000</v>
      </c>
      <c r="F437" s="143">
        <v>1469.7406340057637</v>
      </c>
      <c r="G437" s="143">
        <v>864.55331412103749</v>
      </c>
      <c r="H437" s="143">
        <v>570.60518731988475</v>
      </c>
      <c r="I437" s="143">
        <v>95.100864553314068</v>
      </c>
      <c r="J437" s="143" t="str">
        <f>_xlfn.XLOOKUP(Table1[[#This Row],[Mã xuất]],$M$3:$M$72,$O$3:$O$72)</f>
        <v>TSX</v>
      </c>
    </row>
    <row r="438" spans="1:10">
      <c r="A438">
        <v>2024</v>
      </c>
      <c r="B438">
        <v>11</v>
      </c>
      <c r="C438" t="s">
        <v>1122</v>
      </c>
      <c r="D438" t="s">
        <v>1123</v>
      </c>
      <c r="E438" s="143">
        <v>3000</v>
      </c>
      <c r="F438" s="143">
        <v>2916.6666666666665</v>
      </c>
      <c r="G438" s="143">
        <v>0</v>
      </c>
      <c r="H438" s="143">
        <v>68.333333333333329</v>
      </c>
      <c r="I438" s="143">
        <v>15.000000000000156</v>
      </c>
      <c r="J438" s="143" t="str">
        <f>_xlfn.XLOOKUP(Table1[[#This Row],[Mã xuất]],$M$3:$M$72,$O$3:$O$72)</f>
        <v>TSX</v>
      </c>
    </row>
    <row r="439" spans="1:10">
      <c r="A439">
        <v>2024</v>
      </c>
      <c r="B439">
        <v>12</v>
      </c>
      <c r="C439" t="s">
        <v>1078</v>
      </c>
      <c r="D439" t="s">
        <v>1079</v>
      </c>
      <c r="E439" s="143">
        <v>1912450</v>
      </c>
      <c r="F439" s="143">
        <v>843500</v>
      </c>
      <c r="G439" s="143">
        <v>992001</v>
      </c>
      <c r="H439" s="143">
        <v>71650</v>
      </c>
      <c r="I439" s="143">
        <v>5299</v>
      </c>
      <c r="J439" s="143" t="str">
        <f>_xlfn.XLOOKUP(Table1[[#This Row],[Mã xuất]],$M$3:$M$72,$O$3:$O$72)</f>
        <v>MN</v>
      </c>
    </row>
    <row r="440" spans="1:10">
      <c r="A440">
        <v>2024</v>
      </c>
      <c r="B440">
        <v>12</v>
      </c>
      <c r="C440" t="s">
        <v>1108</v>
      </c>
      <c r="D440" t="s">
        <v>1109</v>
      </c>
      <c r="E440" s="143">
        <v>802500.00000000012</v>
      </c>
      <c r="F440" s="143">
        <v>518241.10938670079</v>
      </c>
      <c r="G440" s="143">
        <v>258973.2616377885</v>
      </c>
      <c r="H440" s="143">
        <v>22369.244835428522</v>
      </c>
      <c r="I440" s="143">
        <v>2916.3841400823076</v>
      </c>
      <c r="J440" s="143" t="str">
        <f>_xlfn.XLOOKUP(Table1[[#This Row],[Mã xuất]],$M$3:$M$72,$O$3:$O$72)</f>
        <v>TSX</v>
      </c>
    </row>
    <row r="441" spans="1:10">
      <c r="A441">
        <v>2024</v>
      </c>
      <c r="B441">
        <v>12</v>
      </c>
      <c r="C441" t="s">
        <v>1086</v>
      </c>
      <c r="D441" t="s">
        <v>1087</v>
      </c>
      <c r="E441" s="143">
        <v>472700.00000000012</v>
      </c>
      <c r="F441" s="143">
        <v>273000</v>
      </c>
      <c r="G441" s="143">
        <v>171000</v>
      </c>
      <c r="H441" s="143">
        <v>27099</v>
      </c>
      <c r="I441" s="143">
        <v>1601.0000000001164</v>
      </c>
      <c r="J441" s="143" t="str">
        <f>_xlfn.XLOOKUP(Table1[[#This Row],[Mã xuất]],$M$3:$M$72,$O$3:$O$72)</f>
        <v>MN</v>
      </c>
    </row>
    <row r="442" spans="1:10">
      <c r="A442">
        <v>2024</v>
      </c>
      <c r="B442">
        <v>12</v>
      </c>
      <c r="C442" t="s">
        <v>1080</v>
      </c>
      <c r="D442" t="s">
        <v>1081</v>
      </c>
      <c r="E442" s="143">
        <v>240800</v>
      </c>
      <c r="F442" s="143">
        <v>146673.91304347827</v>
      </c>
      <c r="G442" s="143">
        <v>80760.869565217392</v>
      </c>
      <c r="H442" s="143">
        <v>12365.086956521738</v>
      </c>
      <c r="I442" s="143">
        <v>1000.130434782599</v>
      </c>
      <c r="J442" s="143" t="str">
        <f>_xlfn.XLOOKUP(Table1[[#This Row],[Mã xuất]],$M$3:$M$72,$O$3:$O$72)</f>
        <v>TSX</v>
      </c>
    </row>
    <row r="443" spans="1:10">
      <c r="A443">
        <v>2024</v>
      </c>
      <c r="B443">
        <v>12</v>
      </c>
      <c r="C443" t="s">
        <v>1138</v>
      </c>
      <c r="D443" t="s">
        <v>1139</v>
      </c>
      <c r="E443" s="143">
        <v>172000</v>
      </c>
      <c r="F443" s="143">
        <v>107563.86589417208</v>
      </c>
      <c r="G443" s="143">
        <v>58340.772532429546</v>
      </c>
      <c r="H443" s="143">
        <v>5331.5020188170529</v>
      </c>
      <c r="I443" s="143">
        <v>763.8595545813223</v>
      </c>
      <c r="J443" s="143" t="str">
        <f>_xlfn.XLOOKUP(Table1[[#This Row],[Mã xuất]],$M$3:$M$72,$O$3:$O$72)</f>
        <v>TSX</v>
      </c>
    </row>
    <row r="444" spans="1:10">
      <c r="A444">
        <v>2024</v>
      </c>
      <c r="B444">
        <v>12</v>
      </c>
      <c r="C444" t="s">
        <v>1090</v>
      </c>
      <c r="D444" t="s">
        <v>1091</v>
      </c>
      <c r="E444" s="143">
        <v>169000</v>
      </c>
      <c r="F444" s="143">
        <v>141500</v>
      </c>
      <c r="G444" s="143">
        <v>0</v>
      </c>
      <c r="H444" s="143">
        <v>25882</v>
      </c>
      <c r="I444" s="143">
        <v>1618</v>
      </c>
      <c r="J444" s="143" t="str">
        <f>_xlfn.XLOOKUP(Table1[[#This Row],[Mã xuất]],$M$3:$M$72,$O$3:$O$72)</f>
        <v>MN</v>
      </c>
    </row>
    <row r="445" spans="1:10">
      <c r="A445">
        <v>2024</v>
      </c>
      <c r="B445">
        <v>12</v>
      </c>
      <c r="C445" t="s">
        <v>1140</v>
      </c>
      <c r="D445" t="s">
        <v>1141</v>
      </c>
      <c r="E445" s="143">
        <v>116299.99999999997</v>
      </c>
      <c r="F445" s="143">
        <v>86359.404739430509</v>
      </c>
      <c r="G445" s="143">
        <v>25910.037916722125</v>
      </c>
      <c r="H445" s="143">
        <v>3310.7187302694415</v>
      </c>
      <c r="I445" s="143">
        <v>719.8386135778951</v>
      </c>
      <c r="J445" s="143" t="str">
        <f>_xlfn.XLOOKUP(Table1[[#This Row],[Mã xuất]],$M$3:$M$72,$O$3:$O$72)</f>
        <v>TSX</v>
      </c>
    </row>
    <row r="446" spans="1:10">
      <c r="A446">
        <v>2024</v>
      </c>
      <c r="B446">
        <v>12</v>
      </c>
      <c r="C446" t="s">
        <v>1094</v>
      </c>
      <c r="D446" t="s">
        <v>1095</v>
      </c>
      <c r="E446" s="143">
        <v>91200</v>
      </c>
      <c r="F446" s="143">
        <v>89776.923076923078</v>
      </c>
      <c r="G446" s="143">
        <v>1323.0769230769231</v>
      </c>
      <c r="H446" s="143">
        <v>50</v>
      </c>
      <c r="I446" s="143">
        <v>49.999999999998863</v>
      </c>
      <c r="J446" s="143" t="str">
        <f>_xlfn.XLOOKUP(Table1[[#This Row],[Mã xuất]],$M$3:$M$72,$O$3:$O$72)</f>
        <v>TSX</v>
      </c>
    </row>
    <row r="447" spans="1:10">
      <c r="A447">
        <v>2024</v>
      </c>
      <c r="B447">
        <v>12</v>
      </c>
      <c r="C447" t="s">
        <v>1088</v>
      </c>
      <c r="D447" t="s">
        <v>1089</v>
      </c>
      <c r="E447" s="143">
        <v>68979</v>
      </c>
      <c r="F447" s="143">
        <v>0</v>
      </c>
      <c r="G447" s="143">
        <v>44000</v>
      </c>
      <c r="H447" s="143">
        <v>24700</v>
      </c>
      <c r="I447" s="143">
        <v>279</v>
      </c>
      <c r="J447" s="143" t="str">
        <f>_xlfn.XLOOKUP(Table1[[#This Row],[Mã xuất]],$M$3:$M$72,$O$3:$O$72)</f>
        <v>TSX</v>
      </c>
    </row>
    <row r="448" spans="1:10">
      <c r="A448">
        <v>2024</v>
      </c>
      <c r="B448">
        <v>12</v>
      </c>
      <c r="C448" t="s">
        <v>1124</v>
      </c>
      <c r="D448" t="s">
        <v>1125</v>
      </c>
      <c r="E448" s="143">
        <v>65800</v>
      </c>
      <c r="F448" s="143">
        <v>19644.669714324558</v>
      </c>
      <c r="G448" s="143">
        <v>27491.460326631885</v>
      </c>
      <c r="H448" s="143">
        <v>17854.849451081689</v>
      </c>
      <c r="I448" s="143">
        <v>809.02050796187177</v>
      </c>
      <c r="J448" s="143" t="str">
        <f>_xlfn.XLOOKUP(Table1[[#This Row],[Mã xuất]],$M$3:$M$72,$O$3:$O$72)</f>
        <v>TSX</v>
      </c>
    </row>
    <row r="449" spans="1:10">
      <c r="A449">
        <v>2024</v>
      </c>
      <c r="B449">
        <v>12</v>
      </c>
      <c r="C449" t="s">
        <v>1098</v>
      </c>
      <c r="D449" t="s">
        <v>1099</v>
      </c>
      <c r="E449" s="143">
        <v>60075</v>
      </c>
      <c r="F449" s="143">
        <v>26000</v>
      </c>
      <c r="G449" s="143">
        <v>27000</v>
      </c>
      <c r="H449" s="143">
        <v>7000</v>
      </c>
      <c r="I449" s="143">
        <v>75</v>
      </c>
      <c r="J449" s="143" t="str">
        <f>_xlfn.XLOOKUP(Table1[[#This Row],[Mã xuất]],$M$3:$M$72,$O$3:$O$72)</f>
        <v>MN</v>
      </c>
    </row>
    <row r="450" spans="1:10">
      <c r="A450">
        <v>2024</v>
      </c>
      <c r="B450">
        <v>12</v>
      </c>
      <c r="C450" t="s">
        <v>1100</v>
      </c>
      <c r="D450" t="s">
        <v>1101</v>
      </c>
      <c r="E450" s="143">
        <v>54100</v>
      </c>
      <c r="F450" s="143">
        <v>0</v>
      </c>
      <c r="G450" s="143">
        <v>23000</v>
      </c>
      <c r="H450" s="143">
        <v>30876</v>
      </c>
      <c r="I450" s="143">
        <v>224</v>
      </c>
      <c r="J450" s="143" t="str">
        <f>_xlfn.XLOOKUP(Table1[[#This Row],[Mã xuất]],$M$3:$M$72,$O$3:$O$72)</f>
        <v>TSX</v>
      </c>
    </row>
    <row r="451" spans="1:10">
      <c r="A451">
        <v>2024</v>
      </c>
      <c r="B451">
        <v>12</v>
      </c>
      <c r="C451" t="s">
        <v>1092</v>
      </c>
      <c r="D451" t="s">
        <v>1093</v>
      </c>
      <c r="E451" s="143">
        <v>45882</v>
      </c>
      <c r="F451" s="143">
        <v>0</v>
      </c>
      <c r="G451" s="143">
        <v>23000</v>
      </c>
      <c r="H451" s="143">
        <v>22050</v>
      </c>
      <c r="I451" s="143">
        <v>832</v>
      </c>
      <c r="J451" s="143" t="str">
        <f>_xlfn.XLOOKUP(Table1[[#This Row],[Mã xuất]],$M$3:$M$72,$O$3:$O$72)</f>
        <v>MN</v>
      </c>
    </row>
    <row r="452" spans="1:10">
      <c r="A452">
        <v>2024</v>
      </c>
      <c r="B452">
        <v>12</v>
      </c>
      <c r="C452" t="s">
        <v>1198</v>
      </c>
      <c r="D452" t="s">
        <v>1199</v>
      </c>
      <c r="E452" s="143">
        <v>44500</v>
      </c>
      <c r="F452" s="143">
        <v>34501.25</v>
      </c>
      <c r="G452" s="143">
        <v>8062.5</v>
      </c>
      <c r="H452" s="143">
        <v>1137.5</v>
      </c>
      <c r="I452" s="143">
        <v>798.75</v>
      </c>
      <c r="J452" s="143" t="str">
        <f>_xlfn.XLOOKUP(Table1[[#This Row],[Mã xuất]],$M$3:$M$72,$O$3:$O$72)</f>
        <v>TSX</v>
      </c>
    </row>
    <row r="453" spans="1:10">
      <c r="A453">
        <v>2024</v>
      </c>
      <c r="B453">
        <v>12</v>
      </c>
      <c r="C453" t="s">
        <v>1112</v>
      </c>
      <c r="D453" t="s">
        <v>1113</v>
      </c>
      <c r="E453" s="143">
        <v>41500</v>
      </c>
      <c r="F453" s="143">
        <v>27335.619979696658</v>
      </c>
      <c r="G453" s="143">
        <v>12776.927913059861</v>
      </c>
      <c r="H453" s="143">
        <v>1289.5344154849834</v>
      </c>
      <c r="I453" s="143">
        <v>97.917691758498449</v>
      </c>
      <c r="J453" s="143" t="str">
        <f>_xlfn.XLOOKUP(Table1[[#This Row],[Mã xuất]],$M$3:$M$72,$O$3:$O$72)</f>
        <v>TSX</v>
      </c>
    </row>
    <row r="454" spans="1:10">
      <c r="A454">
        <v>2024</v>
      </c>
      <c r="B454">
        <v>12</v>
      </c>
      <c r="C454" t="s">
        <v>1144</v>
      </c>
      <c r="D454" t="s">
        <v>1145</v>
      </c>
      <c r="E454" s="143">
        <v>36500</v>
      </c>
      <c r="F454" s="143">
        <v>0</v>
      </c>
      <c r="G454" s="143">
        <v>35500</v>
      </c>
      <c r="H454" s="143">
        <v>960</v>
      </c>
      <c r="I454" s="143">
        <v>40</v>
      </c>
      <c r="J454" s="143" t="str">
        <f>_xlfn.XLOOKUP(Table1[[#This Row],[Mã xuất]],$M$3:$M$72,$O$3:$O$72)</f>
        <v>TSX</v>
      </c>
    </row>
    <row r="455" spans="1:10">
      <c r="A455">
        <v>2024</v>
      </c>
      <c r="B455">
        <v>12</v>
      </c>
      <c r="C455" t="s">
        <v>1122</v>
      </c>
      <c r="D455" t="s">
        <v>1123</v>
      </c>
      <c r="E455" s="143">
        <v>20500.000000000004</v>
      </c>
      <c r="F455" s="143">
        <v>18723.076923076922</v>
      </c>
      <c r="G455" s="143">
        <v>76.92307692307692</v>
      </c>
      <c r="H455" s="143">
        <v>1400</v>
      </c>
      <c r="I455" s="143">
        <v>300.00000000000477</v>
      </c>
      <c r="J455" s="143" t="str">
        <f>_xlfn.XLOOKUP(Table1[[#This Row],[Mã xuất]],$M$3:$M$72,$O$3:$O$72)</f>
        <v>TSX</v>
      </c>
    </row>
    <row r="456" spans="1:10">
      <c r="A456">
        <v>2024</v>
      </c>
      <c r="B456">
        <v>12</v>
      </c>
      <c r="C456" t="s">
        <v>1084</v>
      </c>
      <c r="D456" t="s">
        <v>1085</v>
      </c>
      <c r="E456" s="143">
        <v>10000</v>
      </c>
      <c r="F456" s="143">
        <v>7826.086956521739</v>
      </c>
      <c r="G456" s="143">
        <v>1739.1304347826087</v>
      </c>
      <c r="H456" s="143">
        <v>383.91304347826087</v>
      </c>
      <c r="I456" s="143">
        <v>50.869565217391369</v>
      </c>
      <c r="J456" s="143" t="str">
        <f>_xlfn.XLOOKUP(Table1[[#This Row],[Mã xuất]],$M$3:$M$72,$O$3:$O$72)</f>
        <v>TSX</v>
      </c>
    </row>
    <row r="457" spans="1:10">
      <c r="A457">
        <v>2024</v>
      </c>
      <c r="B457">
        <v>12</v>
      </c>
      <c r="C457" t="s">
        <v>1146</v>
      </c>
      <c r="D457" t="s">
        <v>1147</v>
      </c>
      <c r="E457" s="143">
        <v>6000.0000000000009</v>
      </c>
      <c r="F457" s="143">
        <v>4800.75</v>
      </c>
      <c r="G457" s="143">
        <v>937.5</v>
      </c>
      <c r="H457" s="143">
        <v>112.5</v>
      </c>
      <c r="I457" s="143">
        <v>149.25000000000091</v>
      </c>
      <c r="J457" s="143" t="str">
        <f>_xlfn.XLOOKUP(Table1[[#This Row],[Mã xuất]],$M$3:$M$72,$O$3:$O$72)</f>
        <v>TSX</v>
      </c>
    </row>
    <row r="458" spans="1:10">
      <c r="A458">
        <v>2024</v>
      </c>
      <c r="B458">
        <v>12</v>
      </c>
      <c r="C458" t="s">
        <v>1150</v>
      </c>
      <c r="D458" t="s">
        <v>1151</v>
      </c>
      <c r="E458" s="143">
        <v>5693</v>
      </c>
      <c r="F458" s="143">
        <v>2726.7797359074148</v>
      </c>
      <c r="G458" s="143">
        <v>1634.1043114729025</v>
      </c>
      <c r="H458" s="143">
        <v>1270.1069583467875</v>
      </c>
      <c r="I458" s="143">
        <v>62.008994272895279</v>
      </c>
      <c r="J458" s="143" t="str">
        <f>_xlfn.XLOOKUP(Table1[[#This Row],[Mã xuất]],$M$3:$M$72,$O$3:$O$72)</f>
        <v>TSX</v>
      </c>
    </row>
  </sheetData>
  <autoFilter ref="M2:O72" xr:uid="{A54EE11E-1A68-48A0-B07A-C8C967E2395E}"/>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F83D-7E03-42E0-A5A8-E480D52BD30E}">
  <sheetPr codeName="Sheet37"/>
  <dimension ref="A3:E16"/>
  <sheetViews>
    <sheetView showGridLines="0" zoomScale="205" zoomScaleNormal="205" workbookViewId="0">
      <selection activeCell="C20" sqref="C20"/>
    </sheetView>
  </sheetViews>
  <sheetFormatPr defaultRowHeight="14.5"/>
  <cols>
    <col min="1" max="1" width="17" customWidth="1"/>
    <col min="2" max="3" width="14.54296875" customWidth="1"/>
  </cols>
  <sheetData>
    <row r="3" spans="1:5">
      <c r="A3" s="982"/>
      <c r="B3" s="983" t="s">
        <v>96</v>
      </c>
      <c r="C3" s="983" t="s">
        <v>97</v>
      </c>
    </row>
    <row r="4" spans="1:5">
      <c r="A4" t="s">
        <v>744</v>
      </c>
      <c r="B4" s="143">
        <v>1000</v>
      </c>
      <c r="C4" s="143">
        <v>1000</v>
      </c>
    </row>
    <row r="5" spans="1:5">
      <c r="A5" t="s">
        <v>456</v>
      </c>
      <c r="B5" s="143">
        <v>17236.250025936421</v>
      </c>
      <c r="C5" s="143">
        <v>17780.252673939664</v>
      </c>
      <c r="D5" s="144">
        <f>C5-B5</f>
        <v>544.00264800324294</v>
      </c>
    </row>
    <row r="6" spans="1:5" s="279" customFormat="1">
      <c r="A6" s="279" t="s">
        <v>700</v>
      </c>
      <c r="B6" s="145">
        <f>B4*B5</f>
        <v>17236250.025936421</v>
      </c>
      <c r="C6" s="145">
        <f>C4*C5</f>
        <v>17780252.673939664</v>
      </c>
    </row>
    <row r="8" spans="1:5">
      <c r="A8" t="s">
        <v>416</v>
      </c>
      <c r="B8" s="984">
        <v>0.25306659273892501</v>
      </c>
      <c r="C8" s="984">
        <v>0.28200686843828471</v>
      </c>
      <c r="E8">
        <v>0.23356935820844274</v>
      </c>
    </row>
    <row r="10" spans="1:5">
      <c r="A10" s="279" t="s">
        <v>745</v>
      </c>
      <c r="B10" s="298">
        <f>B4*(1-B8)</f>
        <v>746.93340726107499</v>
      </c>
      <c r="C10" s="298">
        <f>C4*(1-C8)</f>
        <v>717.99313156171524</v>
      </c>
    </row>
    <row r="11" spans="1:5">
      <c r="A11" t="s">
        <v>746</v>
      </c>
      <c r="B11" s="143">
        <f>B6/B10</f>
        <v>23076.019707218489</v>
      </c>
      <c r="C11" s="143">
        <f>C6/C10</f>
        <v>24763.820003773057</v>
      </c>
      <c r="D11" s="144">
        <f>C11-B11</f>
        <v>1687.8002965545675</v>
      </c>
    </row>
    <row r="13" spans="1:5">
      <c r="A13" s="294" t="s">
        <v>748</v>
      </c>
      <c r="B13" s="985">
        <f>D5*1/(1-B8)</f>
        <v>728.31479046846039</v>
      </c>
    </row>
    <row r="14" spans="1:5">
      <c r="A14" s="294" t="s">
        <v>747</v>
      </c>
      <c r="B14" s="986">
        <f>(1/(1-C8)-1/(1-B8))*C5</f>
        <v>959.4855060861031</v>
      </c>
    </row>
    <row r="15" spans="1:5">
      <c r="A15" s="987" t="s">
        <v>338</v>
      </c>
      <c r="B15" s="988">
        <f>SUM(B13:B14)</f>
        <v>1687.8002965545634</v>
      </c>
    </row>
    <row r="16" spans="1:5">
      <c r="B16" s="144">
        <f>B15-D11</f>
        <v>-4.0927261579781771E-12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31ED-FF6B-4AA7-84F2-2906AF8D6F55}">
  <sheetPr codeName="Sheet32">
    <tabColor theme="9" tint="0.79998168889431442"/>
  </sheetPr>
  <dimension ref="B2:E15"/>
  <sheetViews>
    <sheetView zoomScale="145" zoomScaleNormal="145" workbookViewId="0">
      <selection activeCell="E3" sqref="E3:E6"/>
    </sheetView>
  </sheetViews>
  <sheetFormatPr defaultRowHeight="14.5"/>
  <cols>
    <col min="1" max="1" width="1.453125" customWidth="1"/>
    <col min="2" max="2" width="24.54296875" customWidth="1"/>
    <col min="3" max="3" width="29.90625" customWidth="1"/>
    <col min="4" max="4" width="6.90625" customWidth="1"/>
    <col min="5" max="5" width="161.54296875" customWidth="1"/>
  </cols>
  <sheetData>
    <row r="2" spans="2:5">
      <c r="B2" t="s">
        <v>794</v>
      </c>
    </row>
    <row r="3" spans="2:5">
      <c r="B3" t="s">
        <v>453</v>
      </c>
      <c r="C3" t="s">
        <v>164</v>
      </c>
      <c r="D3" s="291">
        <v>1.0787518262252311</v>
      </c>
      <c r="E3" t="s">
        <v>1231</v>
      </c>
    </row>
    <row r="4" spans="2:5">
      <c r="B4" t="s">
        <v>441</v>
      </c>
      <c r="C4" t="s">
        <v>164</v>
      </c>
      <c r="D4" s="291">
        <v>0.32425989440241126</v>
      </c>
      <c r="E4" t="s">
        <v>1060</v>
      </c>
    </row>
    <row r="5" spans="2:5">
      <c r="B5" t="s">
        <v>429</v>
      </c>
      <c r="C5" t="s">
        <v>175</v>
      </c>
      <c r="D5" s="291">
        <v>0.15518502865089273</v>
      </c>
      <c r="E5" t="s">
        <v>1237</v>
      </c>
    </row>
    <row r="6" spans="2:5">
      <c r="B6" t="s">
        <v>432</v>
      </c>
      <c r="C6" t="s">
        <v>175</v>
      </c>
      <c r="D6" s="291">
        <v>5.5383721160002106E-2</v>
      </c>
      <c r="E6" t="s">
        <v>1238</v>
      </c>
    </row>
    <row r="7" spans="2:5">
      <c r="B7" t="s">
        <v>430</v>
      </c>
      <c r="C7" t="s">
        <v>478</v>
      </c>
      <c r="D7" s="291">
        <v>-1.3921202578596165E-2</v>
      </c>
      <c r="E7" t="s">
        <v>1240</v>
      </c>
    </row>
    <row r="8" spans="2:5">
      <c r="B8" t="s">
        <v>447</v>
      </c>
      <c r="C8" t="s">
        <v>164</v>
      </c>
      <c r="D8" s="291">
        <v>-4.0605084799142835E-2</v>
      </c>
    </row>
    <row r="9" spans="2:5">
      <c r="B9" t="s">
        <v>442</v>
      </c>
      <c r="C9" t="s">
        <v>164</v>
      </c>
      <c r="D9" s="291">
        <v>-5.8821111524091349E-2</v>
      </c>
      <c r="E9" t="s">
        <v>1239</v>
      </c>
    </row>
    <row r="10" spans="2:5">
      <c r="B10" t="s">
        <v>446</v>
      </c>
      <c r="C10" t="s">
        <v>164</v>
      </c>
      <c r="D10" s="291">
        <v>-5.9525282722583527E-2</v>
      </c>
      <c r="E10" t="s">
        <v>1073</v>
      </c>
    </row>
    <row r="11" spans="2:5">
      <c r="B11" t="s">
        <v>445</v>
      </c>
      <c r="C11" t="s">
        <v>164</v>
      </c>
      <c r="D11" s="291">
        <v>-0.11189104050786507</v>
      </c>
      <c r="E11" t="s">
        <v>1072</v>
      </c>
    </row>
    <row r="12" spans="2:5">
      <c r="B12" t="s">
        <v>428</v>
      </c>
      <c r="C12" t="s">
        <v>169</v>
      </c>
      <c r="D12" s="291">
        <v>-0.12770813202061992</v>
      </c>
      <c r="E12" t="s">
        <v>1061</v>
      </c>
    </row>
    <row r="13" spans="2:5">
      <c r="B13" t="s">
        <v>444</v>
      </c>
      <c r="C13" t="s">
        <v>164</v>
      </c>
      <c r="D13" s="291">
        <v>-0.21424160314733678</v>
      </c>
      <c r="E13" t="s">
        <v>1063</v>
      </c>
    </row>
    <row r="14" spans="2:5">
      <c r="B14" t="s">
        <v>443</v>
      </c>
      <c r="C14" t="s">
        <v>164</v>
      </c>
      <c r="D14" s="291">
        <v>-0.56859526178970288</v>
      </c>
      <c r="E14" s="1233" t="s">
        <v>1062</v>
      </c>
    </row>
    <row r="15" spans="2:5">
      <c r="B15" t="s">
        <v>923</v>
      </c>
      <c r="C15" t="s">
        <v>361</v>
      </c>
      <c r="D15" s="291">
        <v>-1.2607401064735271</v>
      </c>
      <c r="E15" t="s">
        <v>1232</v>
      </c>
    </row>
  </sheetData>
  <autoFilter ref="B2:E15" xr:uid="{D64D31ED-FF6B-4AA7-84F2-2906AF8D6F55}">
    <sortState xmlns:xlrd2="http://schemas.microsoft.com/office/spreadsheetml/2017/richdata2" ref="B3:E15">
      <sortCondition descending="1" ref="D2:D15"/>
    </sortState>
  </autoFilter>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EDD89-CF59-4563-8F6B-B28752C87B95}">
  <sheetPr codeName="Sheet38">
    <tabColor rgb="FFC00000"/>
  </sheetPr>
  <dimension ref="A1"/>
  <sheetViews>
    <sheetView topLeftCell="A10" workbookViewId="0">
      <selection activeCell="M54" sqref="M54"/>
    </sheetView>
  </sheetViews>
  <sheetFormatPr defaultRowHeight="14.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3599-471E-4930-ADF0-9CE86FDD66C8}">
  <sheetPr>
    <tabColor rgb="FF00B050"/>
  </sheetPr>
  <dimension ref="A1:CN91"/>
  <sheetViews>
    <sheetView showGridLines="0" zoomScaleNormal="100" workbookViewId="0">
      <pane xSplit="4" ySplit="8" topLeftCell="BD59" activePane="bottomRight" state="frozen"/>
      <selection activeCell="BE19" sqref="BE19"/>
      <selection pane="topRight" activeCell="BE19" sqref="BE19"/>
      <selection pane="bottomLeft" activeCell="BE19" sqref="BE19"/>
      <selection pane="bottomRight" activeCell="BR67" sqref="BR67"/>
    </sheetView>
  </sheetViews>
  <sheetFormatPr defaultColWidth="8.54296875" defaultRowHeight="16" outlineLevelRow="1" outlineLevelCol="1"/>
  <cols>
    <col min="1" max="2" width="4.453125" style="454" customWidth="1"/>
    <col min="3" max="3" width="10.453125" style="454" hidden="1" customWidth="1"/>
    <col min="4" max="4" width="54.54296875" style="454" customWidth="1"/>
    <col min="5" max="16" width="11.54296875" style="454" hidden="1" customWidth="1" outlineLevel="1"/>
    <col min="17" max="17" width="11.54296875" style="454" customWidth="1" collapsed="1"/>
    <col min="18" max="29" width="11.54296875" style="454" hidden="1" customWidth="1" outlineLevel="1"/>
    <col min="30" max="30" width="11.54296875" style="454" customWidth="1" collapsed="1"/>
    <col min="31" max="39" width="11.6328125" style="454" hidden="1" customWidth="1" outlineLevel="1"/>
    <col min="40" max="40" width="11" style="454" hidden="1" customWidth="1" outlineLevel="1"/>
    <col min="41" max="41" width="10.453125" style="454" hidden="1" customWidth="1" outlineLevel="1"/>
    <col min="42" max="42" width="13.36328125" style="454" hidden="1" customWidth="1" outlineLevel="1"/>
    <col min="43" max="43" width="13.6328125" style="454" bestFit="1" customWidth="1" collapsed="1"/>
    <col min="44" max="44" width="14.36328125" style="454" hidden="1" customWidth="1"/>
    <col min="45" max="56" width="11.54296875" style="454" customWidth="1" outlineLevel="1"/>
    <col min="57" max="57" width="11.54296875" style="454" bestFit="1" customWidth="1"/>
    <col min="58" max="58" width="11.6328125" style="454" bestFit="1" customWidth="1"/>
    <col min="59" max="59" width="11.6328125" style="454" customWidth="1"/>
    <col min="60" max="66" width="11.6328125" style="454" customWidth="1" outlineLevel="1"/>
    <col min="67" max="67" width="11" style="454" customWidth="1" outlineLevel="1"/>
    <col min="68" max="68" width="10.453125" style="454" customWidth="1" outlineLevel="1"/>
    <col min="69" max="69" width="13.36328125" style="454" customWidth="1" outlineLevel="1"/>
    <col min="70" max="70" width="11.36328125" style="454" customWidth="1"/>
    <col min="71" max="71" width="14.36328125" style="454" customWidth="1"/>
    <col min="72" max="72" width="10.54296875" style="454" customWidth="1"/>
    <col min="73" max="73" width="11.54296875" style="454" customWidth="1"/>
    <col min="74" max="76" width="10.54296875" style="456" customWidth="1"/>
    <col min="77" max="77" width="11" style="454" customWidth="1"/>
    <col min="78" max="78" width="11.453125" style="454" customWidth="1"/>
    <col min="79" max="79" width="13.54296875" style="454" customWidth="1"/>
    <col min="80" max="80" width="15.36328125" style="454" customWidth="1"/>
    <col min="81" max="81" width="19.54296875" style="454" customWidth="1"/>
    <col min="82" max="82" width="25.36328125" style="454" customWidth="1"/>
    <col min="83" max="89" width="7.54296875" style="454" customWidth="1"/>
    <col min="90" max="90" width="2.54296875" style="454" customWidth="1"/>
    <col min="91" max="91" width="11.453125" style="454" customWidth="1"/>
    <col min="92" max="92" width="26.54296875" style="454" customWidth="1"/>
    <col min="93" max="16384" width="8.54296875" style="454"/>
  </cols>
  <sheetData>
    <row r="1" spans="1:92" outlineLevel="1">
      <c r="E1" s="455"/>
      <c r="F1" s="455"/>
      <c r="G1" s="455"/>
      <c r="H1" s="455"/>
      <c r="R1" s="1162">
        <f>R22-R34</f>
        <v>4414.0456516666673</v>
      </c>
      <c r="S1" s="1162">
        <f t="shared" ref="S1:AC1" si="0">S22-S34</f>
        <v>4414.0456516666673</v>
      </c>
      <c r="T1" s="1162">
        <f t="shared" si="0"/>
        <v>7664.0456316666678</v>
      </c>
      <c r="U1" s="1162">
        <f t="shared" si="0"/>
        <v>6100.2274696666673</v>
      </c>
      <c r="V1" s="1163">
        <f t="shared" si="0"/>
        <v>6026.2274696666673</v>
      </c>
      <c r="W1" s="1163">
        <f t="shared" si="0"/>
        <v>6026.2274696666673</v>
      </c>
      <c r="X1" s="1163">
        <f t="shared" si="0"/>
        <v>6026.2274696666673</v>
      </c>
      <c r="Y1" s="1163">
        <f t="shared" si="0"/>
        <v>6026.2274696666673</v>
      </c>
      <c r="Z1" s="1163">
        <f t="shared" si="0"/>
        <v>6026.2274696666673</v>
      </c>
      <c r="AA1" s="1163">
        <f t="shared" si="0"/>
        <v>5426.2274696666673</v>
      </c>
      <c r="AB1" s="1163">
        <f t="shared" si="0"/>
        <v>5276.2274696666673</v>
      </c>
      <c r="AC1" s="1163">
        <f t="shared" si="0"/>
        <v>1449.1666666666697</v>
      </c>
    </row>
    <row r="2" spans="1:92" ht="21" outlineLevel="1">
      <c r="D2" s="457" t="s">
        <v>503</v>
      </c>
      <c r="E2" s="458"/>
      <c r="F2" s="458"/>
      <c r="G2" s="458"/>
      <c r="H2" s="458"/>
      <c r="S2" s="458"/>
      <c r="T2" s="458"/>
      <c r="U2" s="458"/>
      <c r="AF2" s="459"/>
      <c r="AH2" s="459"/>
      <c r="AR2" s="459"/>
      <c r="AS2" s="455"/>
      <c r="AT2" s="455"/>
      <c r="AU2" s="455"/>
      <c r="AV2" s="455"/>
      <c r="AW2" s="455"/>
      <c r="AX2" s="455"/>
      <c r="AY2" s="455"/>
      <c r="AZ2" s="455"/>
      <c r="BA2" s="455"/>
      <c r="BB2" s="455"/>
      <c r="BC2" s="455"/>
      <c r="BD2" s="455"/>
      <c r="BE2" s="455"/>
      <c r="BG2" s="459"/>
      <c r="BI2" s="459"/>
      <c r="BT2" s="1101"/>
      <c r="BU2" s="459"/>
    </row>
    <row r="3" spans="1:92" ht="21" outlineLevel="1">
      <c r="D3" s="458" t="s">
        <v>504</v>
      </c>
      <c r="AR3" s="459"/>
      <c r="BS3" s="459"/>
      <c r="BU3" s="459"/>
      <c r="CC3" s="459"/>
    </row>
    <row r="4" spans="1:92" ht="21" outlineLevel="1">
      <c r="D4" s="1013">
        <v>5</v>
      </c>
      <c r="F4" s="1529"/>
      <c r="G4" s="1529"/>
      <c r="H4" s="1529"/>
      <c r="I4" s="1529"/>
      <c r="J4" s="1529"/>
      <c r="K4" s="461"/>
      <c r="S4" s="1529"/>
      <c r="T4" s="1529"/>
      <c r="U4" s="1529"/>
      <c r="V4" s="1529"/>
      <c r="W4" s="1529"/>
      <c r="X4" s="461"/>
      <c r="AP4" s="454">
        <f>COUNTIFS($AE$10:$AP$10,"&lt;&gt;"&amp;0)</f>
        <v>12</v>
      </c>
      <c r="AS4" s="459"/>
      <c r="AT4" s="459"/>
      <c r="AU4" s="459"/>
      <c r="AV4" s="459"/>
      <c r="AW4" s="459"/>
      <c r="AX4" s="459"/>
      <c r="AY4" s="459"/>
      <c r="AZ4" s="459"/>
      <c r="BA4" s="459"/>
      <c r="BB4" s="459"/>
      <c r="BC4" s="459"/>
      <c r="BD4" s="459"/>
      <c r="BE4" s="459"/>
      <c r="BV4" s="462"/>
      <c r="BW4" s="462"/>
      <c r="BX4" s="462"/>
    </row>
    <row r="5" spans="1:92" s="798" customFormat="1" outlineLevel="1">
      <c r="D5" s="1507"/>
      <c r="E5" s="798">
        <v>2024</v>
      </c>
      <c r="F5" s="798">
        <v>2024</v>
      </c>
      <c r="G5" s="798">
        <v>2024</v>
      </c>
      <c r="H5" s="798">
        <v>2024</v>
      </c>
      <c r="I5" s="798">
        <v>2024</v>
      </c>
      <c r="J5" s="798">
        <v>2024</v>
      </c>
      <c r="K5" s="798">
        <v>2024</v>
      </c>
      <c r="L5" s="798">
        <v>2024</v>
      </c>
      <c r="M5" s="798">
        <v>2024</v>
      </c>
      <c r="N5" s="798">
        <v>2024</v>
      </c>
      <c r="O5" s="798">
        <v>2024</v>
      </c>
      <c r="P5" s="798">
        <v>2024</v>
      </c>
      <c r="R5" s="798">
        <v>2024</v>
      </c>
      <c r="S5" s="798">
        <v>2024</v>
      </c>
      <c r="T5" s="798">
        <v>2024</v>
      </c>
      <c r="U5" s="798">
        <v>2024</v>
      </c>
      <c r="V5" s="798">
        <v>2024</v>
      </c>
      <c r="W5" s="798">
        <v>2024</v>
      </c>
      <c r="X5" s="798">
        <v>2024</v>
      </c>
      <c r="Y5" s="798">
        <v>2024</v>
      </c>
      <c r="Z5" s="798">
        <v>2024</v>
      </c>
      <c r="AA5" s="798">
        <v>2024</v>
      </c>
      <c r="AB5" s="798">
        <v>2024</v>
      </c>
      <c r="AC5" s="798">
        <v>2024</v>
      </c>
      <c r="AD5" s="798">
        <v>2024</v>
      </c>
      <c r="AE5" s="798">
        <v>2025</v>
      </c>
      <c r="AF5" s="798">
        <v>2025</v>
      </c>
      <c r="AG5" s="798">
        <v>2025</v>
      </c>
      <c r="AH5" s="798">
        <v>2025</v>
      </c>
      <c r="AI5" s="798">
        <v>2025</v>
      </c>
      <c r="AJ5" s="798">
        <v>2025</v>
      </c>
      <c r="AK5" s="798">
        <v>2025</v>
      </c>
      <c r="AL5" s="798">
        <v>2025</v>
      </c>
      <c r="AM5" s="798">
        <v>2025</v>
      </c>
      <c r="AN5" s="798">
        <v>2025</v>
      </c>
      <c r="AO5" s="798">
        <v>2025</v>
      </c>
      <c r="AP5" s="798">
        <v>2025</v>
      </c>
      <c r="AQ5" s="798">
        <v>2025</v>
      </c>
      <c r="AS5" s="798">
        <v>2026</v>
      </c>
      <c r="AT5" s="798">
        <v>2026</v>
      </c>
      <c r="AU5" s="798">
        <v>2026</v>
      </c>
      <c r="AV5" s="798">
        <v>2026</v>
      </c>
      <c r="AW5" s="798">
        <v>2026</v>
      </c>
      <c r="AX5" s="798">
        <v>2026</v>
      </c>
      <c r="AY5" s="798">
        <v>2026</v>
      </c>
      <c r="AZ5" s="798">
        <v>2026</v>
      </c>
      <c r="BA5" s="798">
        <v>2026</v>
      </c>
      <c r="BB5" s="798">
        <v>2026</v>
      </c>
      <c r="BC5" s="798">
        <v>2026</v>
      </c>
      <c r="BD5" s="798">
        <v>2026</v>
      </c>
      <c r="BE5" s="798">
        <v>2026</v>
      </c>
      <c r="BF5" s="798">
        <v>2026</v>
      </c>
      <c r="BG5" s="798">
        <v>2026</v>
      </c>
      <c r="BH5" s="798">
        <v>2026</v>
      </c>
      <c r="BI5" s="798">
        <v>2026</v>
      </c>
      <c r="BJ5" s="798">
        <v>2026</v>
      </c>
      <c r="BK5" s="798">
        <v>2026</v>
      </c>
      <c r="BL5" s="798">
        <v>2026</v>
      </c>
      <c r="BM5" s="798">
        <v>2026</v>
      </c>
      <c r="BN5" s="798">
        <v>2026</v>
      </c>
      <c r="BO5" s="798">
        <v>2026</v>
      </c>
      <c r="BP5" s="798">
        <v>2026</v>
      </c>
      <c r="BQ5" s="798">
        <v>2026</v>
      </c>
      <c r="BR5" s="798">
        <v>2026</v>
      </c>
      <c r="BU5" s="799"/>
      <c r="BV5" s="800"/>
      <c r="BW5" s="800"/>
      <c r="BX5" s="800"/>
    </row>
    <row r="6" spans="1:92" s="798" customFormat="1" outlineLevel="1">
      <c r="D6" s="1507"/>
      <c r="E6" s="798" t="s">
        <v>734</v>
      </c>
      <c r="F6" s="798" t="s">
        <v>734</v>
      </c>
      <c r="G6" s="798" t="s">
        <v>734</v>
      </c>
      <c r="H6" s="798" t="s">
        <v>734</v>
      </c>
      <c r="I6" s="798" t="s">
        <v>734</v>
      </c>
      <c r="J6" s="798" t="s">
        <v>734</v>
      </c>
      <c r="K6" s="798" t="s">
        <v>734</v>
      </c>
      <c r="L6" s="798" t="s">
        <v>734</v>
      </c>
      <c r="M6" s="798" t="s">
        <v>734</v>
      </c>
      <c r="N6" s="798" t="s">
        <v>734</v>
      </c>
      <c r="O6" s="798" t="s">
        <v>734</v>
      </c>
      <c r="P6" s="798" t="s">
        <v>734</v>
      </c>
      <c r="R6" s="798" t="s">
        <v>734</v>
      </c>
      <c r="S6" s="798" t="s">
        <v>734</v>
      </c>
      <c r="T6" s="798" t="s">
        <v>734</v>
      </c>
      <c r="U6" s="798" t="s">
        <v>734</v>
      </c>
      <c r="V6" s="798" t="s">
        <v>734</v>
      </c>
      <c r="W6" s="798" t="s">
        <v>734</v>
      </c>
      <c r="X6" s="798" t="s">
        <v>734</v>
      </c>
      <c r="Y6" s="798" t="s">
        <v>734</v>
      </c>
      <c r="Z6" s="798" t="s">
        <v>734</v>
      </c>
      <c r="AA6" s="798" t="s">
        <v>734</v>
      </c>
      <c r="AB6" s="798" t="s">
        <v>734</v>
      </c>
      <c r="AC6" s="798" t="s">
        <v>734</v>
      </c>
      <c r="AF6" s="798" t="s">
        <v>734</v>
      </c>
      <c r="AG6" s="798" t="s">
        <v>734</v>
      </c>
      <c r="AH6" s="798" t="s">
        <v>734</v>
      </c>
      <c r="AI6" s="798" t="s">
        <v>734</v>
      </c>
      <c r="AJ6" s="798" t="s">
        <v>734</v>
      </c>
      <c r="AK6" s="798" t="s">
        <v>734</v>
      </c>
      <c r="AL6" s="798" t="s">
        <v>734</v>
      </c>
      <c r="AM6" s="798" t="s">
        <v>734</v>
      </c>
      <c r="AN6" s="798" t="s">
        <v>734</v>
      </c>
      <c r="AO6" s="798" t="s">
        <v>734</v>
      </c>
      <c r="AP6" s="798" t="s">
        <v>734</v>
      </c>
      <c r="AQ6" s="798" t="s">
        <v>734</v>
      </c>
      <c r="AS6" s="798" t="s">
        <v>735</v>
      </c>
      <c r="AT6" s="798" t="s">
        <v>735</v>
      </c>
      <c r="AU6" s="798" t="s">
        <v>735</v>
      </c>
      <c r="AV6" s="798" t="s">
        <v>735</v>
      </c>
      <c r="AW6" s="798" t="s">
        <v>735</v>
      </c>
      <c r="AX6" s="798" t="s">
        <v>735</v>
      </c>
      <c r="AY6" s="798" t="s">
        <v>735</v>
      </c>
      <c r="AZ6" s="798" t="s">
        <v>735</v>
      </c>
      <c r="BA6" s="798" t="s">
        <v>735</v>
      </c>
      <c r="BB6" s="798" t="s">
        <v>735</v>
      </c>
      <c r="BC6" s="798" t="s">
        <v>735</v>
      </c>
      <c r="BD6" s="798" t="s">
        <v>735</v>
      </c>
      <c r="BE6" s="798" t="s">
        <v>735</v>
      </c>
      <c r="BG6" s="798" t="s">
        <v>734</v>
      </c>
      <c r="BH6" s="798" t="s">
        <v>734</v>
      </c>
      <c r="BI6" s="798" t="s">
        <v>734</v>
      </c>
      <c r="BJ6" s="798" t="s">
        <v>734</v>
      </c>
      <c r="BK6" s="798" t="s">
        <v>734</v>
      </c>
      <c r="BL6" s="798" t="s">
        <v>734</v>
      </c>
      <c r="BM6" s="798" t="s">
        <v>734</v>
      </c>
      <c r="BN6" s="798" t="s">
        <v>734</v>
      </c>
      <c r="BO6" s="798" t="s">
        <v>734</v>
      </c>
      <c r="BP6" s="798" t="s">
        <v>734</v>
      </c>
      <c r="BQ6" s="798" t="s">
        <v>734</v>
      </c>
      <c r="BR6" s="798" t="s">
        <v>734</v>
      </c>
      <c r="BV6" s="800"/>
      <c r="BW6" s="800"/>
      <c r="BX6" s="800"/>
    </row>
    <row r="7" spans="1:92" s="801" customFormat="1" ht="16.5" outlineLevel="1" thickBot="1">
      <c r="D7" s="1507"/>
      <c r="E7" s="802">
        <v>1</v>
      </c>
      <c r="F7" s="802">
        <v>2</v>
      </c>
      <c r="G7" s="802">
        <v>3</v>
      </c>
      <c r="H7" s="802">
        <v>4</v>
      </c>
      <c r="I7" s="802">
        <v>5</v>
      </c>
      <c r="J7" s="802">
        <v>6</v>
      </c>
      <c r="K7" s="802">
        <v>7</v>
      </c>
      <c r="L7" s="802">
        <v>8</v>
      </c>
      <c r="M7" s="802">
        <v>9</v>
      </c>
      <c r="N7" s="802">
        <v>10</v>
      </c>
      <c r="O7" s="802">
        <v>11</v>
      </c>
      <c r="P7" s="802">
        <v>12</v>
      </c>
      <c r="Q7" s="803"/>
      <c r="R7" s="802">
        <v>1</v>
      </c>
      <c r="S7" s="802">
        <v>2</v>
      </c>
      <c r="T7" s="802">
        <v>3</v>
      </c>
      <c r="U7" s="802">
        <v>4</v>
      </c>
      <c r="V7" s="802">
        <v>5</v>
      </c>
      <c r="W7" s="802">
        <v>6</v>
      </c>
      <c r="X7" s="802">
        <v>7</v>
      </c>
      <c r="Y7" s="802">
        <v>8</v>
      </c>
      <c r="Z7" s="802">
        <v>9</v>
      </c>
      <c r="AA7" s="802">
        <v>10</v>
      </c>
      <c r="AB7" s="802">
        <v>11</v>
      </c>
      <c r="AC7" s="802">
        <v>12</v>
      </c>
      <c r="AD7" s="803"/>
      <c r="AE7" s="803">
        <v>1</v>
      </c>
      <c r="AF7" s="803">
        <v>2</v>
      </c>
      <c r="AG7" s="803">
        <v>3</v>
      </c>
      <c r="AH7" s="803">
        <v>4</v>
      </c>
      <c r="AI7" s="803">
        <v>5</v>
      </c>
      <c r="AJ7" s="803">
        <v>6</v>
      </c>
      <c r="AK7" s="803">
        <v>7</v>
      </c>
      <c r="AL7" s="803">
        <v>8</v>
      </c>
      <c r="AM7" s="803">
        <v>9</v>
      </c>
      <c r="AN7" s="803">
        <v>10</v>
      </c>
      <c r="AO7" s="803">
        <v>11</v>
      </c>
      <c r="AP7" s="803">
        <v>12</v>
      </c>
      <c r="AQ7" s="803"/>
      <c r="AS7" s="801">
        <v>1</v>
      </c>
      <c r="AT7" s="801">
        <v>2</v>
      </c>
      <c r="AU7" s="801">
        <v>3</v>
      </c>
      <c r="AV7" s="801">
        <v>4</v>
      </c>
      <c r="AW7" s="801">
        <v>5</v>
      </c>
      <c r="AX7" s="801">
        <v>6</v>
      </c>
      <c r="AY7" s="801">
        <v>7</v>
      </c>
      <c r="AZ7" s="801">
        <v>8</v>
      </c>
      <c r="BA7" s="801">
        <v>9</v>
      </c>
      <c r="BB7" s="801">
        <v>10</v>
      </c>
      <c r="BC7" s="801">
        <v>11</v>
      </c>
      <c r="BD7" s="801">
        <v>12</v>
      </c>
      <c r="BF7" s="803">
        <v>1</v>
      </c>
      <c r="BG7" s="803">
        <v>2</v>
      </c>
      <c r="BH7" s="803">
        <v>3</v>
      </c>
      <c r="BI7" s="803">
        <v>4</v>
      </c>
      <c r="BJ7" s="803">
        <v>5</v>
      </c>
      <c r="BK7" s="803">
        <v>6</v>
      </c>
      <c r="BL7" s="803">
        <v>7</v>
      </c>
      <c r="BM7" s="803">
        <v>8</v>
      </c>
      <c r="BN7" s="803">
        <v>9</v>
      </c>
      <c r="BO7" s="803">
        <v>10</v>
      </c>
      <c r="BP7" s="803">
        <v>11</v>
      </c>
      <c r="BQ7" s="803">
        <v>12</v>
      </c>
      <c r="BR7" s="803"/>
      <c r="BV7" s="1102"/>
      <c r="BW7" s="800"/>
      <c r="BX7" s="800"/>
    </row>
    <row r="8" spans="1:92" s="468" customFormat="1" ht="48.5" thickTop="1">
      <c r="A8" s="463">
        <v>1</v>
      </c>
      <c r="B8" s="464" t="s">
        <v>0</v>
      </c>
      <c r="C8" s="464" t="s">
        <v>505</v>
      </c>
      <c r="D8" s="465" t="s">
        <v>570</v>
      </c>
      <c r="E8" s="1467" t="s">
        <v>761</v>
      </c>
      <c r="F8" s="1467" t="s">
        <v>762</v>
      </c>
      <c r="G8" s="1467" t="s">
        <v>763</v>
      </c>
      <c r="H8" s="1467" t="s">
        <v>764</v>
      </c>
      <c r="I8" s="1467" t="s">
        <v>765</v>
      </c>
      <c r="J8" s="1467" t="s">
        <v>766</v>
      </c>
      <c r="K8" s="1467" t="s">
        <v>767</v>
      </c>
      <c r="L8" s="1467" t="s">
        <v>768</v>
      </c>
      <c r="M8" s="1467" t="s">
        <v>769</v>
      </c>
      <c r="N8" s="1467" t="s">
        <v>559</v>
      </c>
      <c r="O8" s="1467" t="s">
        <v>560</v>
      </c>
      <c r="P8" s="1468" t="s">
        <v>561</v>
      </c>
      <c r="Q8" s="1469" t="s">
        <v>770</v>
      </c>
      <c r="R8" s="1470" t="s">
        <v>506</v>
      </c>
      <c r="S8" s="1470" t="s">
        <v>507</v>
      </c>
      <c r="T8" s="1470" t="s">
        <v>508</v>
      </c>
      <c r="U8" s="1470" t="s">
        <v>509</v>
      </c>
      <c r="V8" s="1470" t="s">
        <v>510</v>
      </c>
      <c r="W8" s="1470" t="s">
        <v>511</v>
      </c>
      <c r="X8" s="1470" t="s">
        <v>512</v>
      </c>
      <c r="Y8" s="1470" t="s">
        <v>513</v>
      </c>
      <c r="Z8" s="1470" t="s">
        <v>514</v>
      </c>
      <c r="AA8" s="1470" t="s">
        <v>515</v>
      </c>
      <c r="AB8" s="1470" t="s">
        <v>516</v>
      </c>
      <c r="AC8" s="1471" t="s">
        <v>517</v>
      </c>
      <c r="AD8" s="1472" t="s">
        <v>518</v>
      </c>
      <c r="AE8" s="1473" t="s">
        <v>721</v>
      </c>
      <c r="AF8" s="951" t="s">
        <v>722</v>
      </c>
      <c r="AG8" s="951" t="s">
        <v>723</v>
      </c>
      <c r="AH8" s="951" t="s">
        <v>724</v>
      </c>
      <c r="AI8" s="951" t="s">
        <v>725</v>
      </c>
      <c r="AJ8" s="951" t="s">
        <v>726</v>
      </c>
      <c r="AK8" s="951" t="s">
        <v>727</v>
      </c>
      <c r="AL8" s="951" t="s">
        <v>728</v>
      </c>
      <c r="AM8" s="951" t="s">
        <v>729</v>
      </c>
      <c r="AN8" s="951" t="s">
        <v>730</v>
      </c>
      <c r="AO8" s="951" t="s">
        <v>731</v>
      </c>
      <c r="AP8" s="1230" t="s">
        <v>732</v>
      </c>
      <c r="AQ8" s="804" t="s">
        <v>736</v>
      </c>
      <c r="AR8" s="1473" t="s">
        <v>697</v>
      </c>
      <c r="AS8" s="805" t="s">
        <v>995</v>
      </c>
      <c r="AT8" s="806" t="s">
        <v>996</v>
      </c>
      <c r="AU8" s="806" t="s">
        <v>997</v>
      </c>
      <c r="AV8" s="806" t="s">
        <v>998</v>
      </c>
      <c r="AW8" s="806" t="s">
        <v>999</v>
      </c>
      <c r="AX8" s="806" t="s">
        <v>1000</v>
      </c>
      <c r="AY8" s="806" t="s">
        <v>1001</v>
      </c>
      <c r="AZ8" s="806" t="s">
        <v>1002</v>
      </c>
      <c r="BA8" s="806" t="s">
        <v>1003</v>
      </c>
      <c r="BB8" s="806" t="s">
        <v>1004</v>
      </c>
      <c r="BC8" s="806" t="s">
        <v>1005</v>
      </c>
      <c r="BD8" s="807" t="s">
        <v>1006</v>
      </c>
      <c r="BE8" s="808" t="s">
        <v>1007</v>
      </c>
      <c r="BF8" s="809" t="s">
        <v>1008</v>
      </c>
      <c r="BG8" s="466" t="s">
        <v>1009</v>
      </c>
      <c r="BH8" s="466" t="s">
        <v>1010</v>
      </c>
      <c r="BI8" s="466" t="s">
        <v>1011</v>
      </c>
      <c r="BJ8" s="466" t="s">
        <v>1012</v>
      </c>
      <c r="BK8" s="466" t="s">
        <v>1013</v>
      </c>
      <c r="BL8" s="466" t="s">
        <v>1014</v>
      </c>
      <c r="BM8" s="466" t="s">
        <v>1015</v>
      </c>
      <c r="BN8" s="466" t="s">
        <v>1016</v>
      </c>
      <c r="BO8" s="466" t="s">
        <v>1017</v>
      </c>
      <c r="BP8" s="466" t="s">
        <v>1018</v>
      </c>
      <c r="BQ8" s="810" t="s">
        <v>1019</v>
      </c>
      <c r="BR8" s="811" t="s">
        <v>1020</v>
      </c>
      <c r="BS8" s="809" t="s">
        <v>1021</v>
      </c>
      <c r="BT8" s="951" t="str">
        <f>"% +/- "&amp;"T"&amp;$D$4&amp;".26"&amp;" sv KH T"&amp;$D$4&amp;".26"</f>
        <v>% +/- T5.26 sv KH T5.26</v>
      </c>
      <c r="BU8" s="466" t="s">
        <v>1022</v>
      </c>
      <c r="BV8" s="1547" t="s">
        <v>519</v>
      </c>
      <c r="BW8" s="1548"/>
      <c r="BX8" s="1548"/>
      <c r="BY8" s="1548"/>
      <c r="BZ8" s="1548"/>
      <c r="CA8" s="1548"/>
      <c r="CB8" s="1548"/>
      <c r="CC8" s="467"/>
      <c r="CD8" s="454"/>
      <c r="CE8" s="454"/>
      <c r="CF8" s="454"/>
      <c r="CG8" s="454"/>
      <c r="CH8" s="454"/>
      <c r="CI8" s="454"/>
      <c r="CJ8" s="454"/>
      <c r="CK8" s="454"/>
      <c r="CL8" s="454"/>
      <c r="CM8" s="454"/>
      <c r="CN8" s="454"/>
    </row>
    <row r="9" spans="1:92" s="471" customFormat="1">
      <c r="A9" s="469">
        <v>2</v>
      </c>
      <c r="B9" s="470" t="s">
        <v>520</v>
      </c>
      <c r="D9" s="472" t="s">
        <v>521</v>
      </c>
      <c r="E9" s="473">
        <f t="shared" ref="E9:BP9" si="1">SUM(E10:E20)</f>
        <v>21899.781848089286</v>
      </c>
      <c r="F9" s="473">
        <f t="shared" si="1"/>
        <v>33453.411245292285</v>
      </c>
      <c r="G9" s="473">
        <f t="shared" si="1"/>
        <v>42421.457937049287</v>
      </c>
      <c r="H9" s="473">
        <f t="shared" si="1"/>
        <v>36738.301150914282</v>
      </c>
      <c r="I9" s="473">
        <f t="shared" si="1"/>
        <v>45685.663846103285</v>
      </c>
      <c r="J9" s="473">
        <f t="shared" si="1"/>
        <v>39025.692962714289</v>
      </c>
      <c r="K9" s="473">
        <f t="shared" si="1"/>
        <v>46671.953855214277</v>
      </c>
      <c r="L9" s="473">
        <f t="shared" si="1"/>
        <v>48424.68627150001</v>
      </c>
      <c r="M9" s="473">
        <f t="shared" si="1"/>
        <v>42816.308945559998</v>
      </c>
      <c r="N9" s="473">
        <f t="shared" si="1"/>
        <v>49762.037586999999</v>
      </c>
      <c r="O9" s="473">
        <f t="shared" si="1"/>
        <v>37760.119328999994</v>
      </c>
      <c r="P9" s="812">
        <f t="shared" si="1"/>
        <v>81792.339352917581</v>
      </c>
      <c r="Q9" s="813">
        <f t="shared" si="1"/>
        <v>43870.979527612872</v>
      </c>
      <c r="R9" s="473">
        <f t="shared" si="1"/>
        <v>92900.746016934019</v>
      </c>
      <c r="S9" s="473">
        <f t="shared" si="1"/>
        <v>62242.188936643084</v>
      </c>
      <c r="T9" s="473">
        <f t="shared" si="1"/>
        <v>102093.02881497817</v>
      </c>
      <c r="U9" s="473">
        <f t="shared" si="1"/>
        <v>99247.19779312663</v>
      </c>
      <c r="V9" s="473">
        <f t="shared" si="1"/>
        <v>92560.127506874298</v>
      </c>
      <c r="W9" s="473">
        <f t="shared" si="1"/>
        <v>72891.450257188131</v>
      </c>
      <c r="X9" s="473">
        <f t="shared" si="1"/>
        <v>40604.622640293535</v>
      </c>
      <c r="Y9" s="473">
        <f t="shared" si="1"/>
        <v>47419.511207084703</v>
      </c>
      <c r="Z9" s="473">
        <f t="shared" si="1"/>
        <v>61887.591937125275</v>
      </c>
      <c r="AA9" s="473">
        <f t="shared" si="1"/>
        <v>90838.322691258494</v>
      </c>
      <c r="AB9" s="473">
        <f t="shared" si="1"/>
        <v>98422.857939716079</v>
      </c>
      <c r="AC9" s="812">
        <f t="shared" si="1"/>
        <v>69697.765737679685</v>
      </c>
      <c r="AD9" s="813">
        <f t="shared" si="1"/>
        <v>77567.117623241837</v>
      </c>
      <c r="AE9" s="814">
        <f t="shared" si="1"/>
        <v>40193.881747729931</v>
      </c>
      <c r="AF9" s="473">
        <f t="shared" si="1"/>
        <v>63751.892555730272</v>
      </c>
      <c r="AG9" s="473">
        <f t="shared" si="1"/>
        <v>104900.0506043499</v>
      </c>
      <c r="AH9" s="473">
        <f t="shared" si="1"/>
        <v>93198.181434512822</v>
      </c>
      <c r="AI9" s="473">
        <f t="shared" si="1"/>
        <v>109471.39098089983</v>
      </c>
      <c r="AJ9" s="473">
        <f t="shared" si="1"/>
        <v>96461.872700998691</v>
      </c>
      <c r="AK9" s="473">
        <f t="shared" si="1"/>
        <v>107102.05830794359</v>
      </c>
      <c r="AL9" s="473">
        <f t="shared" si="1"/>
        <v>107590.35716538981</v>
      </c>
      <c r="AM9" s="473">
        <f t="shared" si="1"/>
        <v>105403.53589251022</v>
      </c>
      <c r="AN9" s="473">
        <f t="shared" si="1"/>
        <v>72023.780867082911</v>
      </c>
      <c r="AO9" s="473">
        <f t="shared" si="1"/>
        <v>50146.385631524012</v>
      </c>
      <c r="AP9" s="812">
        <f t="shared" si="1"/>
        <v>75717.46532118271</v>
      </c>
      <c r="AQ9" s="813">
        <f t="shared" si="1"/>
        <v>85496.737767487895</v>
      </c>
      <c r="AR9" s="814">
        <f t="shared" si="1"/>
        <v>1025960.8532098547</v>
      </c>
      <c r="AS9" s="814">
        <f t="shared" si="1"/>
        <v>79743.383573753439</v>
      </c>
      <c r="AT9" s="473">
        <f t="shared" si="1"/>
        <v>65837.242574666176</v>
      </c>
      <c r="AU9" s="473">
        <f t="shared" si="1"/>
        <v>83481.646586313582</v>
      </c>
      <c r="AV9" s="473">
        <f t="shared" si="1"/>
        <v>83735.551839729174</v>
      </c>
      <c r="AW9" s="473">
        <f t="shared" si="1"/>
        <v>83498.325095054359</v>
      </c>
      <c r="AX9" s="473">
        <f t="shared" si="1"/>
        <v>85314.330452474664</v>
      </c>
      <c r="AY9" s="473">
        <f t="shared" si="1"/>
        <v>87461.029466110325</v>
      </c>
      <c r="AZ9" s="473">
        <f t="shared" si="1"/>
        <v>88307.810660553485</v>
      </c>
      <c r="BA9" s="473">
        <f t="shared" si="1"/>
        <v>87983.214204458229</v>
      </c>
      <c r="BB9" s="473">
        <f t="shared" si="1"/>
        <v>88698.7655097768</v>
      </c>
      <c r="BC9" s="473">
        <f t="shared" si="1"/>
        <v>87440.727014848104</v>
      </c>
      <c r="BD9" s="812">
        <f t="shared" si="1"/>
        <v>88392.908137975377</v>
      </c>
      <c r="BE9" s="813">
        <f t="shared" si="1"/>
        <v>84157.911259642817</v>
      </c>
      <c r="BF9" s="814">
        <f t="shared" si="1"/>
        <v>62950.537303348603</v>
      </c>
      <c r="BG9" s="473">
        <f t="shared" si="1"/>
        <v>37848.325827026303</v>
      </c>
      <c r="BH9" s="473">
        <f t="shared" si="1"/>
        <v>92373.499322284013</v>
      </c>
      <c r="BI9" s="473">
        <f t="shared" si="1"/>
        <v>90894.990195450489</v>
      </c>
      <c r="BJ9" s="473">
        <f t="shared" si="1"/>
        <v>80287.263667368316</v>
      </c>
      <c r="BK9" s="473">
        <f t="shared" si="1"/>
        <v>0</v>
      </c>
      <c r="BL9" s="473">
        <f t="shared" si="1"/>
        <v>0</v>
      </c>
      <c r="BM9" s="473">
        <f t="shared" si="1"/>
        <v>0</v>
      </c>
      <c r="BN9" s="473">
        <f t="shared" si="1"/>
        <v>0</v>
      </c>
      <c r="BO9" s="473">
        <f t="shared" si="1"/>
        <v>0</v>
      </c>
      <c r="BP9" s="473">
        <f t="shared" si="1"/>
        <v>0</v>
      </c>
      <c r="BQ9" s="812">
        <f t="shared" ref="BQ9:BS9" si="2">SUM(BQ10:BQ20)</f>
        <v>0</v>
      </c>
      <c r="BR9" s="813">
        <f t="shared" si="2"/>
        <v>72870.923263095552</v>
      </c>
      <c r="BS9" s="814">
        <f t="shared" si="2"/>
        <v>364354.6163154777</v>
      </c>
      <c r="BT9" s="474">
        <f>IFERROR(BJ9/AW9-1,"-")</f>
        <v>-3.8456596872219584E-2</v>
      </c>
      <c r="BU9" s="475">
        <f>BS9/$BS$29</f>
        <v>0.69829487346774732</v>
      </c>
      <c r="BV9" s="1549"/>
      <c r="BW9" s="1549"/>
      <c r="BX9" s="1549"/>
      <c r="BY9" s="1549"/>
      <c r="BZ9" s="1549"/>
      <c r="CA9" s="1549"/>
      <c r="CB9" s="1549"/>
      <c r="CD9" s="454"/>
      <c r="CE9" s="454"/>
      <c r="CF9" s="454"/>
      <c r="CG9" s="454"/>
      <c r="CH9" s="454"/>
      <c r="CI9" s="454"/>
      <c r="CJ9" s="454"/>
      <c r="CK9" s="454"/>
      <c r="CL9" s="454"/>
      <c r="CM9" s="454"/>
      <c r="CN9" s="454"/>
    </row>
    <row r="10" spans="1:92" s="481" customFormat="1">
      <c r="A10" s="469">
        <v>3</v>
      </c>
      <c r="B10" s="476">
        <v>1</v>
      </c>
      <c r="C10" s="477" t="s">
        <v>425</v>
      </c>
      <c r="D10" s="477" t="s">
        <v>923</v>
      </c>
      <c r="E10" s="478">
        <f>INDEX('18 KMP- Tháng'!$E$6:$Q$29,MATCH($A10,'18 KMP- Tháng'!$A$6:$A$29,0),MATCH(E$7,'18 KMP- Tháng'!$E$2:$P$2,0))</f>
        <v>19184.787461375003</v>
      </c>
      <c r="F10" s="478">
        <f>INDEX('18 KMP- Tháng'!$E$6:$Q$29,MATCH($A10,'18 KMP- Tháng'!$A$6:$A$29,0),MATCH(F$7,'18 KMP- Tháng'!$E$2:$P$2,0))</f>
        <v>29413.012996578</v>
      </c>
      <c r="G10" s="478">
        <f>INDEX('18 KMP- Tháng'!$E$6:$Q$29,MATCH($A10,'18 KMP- Tháng'!$A$6:$A$29,0),MATCH(G$7,'18 KMP- Tháng'!$E$2:$P$2,0))</f>
        <v>36905.746250334996</v>
      </c>
      <c r="H10" s="478">
        <f>INDEX('18 KMP- Tháng'!$E$6:$Q$29,MATCH($A10,'18 KMP- Tháng'!$A$6:$A$29,0),MATCH(H$7,'18 KMP- Tháng'!$E$2:$P$2,0))</f>
        <v>31466.940888199999</v>
      </c>
      <c r="I10" s="478">
        <f>INDEX('18 KMP- Tháng'!$E$6:$Q$29,MATCH($A10,'18 KMP- Tháng'!$A$6:$A$29,0),MATCH(I$7,'18 KMP- Tháng'!$E$2:$P$2,0))</f>
        <v>39521.728139389001</v>
      </c>
      <c r="J10" s="478">
        <f>INDEX('18 KMP- Tháng'!$E$6:$Q$29,MATCH($A10,'18 KMP- Tháng'!$A$6:$A$29,0),MATCH(J$7,'18 KMP- Tháng'!$E$2:$P$2,0))</f>
        <v>33022.700401999995</v>
      </c>
      <c r="K10" s="478">
        <f>INDEX('18 KMP- Tháng'!$E$6:$Q$29,MATCH($A10,'18 KMP- Tháng'!$A$6:$A$29,0),MATCH(K$7,'18 KMP- Tháng'!$E$2:$P$2,0))</f>
        <v>40067.114833499996</v>
      </c>
      <c r="L10" s="478">
        <f>INDEX('18 KMP- Tháng'!$E$6:$Q$29,MATCH($A10,'18 KMP- Tháng'!$A$6:$A$29,0),MATCH(L$7,'18 KMP- Tháng'!$E$2:$P$2,0))</f>
        <v>41710.886442499999</v>
      </c>
      <c r="M10" s="478">
        <f>INDEX('18 KMP- Tháng'!$E$6:$Q$29,MATCH($A10,'18 KMP- Tháng'!$A$6:$A$29,0),MATCH(M$7,'18 KMP- Tháng'!$E$2:$P$2,0))</f>
        <v>36846.996591559997</v>
      </c>
      <c r="N10" s="478">
        <f>INDEX('18 KMP- Tháng'!$E$6:$Q$29,MATCH($A10,'18 KMP- Tháng'!$A$6:$A$29,0),MATCH(N$7,'18 KMP- Tháng'!$E$2:$P$2,0))</f>
        <v>42104.203841000002</v>
      </c>
      <c r="O10" s="478">
        <f>INDEX('18 KMP- Tháng'!$E$6:$Q$29,MATCH($A10,'18 KMP- Tháng'!$A$6:$A$29,0),MATCH(O$7,'18 KMP- Tháng'!$E$2:$P$2,0))</f>
        <v>31330.078206999995</v>
      </c>
      <c r="P10" s="815">
        <f>INDEX('18 KMP- Tháng'!$E$6:$Q$29,MATCH($A10,'18 KMP- Tháng'!$A$6:$A$29,0),MATCH(P$7,'18 KMP- Tháng'!$E$2:$P$2,0))</f>
        <v>71767.130885999999</v>
      </c>
      <c r="Q10" s="816">
        <f t="shared" ref="Q10:Q20" si="3">AVERAGE(E10:P10)</f>
        <v>37778.443911619746</v>
      </c>
      <c r="R10" s="478">
        <f>INDEX('18 KMP- Tháng'!$R$6:$AC$24,MATCH($A10,'18 KMP- Tháng'!$A$6:$A$24,0),MATCH(R$7,'18 KMP- Tháng'!$R$2:$AC$2,0))</f>
        <v>82388.013511614045</v>
      </c>
      <c r="S10" s="478">
        <f>INDEX('18 KMP- Tháng'!$R$6:$AC$24,MATCH($A10,'18 KMP- Tháng'!$A$6:$A$24,0),MATCH(S$7,'18 KMP- Tháng'!$R$2:$AC$2,0))</f>
        <v>54679.33930764308</v>
      </c>
      <c r="T10" s="478">
        <f>INDEX('18 KMP- Tháng'!$R$6:$AC$24,MATCH($A10,'18 KMP- Tháng'!$A$6:$A$24,0),MATCH(T$7,'18 KMP- Tháng'!$R$2:$AC$2,0))</f>
        <v>92225.012386978167</v>
      </c>
      <c r="U10" s="478">
        <f>INDEX('18 KMP- Tháng'!$R$6:$AC$24,MATCH($A10,'18 KMP- Tháng'!$A$6:$A$24,0),MATCH(U$7,'18 KMP- Tháng'!$R$2:$AC$2,0))+3500</f>
        <v>88305.10524012665</v>
      </c>
      <c r="V10" s="478">
        <f>INDEX('18 KMP- Tháng'!$R$6:$AC$24,MATCH($A10,'18 KMP- Tháng'!$A$6:$A$24,0),MATCH(V$7,'18 KMP- Tháng'!$R$2:$AC$2,0))-3500</f>
        <v>82512.811292874307</v>
      </c>
      <c r="W10" s="478">
        <f>INDEX('18 KMP- Tháng'!$R$6:$AC$24,MATCH($A10,'18 KMP- Tháng'!$A$6:$A$24,0),MATCH(W$7,'18 KMP- Tháng'!$R$2:$AC$2,0))</f>
        <v>63429.137098188141</v>
      </c>
      <c r="X10" s="478">
        <f>INDEX('18 KMP- Tháng'!$R$6:$AC$24,MATCH($A10,'18 KMP- Tháng'!$A$6:$A$24,0),MATCH(X$7,'18 KMP- Tháng'!$R$2:$AC$2,0))</f>
        <v>34124.938092043485</v>
      </c>
      <c r="Y10" s="478">
        <f>INDEX('18 KMP- Tháng'!$R$6:$AC$24,MATCH($A10,'18 KMP- Tháng'!$A$6:$A$24,0),MATCH(Y$7,'18 KMP- Tháng'!$R$2:$AC$2,0))</f>
        <v>39820.045517334758</v>
      </c>
      <c r="Z10" s="478">
        <f>INDEX('18 KMP- Tháng'!$R$6:$AC$24,MATCH($A10,'18 KMP- Tháng'!$A$6:$A$24,0),MATCH(Z$7,'18 KMP- Tháng'!$R$2:$AC$2,0))</f>
        <v>53180.748441125281</v>
      </c>
      <c r="AA10" s="478">
        <f>INDEX('18 KMP- Tháng'!$R$6:$AC$24,MATCH($A10,'18 KMP- Tháng'!$A$6:$A$24,0),MATCH(AA$7,'18 KMP- Tháng'!$R$2:$AC$2,0))</f>
        <v>80242.8457912585</v>
      </c>
      <c r="AB10" s="478">
        <f>INDEX('18 KMP- Tháng'!$R$6:$AC$24,MATCH($A10,'18 KMP- Tháng'!$A$6:$A$24,0),MATCH(AB$7,'18 KMP- Tháng'!$R$2:$AC$2,0))</f>
        <v>87480.523861716094</v>
      </c>
      <c r="AC10" s="815">
        <f>INDEX('18 KMP- Tháng'!$R$6:$AC$24,MATCH($A10,'18 KMP- Tháng'!$A$6:$A$24,0),MATCH(AC$7,'18 KMP- Tháng'!$R$2:$AC$2,0))</f>
        <v>60679.337507679702</v>
      </c>
      <c r="AD10" s="816">
        <f>AVERAGE(R10:AC10)</f>
        <v>68255.654837381837</v>
      </c>
      <c r="AE10" s="817">
        <f>INDEX('18 KMP- Tháng'!$AF$6:$AQ$29,MATCH($A10,'18 KMP- Tháng'!$A$6:$A$29,0),MATCH(AE$7,'18 KMP- Tháng'!$AF$2:$AQ$2,0))</f>
        <v>33690.153681729942</v>
      </c>
      <c r="AF10" s="478">
        <f>INDEX('18 KMP- Tháng'!$AF$6:$AQ$29,MATCH($A10,'18 KMP- Tháng'!$A$6:$A$29,0),MATCH(AF$7,'18 KMP- Tháng'!$AF$2:$AQ$2,0))</f>
        <v>54984.762966730275</v>
      </c>
      <c r="AG10" s="478">
        <f>INDEX('18 KMP- Tháng'!$AF$6:$AQ$29,MATCH($A10,'18 KMP- Tháng'!$A$6:$A$29,0),MATCH(AG$7,'18 KMP- Tháng'!$AF$2:$AQ$2,0))</f>
        <v>93493.565616349893</v>
      </c>
      <c r="AH10" s="478">
        <f>INDEX('18 KMP- Tháng'!$AF$6:$AQ$29,MATCH($A10,'18 KMP- Tháng'!$A$6:$A$29,0),MATCH(AH$7,'18 KMP- Tháng'!$AF$2:$AQ$2,0))</f>
        <v>81794.17166151281</v>
      </c>
      <c r="AI10" s="478">
        <f>INDEX('18 KMP- Tháng'!$AF$6:$AQ$29,MATCH($A10,'18 KMP- Tháng'!$A$6:$A$29,0),MATCH(AI$7,'18 KMP- Tháng'!$AF$2:$AQ$2,0))</f>
        <v>97253.819962899841</v>
      </c>
      <c r="AJ10" s="478">
        <f>INDEX('18 KMP- Tháng'!$AF$6:$AQ$29,MATCH($A10,'18 KMP- Tháng'!$A$6:$A$29,0),MATCH(AJ$7,'18 KMP- Tháng'!$AF$2:$AQ$2,0))</f>
        <v>84746.443805998701</v>
      </c>
      <c r="AK10" s="478">
        <f>INDEX('18 KMP- Tháng'!$AF$6:$AQ$29,MATCH($A10,'18 KMP- Tháng'!$A$6:$A$29,0),MATCH(AK$7,'18 KMP- Tháng'!$AF$2:$AQ$2,0))</f>
        <v>93606.744682943565</v>
      </c>
      <c r="AL10" s="478">
        <f>INDEX('18 KMP- Tháng'!$AF$6:$AQ$29,MATCH($A10,'18 KMP- Tháng'!$A$6:$A$29,0),MATCH(AL$7,'18 KMP- Tháng'!$AF$2:$AQ$2,0))</f>
        <v>93602.194561389799</v>
      </c>
      <c r="AM10" s="478">
        <f>INDEX('18 KMP- Tháng'!$AF$6:$AQ$29,MATCH($A10,'18 KMP- Tháng'!$A$6:$A$29,0),MATCH(AM$7,'18 KMP- Tháng'!$AF$2:$AQ$2,0))</f>
        <v>92225.640568510207</v>
      </c>
      <c r="AN10" s="478">
        <f>INDEX('18 KMP- Tháng'!$AF$6:$AQ$29,MATCH($A10,'18 KMP- Tháng'!$A$6:$A$29,0),MATCH(AN$7,'18 KMP- Tháng'!$AF$2:$AQ$2,0))</f>
        <v>60589.830985082903</v>
      </c>
      <c r="AO10" s="478">
        <f>INDEX('18 KMP- Tháng'!$AF$6:$AQ$29,MATCH($A10,'18 KMP- Tháng'!$A$6:$A$29,0),MATCH(AO$7,'18 KMP- Tháng'!$AF$2:$AQ$2,0))</f>
        <v>41785.637411524003</v>
      </c>
      <c r="AP10" s="815">
        <f>INDEX('18 KMP- Tháng'!$AF$6:$AQ$29,MATCH($A10,'18 KMP- Tháng'!$A$6:$A$29,0),MATCH(AP$7,'18 KMP- Tháng'!$AF$2:$AQ$2,0))</f>
        <v>66382.966178182702</v>
      </c>
      <c r="AQ10" s="816">
        <f>SUM(AE10:AP10)/COUNTIFS($AE$29:$AP$29,"&lt;&gt;"&amp;0)</f>
        <v>74512.994340237885</v>
      </c>
      <c r="AR10" s="817">
        <f>SUM(AE10:AP10)</f>
        <v>894155.93208285468</v>
      </c>
      <c r="AS10" s="817">
        <f>INDEX('18 KMP- Tháng'!$BH$6:$BS$29,MATCH($A10,'18 KMP- Tháng'!$A$6:$A$29,0),MATCH(AS$7,'18 KMP- Tháng'!$BH$2:$BS$2,0))</f>
        <v>70449.79433851775</v>
      </c>
      <c r="AT10" s="478">
        <f>INDEX('18 KMP- Tháng'!$BH$6:$BS$29,MATCH($A10,'18 KMP- Tháng'!$A$6:$A$29,0),MATCH(AT$7,'18 KMP- Tháng'!$BH$2:$BS$2,0))</f>
        <v>57841.876465266527</v>
      </c>
      <c r="AU10" s="478">
        <f>INDEX('18 KMP- Tháng'!$BH$6:$BS$29,MATCH($A10,'18 KMP- Tháng'!$A$6:$A$29,0),MATCH(AU$7,'18 KMP- Tháng'!$BH$2:$BS$2,0))</f>
        <v>73858.796242105935</v>
      </c>
      <c r="AV10" s="478">
        <f>INDEX('18 KMP- Tháng'!$BH$6:$BS$29,MATCH($A10,'18 KMP- Tháng'!$A$6:$A$29,0),MATCH(AV$7,'18 KMP- Tháng'!$BH$2:$BS$2,0))</f>
        <v>74028.379274825609</v>
      </c>
      <c r="AW10" s="478">
        <f>INDEX('18 KMP- Tháng'!$BH$6:$BS$29,MATCH($A10,'18 KMP- Tháng'!$A$6:$A$29,0),MATCH(AW$7,'18 KMP- Tháng'!$BH$2:$BS$2,0))</f>
        <v>73858.796242105935</v>
      </c>
      <c r="AX10" s="478">
        <f>INDEX('18 KMP- Tháng'!$BH$6:$BS$29,MATCH($A10,'18 KMP- Tháng'!$A$6:$A$29,0),MATCH(AX$7,'18 KMP- Tháng'!$BH$2:$BS$2,0))</f>
        <v>75365.564327104483</v>
      </c>
      <c r="AY10" s="478">
        <f>INDEX('18 KMP- Tháng'!$BH$6:$BS$29,MATCH($A10,'18 KMP- Tháng'!$A$6:$A$29,0),MATCH(AY$7,'18 KMP- Tháng'!$BH$2:$BS$2,0))</f>
        <v>77176.424886965047</v>
      </c>
      <c r="AZ10" s="478">
        <f>INDEX('18 KMP- Tháng'!$BH$6:$BS$29,MATCH($A10,'18 KMP- Tháng'!$A$6:$A$29,0),MATCH(AZ$7,'18 KMP- Tháng'!$BH$2:$BS$2,0))</f>
        <v>77920.06932472506</v>
      </c>
      <c r="BA10" s="478">
        <f>INDEX('18 KMP- Tháng'!$BH$6:$BS$29,MATCH($A10,'18 KMP- Tháng'!$A$6:$A$29,0),MATCH(BA$7,'18 KMP- Tháng'!$BH$2:$BS$2,0))</f>
        <v>77600.382468764248</v>
      </c>
      <c r="BB10" s="478">
        <f>INDEX('18 KMP- Tháng'!$BH$6:$BS$29,MATCH($A10,'18 KMP- Tháng'!$A$6:$A$29,0),MATCH(BB$7,'18 KMP- Tháng'!$BH$2:$BS$2,0))</f>
        <v>78089.652357444735</v>
      </c>
      <c r="BC10" s="478">
        <f>INDEX('18 KMP- Tháng'!$BH$6:$BS$29,MATCH($A10,'18 KMP- Tháng'!$A$6:$A$29,0),MATCH(BC$7,'18 KMP- Tháng'!$BH$2:$BS$2,0))</f>
        <v>77006.841854245373</v>
      </c>
      <c r="BD10" s="815">
        <f>INDEX('18 KMP- Tháng'!$BH$6:$BS$29,MATCH($A10,'18 KMP- Tháng'!$A$6:$A$29,0),MATCH(BD$7,'18 KMP- Tháng'!$BH$2:$BS$2,0))</f>
        <v>77920.06932472506</v>
      </c>
      <c r="BE10" s="816">
        <f t="shared" ref="BE10:BE20" si="4">AVERAGE(AS10:BD10)</f>
        <v>74259.720592232989</v>
      </c>
      <c r="BF10" s="817">
        <f>INDEX('18 KMP- Tháng'!$AS$6:$BD$29,MATCH($A10,'18 KMP- Tháng'!$A$6:$A$29,0),MATCH(BF$7,'18 KMP- Tháng'!$AS$2:$BD$2,0))</f>
        <v>54282.9558583486</v>
      </c>
      <c r="BG10" s="478">
        <f>INDEX('18 KMP- Tháng'!$AS$6:$BD$29,MATCH($A10,'18 KMP- Tháng'!$A$6:$A$29,0),MATCH(BG$7,'18 KMP- Tháng'!$AS$2:$BD$2,0))</f>
        <v>32788.527139026301</v>
      </c>
      <c r="BH10" s="478">
        <f>INDEX('18 KMP- Tháng'!$AS$6:$BD$29,MATCH($A10,'18 KMP- Tháng'!$A$6:$A$29,0),MATCH(BH$7,'18 KMP- Tháng'!$AS$2:$BD$2,0))</f>
        <v>79002.100402284006</v>
      </c>
      <c r="BI10" s="478">
        <f>INDEX('18 KMP- Tháng'!$AS$6:$BD$29,MATCH($A10,'18 KMP- Tháng'!$A$6:$A$29,0),MATCH(BI$7,'18 KMP- Tháng'!$AS$2:$BD$2,0))</f>
        <v>77706.009766450486</v>
      </c>
      <c r="BJ10" s="478">
        <f>INDEX('18 KMP- Tháng'!$AS$6:$BD$29,MATCH($A10,'18 KMP- Tháng'!$A$6:$A$29,0),MATCH(BJ$7,'18 KMP- Tháng'!$AS$2:$BD$2,0))</f>
        <v>67389.4959113683</v>
      </c>
      <c r="BK10" s="478">
        <f>INDEX('18 KMP- Tháng'!$AS$6:$BD$29,MATCH($A10,'18 KMP- Tháng'!$A$6:$A$29,0),MATCH(BK$7,'18 KMP- Tháng'!$AS$2:$BD$2,0))</f>
        <v>0</v>
      </c>
      <c r="BL10" s="478">
        <f>INDEX('18 KMP- Tháng'!$AS$6:$BD$29,MATCH($A10,'18 KMP- Tháng'!$A$6:$A$29,0),MATCH(BL$7,'18 KMP- Tháng'!$AS$2:$BD$2,0))</f>
        <v>0</v>
      </c>
      <c r="BM10" s="478">
        <f>INDEX('18 KMP- Tháng'!$AS$6:$BD$29,MATCH($A10,'18 KMP- Tháng'!$A$6:$A$29,0),MATCH(BM$7,'18 KMP- Tháng'!$AS$2:$BD$2,0))</f>
        <v>0</v>
      </c>
      <c r="BN10" s="478">
        <f>INDEX('18 KMP- Tháng'!$AS$6:$BD$29,MATCH($A10,'18 KMP- Tháng'!$A$6:$A$29,0),MATCH(BN$7,'18 KMP- Tháng'!$AS$2:$BD$2,0))</f>
        <v>0</v>
      </c>
      <c r="BO10" s="478">
        <f>INDEX('18 KMP- Tháng'!$AS$6:$BD$29,MATCH($A10,'18 KMP- Tháng'!$A$6:$A$29,0),MATCH(BO$7,'18 KMP- Tháng'!$AS$2:$BD$2,0))</f>
        <v>0</v>
      </c>
      <c r="BP10" s="478">
        <f>INDEX('18 KMP- Tháng'!$AS$6:$BD$29,MATCH($A10,'18 KMP- Tháng'!$A$6:$A$29,0),MATCH(BP$7,'18 KMP- Tháng'!$AS$2:$BD$2,0))</f>
        <v>0</v>
      </c>
      <c r="BQ10" s="815">
        <f>INDEX('18 KMP- Tháng'!$AS$6:$BD$29,MATCH($A10,'18 KMP- Tháng'!$A$6:$A$29,0),MATCH(BQ$7,'18 KMP- Tháng'!$AS$2:$BD$2,0))</f>
        <v>0</v>
      </c>
      <c r="BR10" s="816">
        <f>SUM(BF10:BQ10)/COUNTIFS($BF$29:$BQ$29,"&lt;&gt;"&amp;0)</f>
        <v>62233.817815495539</v>
      </c>
      <c r="BS10" s="817">
        <f>SUM(BF10:BQ10)</f>
        <v>311169.08907747769</v>
      </c>
      <c r="BT10" s="479">
        <f t="shared" ref="BT10:BT31" si="5">IFERROR(BJ10/AW10-1,"-")</f>
        <v>-8.7590113295802241E-2</v>
      </c>
      <c r="BU10" s="480">
        <f t="shared" ref="BU10:BU28" si="6">BS10/$BS$29</f>
        <v>0.596363460086621</v>
      </c>
      <c r="BV10" s="1550"/>
      <c r="BW10" s="1550"/>
      <c r="BX10" s="1550"/>
      <c r="BY10" s="1551"/>
      <c r="BZ10" s="1551"/>
      <c r="CA10" s="1551"/>
      <c r="CB10" s="1551"/>
      <c r="CC10" s="486"/>
      <c r="CD10" s="454"/>
      <c r="CE10" s="454"/>
      <c r="CF10" s="454"/>
      <c r="CG10" s="454"/>
      <c r="CH10" s="454"/>
      <c r="CI10" s="454"/>
      <c r="CJ10" s="454"/>
      <c r="CK10" s="454"/>
      <c r="CL10" s="454"/>
      <c r="CM10" s="454"/>
      <c r="CN10" s="454"/>
    </row>
    <row r="11" spans="1:92" s="481" customFormat="1">
      <c r="A11" s="469">
        <v>4</v>
      </c>
      <c r="B11" s="482">
        <f>B10+1</f>
        <v>2</v>
      </c>
      <c r="C11" s="483" t="s">
        <v>425</v>
      </c>
      <c r="D11" s="483" t="s">
        <v>428</v>
      </c>
      <c r="E11" s="484">
        <f>INDEX('18 KMP- Tháng'!$E$6:$Q$29,MATCH($A11,'18 KMP- Tháng'!$A$6:$A$29,0),MATCH(E$7,'18 KMP- Tháng'!$E$2:$P$2,0))</f>
        <v>1376.9572000000001</v>
      </c>
      <c r="F11" s="484">
        <f>INDEX('18 KMP- Tháng'!$E$6:$Q$29,MATCH($A11,'18 KMP- Tháng'!$A$6:$A$29,0),MATCH(F$7,'18 KMP- Tháng'!$E$2:$P$2,0))</f>
        <v>2218.3915000000002</v>
      </c>
      <c r="G11" s="484">
        <f>INDEX('18 KMP- Tháng'!$E$6:$Q$29,MATCH($A11,'18 KMP- Tháng'!$A$6:$A$29,0),MATCH(G$7,'18 KMP- Tháng'!$E$2:$P$2,0))</f>
        <v>2574.9328999999998</v>
      </c>
      <c r="H11" s="484">
        <f>INDEX('18 KMP- Tháng'!$E$6:$Q$29,MATCH($A11,'18 KMP- Tháng'!$A$6:$A$29,0),MATCH(H$7,'18 KMP- Tháng'!$E$2:$P$2,0))</f>
        <v>2388.6837479999999</v>
      </c>
      <c r="I11" s="484">
        <f>INDEX('18 KMP- Tháng'!$E$6:$Q$29,MATCH($A11,'18 KMP- Tháng'!$A$6:$A$29,0),MATCH(I$7,'18 KMP- Tháng'!$E$2:$P$2,0))</f>
        <v>2787.5241000000001</v>
      </c>
      <c r="J11" s="484">
        <f>INDEX('18 KMP- Tháng'!$E$6:$Q$29,MATCH($A11,'18 KMP- Tháng'!$A$6:$A$29,0),MATCH(J$7,'18 KMP- Tháng'!$E$2:$P$2,0))</f>
        <v>2655.8263000000002</v>
      </c>
      <c r="K11" s="484">
        <f>INDEX('18 KMP- Tháng'!$E$6:$Q$29,MATCH($A11,'18 KMP- Tháng'!$A$6:$A$29,0),MATCH(K$7,'18 KMP- Tháng'!$E$2:$P$2,0))</f>
        <v>3135.2610890000001</v>
      </c>
      <c r="L11" s="484">
        <f>INDEX('18 KMP- Tháng'!$E$6:$Q$29,MATCH($A11,'18 KMP- Tháng'!$A$6:$A$29,0),MATCH(L$7,'18 KMP- Tháng'!$E$2:$P$2,0))</f>
        <v>2978.8600099999999</v>
      </c>
      <c r="M11" s="484">
        <f>INDEX('18 KMP- Tháng'!$E$6:$Q$29,MATCH($A11,'18 KMP- Tháng'!$A$6:$A$29,0),MATCH(M$7,'18 KMP- Tháng'!$E$2:$P$2,0))</f>
        <v>2915.5076250000002</v>
      </c>
      <c r="N11" s="484">
        <f>INDEX('18 KMP- Tháng'!$E$6:$Q$29,MATCH($A11,'18 KMP- Tháng'!$A$6:$A$29,0),MATCH(N$7,'18 KMP- Tháng'!$E$2:$P$2,0))</f>
        <v>3337.1480000000001</v>
      </c>
      <c r="O11" s="484">
        <f>INDEX('18 KMP- Tháng'!$E$6:$Q$29,MATCH($A11,'18 KMP- Tháng'!$A$6:$A$29,0),MATCH(O$7,'18 KMP- Tháng'!$E$2:$P$2,0))</f>
        <v>2812.7750129999999</v>
      </c>
      <c r="P11" s="818">
        <f>INDEX('18 KMP- Tháng'!$E$6:$Q$29,MATCH($A11,'18 KMP- Tháng'!$A$6:$A$29,0),MATCH(P$7,'18 KMP- Tháng'!$E$2:$P$2,0))</f>
        <v>5223.2614999999996</v>
      </c>
      <c r="Q11" s="819">
        <f t="shared" si="3"/>
        <v>2867.0940820833334</v>
      </c>
      <c r="R11" s="484">
        <f>INDEX('18 KMP- Tháng'!$R$6:$AC$24,MATCH($A11,'18 KMP- Tháng'!$A$6:$A$24,0),MATCH(R$7,'18 KMP- Tháng'!$R$2:$AC$2,0))</f>
        <v>5518.9031000000004</v>
      </c>
      <c r="S11" s="484">
        <f>INDEX('18 KMP- Tháng'!$R$6:$AC$24,MATCH($A11,'18 KMP- Tháng'!$A$6:$A$24,0),MATCH(S$7,'18 KMP- Tháng'!$R$2:$AC$2,0))</f>
        <v>4150.3450000000003</v>
      </c>
      <c r="T11" s="484">
        <f>INDEX('18 KMP- Tháng'!$R$6:$AC$24,MATCH($A11,'18 KMP- Tháng'!$A$6:$A$24,0),MATCH(T$7,'18 KMP- Tháng'!$R$2:$AC$2,0))</f>
        <v>5118.0938999999998</v>
      </c>
      <c r="U11" s="484">
        <f>INDEX('18 KMP- Tháng'!$R$6:$AC$24,MATCH($A11,'18 KMP- Tháng'!$A$6:$A$24,0),MATCH(U$7,'18 KMP- Tháng'!$R$2:$AC$2,0))+380</f>
        <v>5923.6525650000003</v>
      </c>
      <c r="V11" s="484">
        <f>INDEX('18 KMP- Tháng'!$R$6:$AC$24,MATCH($A11,'18 KMP- Tháng'!$A$6:$A$24,0),MATCH(V$7,'18 KMP- Tháng'!$R$2:$AC$2,0))-380</f>
        <v>5640.5653000000002</v>
      </c>
      <c r="W11" s="484">
        <f>INDEX('18 KMP- Tháng'!$R$6:$AC$24,MATCH($A11,'18 KMP- Tháng'!$A$6:$A$24,0),MATCH(W$7,'18 KMP- Tháng'!$R$2:$AC$2,0))</f>
        <v>4842.9948999999997</v>
      </c>
      <c r="X11" s="484">
        <f>INDEX('18 KMP- Tháng'!$R$6:$AC$24,MATCH($A11,'18 KMP- Tháng'!$A$6:$A$24,0),MATCH(X$7,'18 KMP- Tháng'!$R$2:$AC$2,0))</f>
        <v>3062.5014999999999</v>
      </c>
      <c r="Y11" s="484">
        <f>INDEX('18 KMP- Tháng'!$R$6:$AC$24,MATCH($A11,'18 KMP- Tháng'!$A$6:$A$24,0),MATCH(Y$7,'18 KMP- Tháng'!$R$2:$AC$2,0))</f>
        <v>3545.0221999999999</v>
      </c>
      <c r="Z11" s="484">
        <f>INDEX('18 KMP- Tháng'!$R$6:$AC$24,MATCH($A11,'18 KMP- Tháng'!$A$6:$A$24,0),MATCH(Z$7,'18 KMP- Tháng'!$R$2:$AC$2,0))</f>
        <v>4668.9910060000002</v>
      </c>
      <c r="AA11" s="484">
        <f>INDEX('18 KMP- Tháng'!$R$6:$AC$24,MATCH($A11,'18 KMP- Tháng'!$A$6:$A$24,0),MATCH(AA$7,'18 KMP- Tháng'!$R$2:$AC$2,0))</f>
        <v>5571.9984999999997</v>
      </c>
      <c r="AB11" s="484">
        <f>INDEX('18 KMP- Tháng'!$R$6:$AC$24,MATCH($A11,'18 KMP- Tháng'!$A$6:$A$24,0),MATCH(AB$7,'18 KMP- Tháng'!$R$2:$AC$2,0))</f>
        <v>6435.3993</v>
      </c>
      <c r="AC11" s="818">
        <f>INDEX('18 KMP- Tháng'!$R$6:$AC$24,MATCH($A11,'18 KMP- Tháng'!$A$6:$A$24,0),MATCH(AC$7,'18 KMP- Tháng'!$R$2:$AC$2,0))</f>
        <v>4886.9172699999999</v>
      </c>
      <c r="AD11" s="819">
        <f t="shared" ref="AD11:AD31" si="7">AVERAGE(R11:AC11)</f>
        <v>4947.1153784166663</v>
      </c>
      <c r="AE11" s="822">
        <f>INDEX('18 KMP- Tháng'!$AF$6:$AQ$29,MATCH($A11,'18 KMP- Tháng'!$A$6:$A$29,0),MATCH(AE$7,'18 KMP- Tháng'!$AF$2:$AQ$2,0))</f>
        <v>3220.4870150000002</v>
      </c>
      <c r="AF11" s="581">
        <f>INDEX('18 KMP- Tháng'!$AF$6:$AQ$29,MATCH($A11,'18 KMP- Tháng'!$A$6:$A$29,0),MATCH(AF$7,'18 KMP- Tháng'!$AF$2:$AQ$2,0))</f>
        <v>4203.9981429999998</v>
      </c>
      <c r="AG11" s="581">
        <f>INDEX('18 KMP- Tháng'!$AF$6:$AQ$29,MATCH($A11,'18 KMP- Tháng'!$A$6:$A$29,0),MATCH(AG$7,'18 KMP- Tháng'!$AF$2:$AQ$2,0))</f>
        <v>6561.5858079999998</v>
      </c>
      <c r="AH11" s="581">
        <f>INDEX('18 KMP- Tháng'!$AF$6:$AQ$29,MATCH($A11,'18 KMP- Tháng'!$A$6:$A$29,0),MATCH(AH$7,'18 KMP- Tháng'!$AF$2:$AQ$2,0))</f>
        <v>6195.0632750000004</v>
      </c>
      <c r="AI11" s="581">
        <f>INDEX('18 KMP- Tháng'!$AF$6:$AQ$29,MATCH($A11,'18 KMP- Tháng'!$A$6:$A$29,0),MATCH(AI$7,'18 KMP- Tháng'!$AF$2:$AQ$2,0))</f>
        <v>6629.4663929999997</v>
      </c>
      <c r="AJ11" s="581">
        <f>INDEX('18 KMP- Tháng'!$AF$6:$AQ$29,MATCH($A11,'18 KMP- Tháng'!$A$6:$A$29,0),MATCH(AJ$7,'18 KMP- Tháng'!$AF$2:$AQ$2,0))</f>
        <v>6427.1763199999996</v>
      </c>
      <c r="AK11" s="581">
        <f>INDEX('18 KMP- Tháng'!$AF$6:$AQ$29,MATCH($A11,'18 KMP- Tháng'!$A$6:$A$29,0),MATCH(AK$7,'18 KMP- Tháng'!$AF$2:$AQ$2,0))</f>
        <v>7133.675279</v>
      </c>
      <c r="AL11" s="581">
        <f>INDEX('18 KMP- Tháng'!$AF$6:$AQ$29,MATCH($A11,'18 KMP- Tháng'!$A$6:$A$29,0),MATCH(AL$7,'18 KMP- Tháng'!$AF$2:$AQ$2,0))</f>
        <v>7283.683376</v>
      </c>
      <c r="AM11" s="581">
        <f>INDEX('18 KMP- Tháng'!$AF$6:$AQ$29,MATCH($A11,'18 KMP- Tháng'!$A$6:$A$29,0),MATCH(AM$7,'18 KMP- Tháng'!$AF$2:$AQ$2,0))</f>
        <v>7082.0269870000002</v>
      </c>
      <c r="AN11" s="581">
        <f>INDEX('18 KMP- Tháng'!$AF$6:$AQ$29,MATCH($A11,'18 KMP- Tháng'!$A$6:$A$29,0),MATCH(AN$7,'18 KMP- Tháng'!$AF$2:$AQ$2,0))</f>
        <v>6265.143298</v>
      </c>
      <c r="AO11" s="581">
        <f>INDEX('18 KMP- Tháng'!$AF$6:$AQ$29,MATCH($A11,'18 KMP- Tháng'!$A$6:$A$29,0),MATCH(AO$7,'18 KMP- Tháng'!$AF$2:$AQ$2,0))</f>
        <v>4353.0271210000001</v>
      </c>
      <c r="AP11" s="823">
        <f>INDEX('18 KMP- Tháng'!$AF$6:$AQ$29,MATCH($A11,'18 KMP- Tháng'!$A$6:$A$29,0),MATCH(AP$7,'18 KMP- Tháng'!$AF$2:$AQ$2,0))</f>
        <v>4935.067223</v>
      </c>
      <c r="AQ11" s="819">
        <f t="shared" ref="AQ11:AQ20" si="8">SUM(AE11:AP11)/COUNTIFS($AE$29:$AP$29,"&lt;&gt;"&amp;0)</f>
        <v>5857.5333531666665</v>
      </c>
      <c r="AR11" s="820">
        <f t="shared" ref="AR11:AR20" si="9">SUM(AE11:AP11)</f>
        <v>70290.400238000002</v>
      </c>
      <c r="AS11" s="820">
        <f>INDEX('18 KMP- Tháng'!$BH$6:$BS$29,MATCH($A11,'18 KMP- Tháng'!$A$6:$A$29,0),MATCH(AS$7,'18 KMP- Tháng'!$BH$2:$BS$2,0))</f>
        <v>4697.3396017444875</v>
      </c>
      <c r="AT11" s="484">
        <f>INDEX('18 KMP- Tháng'!$BH$6:$BS$29,MATCH($A11,'18 KMP- Tháng'!$A$6:$A$29,0),MATCH(AT$7,'18 KMP- Tháng'!$BH$2:$BS$2,0))</f>
        <v>3893.9971987592303</v>
      </c>
      <c r="AU11" s="484">
        <f>INDEX('18 KMP- Tháng'!$BH$6:$BS$29,MATCH($A11,'18 KMP- Tháng'!$A$6:$A$29,0),MATCH(AU$7,'18 KMP- Tháng'!$BH$2:$BS$2,0))</f>
        <v>4842.3796267444886</v>
      </c>
      <c r="AV11" s="484">
        <f>INDEX('18 KMP- Tháng'!$BH$6:$BS$29,MATCH($A11,'18 KMP- Tháng'!$A$6:$A$29,0),MATCH(AV$7,'18 KMP- Tháng'!$BH$2:$BS$2,0))</f>
        <v>4886.2606887335287</v>
      </c>
      <c r="AW11" s="484">
        <f>INDEX('18 KMP- Tháng'!$BH$6:$BS$29,MATCH($A11,'18 KMP- Tháng'!$A$6:$A$29,0),MATCH(AW$7,'18 KMP- Tháng'!$BH$2:$BS$2,0))</f>
        <v>4850.5640553159174</v>
      </c>
      <c r="AX11" s="484">
        <f>INDEX('18 KMP- Tháng'!$BH$6:$BS$29,MATCH($A11,'18 KMP- Tháng'!$A$6:$A$29,0),MATCH(AX$7,'18 KMP- Tháng'!$BH$2:$BS$2,0))</f>
        <v>5015.6919387335292</v>
      </c>
      <c r="AY11" s="484">
        <f>INDEX('18 KMP- Tháng'!$BH$6:$BS$29,MATCH($A11,'18 KMP- Tháng'!$A$6:$A$29,0),MATCH(AY$7,'18 KMP- Tháng'!$BH$2:$BS$2,0))</f>
        <v>5356.1384432390805</v>
      </c>
      <c r="AZ11" s="484">
        <f>INDEX('18 KMP- Tháng'!$BH$6:$BS$29,MATCH($A11,'18 KMP- Tháng'!$A$6:$A$29,0),MATCH(AZ$7,'18 KMP- Tháng'!$BH$2:$BS$2,0))</f>
        <v>5423.0816702390803</v>
      </c>
      <c r="BA11" s="484">
        <f>INDEX('18 KMP- Tháng'!$BH$6:$BS$29,MATCH($A11,'18 KMP- Tháng'!$A$6:$A$29,0),MATCH(BA$7,'18 KMP- Tháng'!$BH$2:$BS$2,0))</f>
        <v>5431.5689632035965</v>
      </c>
      <c r="BB11" s="484">
        <f>INDEX('18 KMP- Tháng'!$BH$6:$BS$29,MATCH($A11,'18 KMP- Tháng'!$A$6:$A$29,0),MATCH(BB$7,'18 KMP- Tháng'!$BH$2:$BS$2,0))</f>
        <v>5581.5463002948245</v>
      </c>
      <c r="BC11" s="484">
        <f>INDEX('18 KMP- Tháng'!$BH$6:$BS$29,MATCH($A11,'18 KMP- Tháng'!$A$6:$A$29,0),MATCH(BC$7,'18 KMP- Tháng'!$BH$2:$BS$2,0))</f>
        <v>5527.4359356879104</v>
      </c>
      <c r="BD11" s="818">
        <f>INDEX('18 KMP- Tháng'!$BH$6:$BS$29,MATCH($A11,'18 KMP- Tháng'!$A$6:$A$29,0),MATCH(BD$7,'18 KMP- Tháng'!$BH$2:$BS$2,0))</f>
        <v>5561.9175222948243</v>
      </c>
      <c r="BE11" s="821">
        <f t="shared" si="4"/>
        <v>5088.9934954158743</v>
      </c>
      <c r="BF11" s="822">
        <f>INDEX('18 KMP- Tháng'!$AS$6:$BD$29,MATCH($A11,'18 KMP- Tháng'!$A$6:$A$29,0),MATCH(BF$7,'18 KMP- Tháng'!$AS$2:$BD$2,0))</f>
        <v>4101.185536</v>
      </c>
      <c r="BG11" s="581">
        <f>INDEX('18 KMP- Tháng'!$AS$6:$BD$29,MATCH($A11,'18 KMP- Tháng'!$A$6:$A$29,0),MATCH(BG$7,'18 KMP- Tháng'!$AS$2:$BD$2,0))</f>
        <v>2506.863617</v>
      </c>
      <c r="BH11" s="581">
        <f>INDEX('18 KMP- Tháng'!$AS$6:$BD$29,MATCH($A11,'18 KMP- Tháng'!$A$6:$A$29,0),MATCH(BH$7,'18 KMP- Tháng'!$AS$2:$BD$2,0))</f>
        <v>5724.7182839999996</v>
      </c>
      <c r="BI11" s="581">
        <f>INDEX('18 KMP- Tháng'!$AS$6:$BD$29,MATCH($A11,'18 KMP- Tháng'!$A$6:$A$29,0),MATCH(BI$7,'18 KMP- Tháng'!$AS$2:$BD$2,0))</f>
        <v>5756.5264569999999</v>
      </c>
      <c r="BJ11" s="581">
        <f>INDEX('18 KMP- Tháng'!$AS$6:$BD$29,MATCH($A11,'18 KMP- Tháng'!$A$6:$A$29,0),MATCH(BJ$7,'18 KMP- Tháng'!$AS$2:$BD$2,0))</f>
        <v>5888.0109110000003</v>
      </c>
      <c r="BK11" s="581">
        <f>INDEX('18 KMP- Tháng'!$AS$6:$BD$29,MATCH($A11,'18 KMP- Tháng'!$A$6:$A$29,0),MATCH(BK$7,'18 KMP- Tháng'!$AS$2:$BD$2,0))</f>
        <v>0</v>
      </c>
      <c r="BL11" s="581">
        <f>INDEX('18 KMP- Tháng'!$AS$6:$BD$29,MATCH($A11,'18 KMP- Tháng'!$A$6:$A$29,0),MATCH(BL$7,'18 KMP- Tháng'!$AS$2:$BD$2,0))</f>
        <v>0</v>
      </c>
      <c r="BM11" s="581">
        <f>INDEX('18 KMP- Tháng'!$AS$6:$BD$29,MATCH($A11,'18 KMP- Tháng'!$A$6:$A$29,0),MATCH(BM$7,'18 KMP- Tháng'!$AS$2:$BD$2,0))</f>
        <v>0</v>
      </c>
      <c r="BN11" s="581">
        <f>INDEX('18 KMP- Tháng'!$AS$6:$BD$29,MATCH($A11,'18 KMP- Tháng'!$A$6:$A$29,0),MATCH(BN$7,'18 KMP- Tháng'!$AS$2:$BD$2,0))</f>
        <v>0</v>
      </c>
      <c r="BO11" s="581">
        <f>INDEX('18 KMP- Tháng'!$AS$6:$BD$29,MATCH($A11,'18 KMP- Tháng'!$A$6:$A$29,0),MATCH(BO$7,'18 KMP- Tháng'!$AS$2:$BD$2,0))</f>
        <v>0</v>
      </c>
      <c r="BP11" s="581">
        <f>INDEX('18 KMP- Tháng'!$AS$6:$BD$29,MATCH($A11,'18 KMP- Tháng'!$A$6:$A$29,0),MATCH(BP$7,'18 KMP- Tháng'!$AS$2:$BD$2,0))</f>
        <v>0</v>
      </c>
      <c r="BQ11" s="823">
        <f>INDEX('18 KMP- Tháng'!$AS$6:$BD$29,MATCH($A11,'18 KMP- Tháng'!$A$6:$A$29,0),MATCH(BQ$7,'18 KMP- Tháng'!$AS$2:$BD$2,0))</f>
        <v>0</v>
      </c>
      <c r="BR11" s="819">
        <f t="shared" ref="BR11:BR20" si="10">SUM(BF11:BQ11)/COUNTIFS($BF$29:$BQ$29,"&lt;&gt;"&amp;0)</f>
        <v>4795.4609609999998</v>
      </c>
      <c r="BS11" s="820">
        <f t="shared" ref="BS11:BS20" si="11">SUM(BF11:BQ11)</f>
        <v>23977.304805</v>
      </c>
      <c r="BT11" s="479">
        <f t="shared" si="5"/>
        <v>0.21388169372737287</v>
      </c>
      <c r="BU11" s="485">
        <f t="shared" si="6"/>
        <v>4.5953113464625085E-2</v>
      </c>
      <c r="BV11" s="1552"/>
      <c r="BW11" s="1552"/>
      <c r="BX11" s="1552"/>
      <c r="BY11" s="1546"/>
      <c r="BZ11" s="1546"/>
      <c r="CA11" s="1546"/>
      <c r="CB11" s="1546"/>
      <c r="CC11" s="824"/>
      <c r="CD11" s="454"/>
      <c r="CE11" s="454"/>
      <c r="CF11" s="454"/>
      <c r="CG11" s="454"/>
      <c r="CH11" s="454"/>
      <c r="CI11" s="454"/>
      <c r="CJ11" s="454"/>
      <c r="CK11" s="454"/>
      <c r="CL11" s="454"/>
      <c r="CM11" s="454"/>
      <c r="CN11" s="454"/>
    </row>
    <row r="12" spans="1:92" s="481" customFormat="1">
      <c r="A12" s="469">
        <v>6</v>
      </c>
      <c r="B12" s="482">
        <f t="shared" ref="B12:B20" si="12">B11+1</f>
        <v>3</v>
      </c>
      <c r="C12" s="483" t="s">
        <v>425</v>
      </c>
      <c r="D12" s="483" t="s">
        <v>429</v>
      </c>
      <c r="E12" s="484">
        <f>INDEX('18 KMP- Tháng'!$E$6:$Q$29,MATCH($A12,'18 KMP- Tháng'!$A$6:$A$29,0),MATCH(E$7,'18 KMP- Tháng'!$E$2:$P$2,0))</f>
        <v>0</v>
      </c>
      <c r="F12" s="484">
        <f>INDEX('18 KMP- Tháng'!$E$6:$Q$29,MATCH($A12,'18 KMP- Tháng'!$A$6:$A$29,0),MATCH(F$7,'18 KMP- Tháng'!$E$2:$P$2,0))</f>
        <v>0</v>
      </c>
      <c r="G12" s="484">
        <f>INDEX('18 KMP- Tháng'!$E$6:$Q$29,MATCH($A12,'18 KMP- Tháng'!$A$6:$A$29,0),MATCH(G$7,'18 KMP- Tháng'!$E$2:$P$2,0))</f>
        <v>505.50536</v>
      </c>
      <c r="H12" s="484">
        <f>INDEX('18 KMP- Tháng'!$E$6:$Q$29,MATCH($A12,'18 KMP- Tháng'!$A$6:$A$29,0),MATCH(H$7,'18 KMP- Tháng'!$E$2:$P$2,0))</f>
        <v>384.26619499999998</v>
      </c>
      <c r="I12" s="484">
        <f>INDEX('18 KMP- Tháng'!$E$6:$Q$29,MATCH($A12,'18 KMP- Tháng'!$A$6:$A$29,0),MATCH(I$7,'18 KMP- Tháng'!$E$2:$P$2,0))</f>
        <v>373.597216</v>
      </c>
      <c r="J12" s="484">
        <f>INDEX('18 KMP- Tháng'!$E$6:$Q$29,MATCH($A12,'18 KMP- Tháng'!$A$6:$A$29,0),MATCH(J$7,'18 KMP- Tháng'!$E$2:$P$2,0))</f>
        <v>646.86600199999998</v>
      </c>
      <c r="K12" s="484">
        <f>INDEX('18 KMP- Tháng'!$E$6:$Q$29,MATCH($A12,'18 KMP- Tháng'!$A$6:$A$29,0),MATCH(K$7,'18 KMP- Tháng'!$E$2:$P$2,0))</f>
        <v>461.83937800000001</v>
      </c>
      <c r="L12" s="484">
        <f>INDEX('18 KMP- Tháng'!$E$6:$Q$29,MATCH($A12,'18 KMP- Tháng'!$A$6:$A$29,0),MATCH(L$7,'18 KMP- Tháng'!$E$2:$P$2,0))</f>
        <v>712.82108499999993</v>
      </c>
      <c r="M12" s="484">
        <f>INDEX('18 KMP- Tháng'!$E$6:$Q$29,MATCH($A12,'18 KMP- Tháng'!$A$6:$A$29,0),MATCH(M$7,'18 KMP- Tháng'!$E$2:$P$2,0))</f>
        <v>372.68747999999999</v>
      </c>
      <c r="N12" s="484">
        <f>INDEX('18 KMP- Tháng'!$E$6:$Q$29,MATCH($A12,'18 KMP- Tháng'!$A$6:$A$29,0),MATCH(N$7,'18 KMP- Tháng'!$E$2:$P$2,0))</f>
        <v>746.39963999999998</v>
      </c>
      <c r="O12" s="484">
        <f>INDEX('18 KMP- Tháng'!$E$6:$Q$29,MATCH($A12,'18 KMP- Tháng'!$A$6:$A$29,0),MATCH(O$7,'18 KMP- Tháng'!$E$2:$P$2,0))</f>
        <v>626.33642800000007</v>
      </c>
      <c r="P12" s="818">
        <f>INDEX('18 KMP- Tháng'!$E$6:$Q$29,MATCH($A12,'18 KMP- Tháng'!$A$6:$A$29,0),MATCH(P$7,'18 KMP- Tháng'!$E$2:$P$2,0))</f>
        <v>533.65458000000001</v>
      </c>
      <c r="Q12" s="821">
        <f t="shared" si="3"/>
        <v>446.99778033333331</v>
      </c>
      <c r="R12" s="484">
        <f>INDEX('18 KMP- Tháng'!$R$6:$AC$24,MATCH($A12,'18 KMP- Tháng'!$A$6:$A$24,0),MATCH(R$7,'18 KMP- Tháng'!$R$2:$AC$2,0))</f>
        <v>526.29274399999997</v>
      </c>
      <c r="S12" s="484">
        <f>INDEX('18 KMP- Tháng'!$R$6:$AC$24,MATCH($A12,'18 KMP- Tháng'!$A$6:$A$24,0),MATCH(S$7,'18 KMP- Tháng'!$R$2:$AC$2,0))</f>
        <v>369.82350000000002</v>
      </c>
      <c r="T12" s="484">
        <f>INDEX('18 KMP- Tháng'!$R$6:$AC$24,MATCH($A12,'18 KMP- Tháng'!$A$6:$A$24,0),MATCH(T$7,'18 KMP- Tháng'!$R$2:$AC$2,0))</f>
        <v>588.72288000000003</v>
      </c>
      <c r="U12" s="484">
        <f>INDEX('18 KMP- Tháng'!$R$6:$AC$24,MATCH($A12,'18 KMP- Tháng'!$A$6:$A$24,0),MATCH(U$7,'18 KMP- Tháng'!$R$2:$AC$2,0))</f>
        <v>1053.4593620000001</v>
      </c>
      <c r="V12" s="484">
        <f>INDEX('18 KMP- Tháng'!$R$6:$AC$24,MATCH($A12,'18 KMP- Tháng'!$A$6:$A$24,0),MATCH(V$7,'18 KMP- Tháng'!$R$2:$AC$2,0))</f>
        <v>832.33068000000014</v>
      </c>
      <c r="W12" s="484">
        <f>INDEX('18 KMP- Tháng'!$R$6:$AC$24,MATCH($A12,'18 KMP- Tháng'!$A$6:$A$24,0),MATCH(W$7,'18 KMP- Tháng'!$R$2:$AC$2,0))</f>
        <v>1456.5019600000001</v>
      </c>
      <c r="X12" s="484">
        <f>INDEX('18 KMP- Tháng'!$R$6:$AC$24,MATCH($A12,'18 KMP- Tháng'!$A$6:$A$24,0),MATCH(X$7,'18 KMP- Tháng'!$R$2:$AC$2,0))</f>
        <v>799.54674</v>
      </c>
      <c r="Y12" s="484">
        <f>INDEX('18 KMP- Tháng'!$R$6:$AC$24,MATCH($A12,'18 KMP- Tháng'!$A$6:$A$24,0),MATCH(Y$7,'18 KMP- Tháng'!$R$2:$AC$2,0))</f>
        <v>1860.7676060000001</v>
      </c>
      <c r="Z12" s="484">
        <f>INDEX('18 KMP- Tháng'!$R$6:$AC$24,MATCH($A12,'18 KMP- Tháng'!$A$6:$A$24,0),MATCH(Z$7,'18 KMP- Tháng'!$R$2:$AC$2,0))</f>
        <v>1285.0191810000001</v>
      </c>
      <c r="AA12" s="484">
        <f>INDEX('18 KMP- Tháng'!$R$6:$AC$24,MATCH($A12,'18 KMP- Tháng'!$A$6:$A$24,0),MATCH(AA$7,'18 KMP- Tháng'!$R$2:$AC$2,0))</f>
        <v>967.32580800000005</v>
      </c>
      <c r="AB12" s="484">
        <f>INDEX('18 KMP- Tháng'!$R$6:$AC$24,MATCH($A12,'18 KMP- Tháng'!$A$6:$A$24,0),MATCH(AB$7,'18 KMP- Tháng'!$R$2:$AC$2,0))</f>
        <v>754.04340200000001</v>
      </c>
      <c r="AC12" s="818">
        <f>INDEX('18 KMP- Tháng'!$R$6:$AC$24,MATCH($A12,'18 KMP- Tháng'!$A$6:$A$24,0),MATCH(AC$7,'18 KMP- Tháng'!$R$2:$AC$2,0))</f>
        <v>1681.9546049999999</v>
      </c>
      <c r="AD12" s="821">
        <f t="shared" si="7"/>
        <v>1014.6490389999999</v>
      </c>
      <c r="AE12" s="820">
        <f>INDEX('18 KMP- Tháng'!$AF$6:$AQ$29,MATCH($A12,'18 KMP- Tháng'!$A$6:$A$29,0),MATCH(AE$7,'18 KMP- Tháng'!$AF$2:$AQ$2,0))</f>
        <v>1406.3768719999998</v>
      </c>
      <c r="AF12" s="484">
        <f>INDEX('18 KMP- Tháng'!$AF$6:$AQ$29,MATCH($A12,'18 KMP- Tháng'!$A$6:$A$29,0),MATCH(AF$7,'18 KMP- Tháng'!$AF$2:$AQ$2,0))</f>
        <v>1896.4950260000001</v>
      </c>
      <c r="AG12" s="484">
        <f>INDEX('18 KMP- Tháng'!$AF$6:$AQ$29,MATCH($A12,'18 KMP- Tháng'!$A$6:$A$29,0),MATCH(AG$7,'18 KMP- Tháng'!$AF$2:$AQ$2,0))</f>
        <v>1011.337654</v>
      </c>
      <c r="AH12" s="484">
        <f>INDEX('18 KMP- Tháng'!$AF$6:$AQ$29,MATCH($A12,'18 KMP- Tháng'!$A$6:$A$29,0),MATCH(AH$7,'18 KMP- Tháng'!$AF$2:$AQ$2,0))</f>
        <v>1192.1012270000001</v>
      </c>
      <c r="AI12" s="484">
        <f>INDEX('18 KMP- Tháng'!$AF$6:$AQ$29,MATCH($A12,'18 KMP- Tháng'!$A$6:$A$29,0),MATCH(AI$7,'18 KMP- Tháng'!$AF$2:$AQ$2,0))</f>
        <v>1071.508366</v>
      </c>
      <c r="AJ12" s="484">
        <f>INDEX('18 KMP- Tháng'!$AF$6:$AQ$29,MATCH($A12,'18 KMP- Tháng'!$A$6:$A$29,0),MATCH(AJ$7,'18 KMP- Tháng'!$AF$2:$AQ$2,0))</f>
        <v>1011.863016</v>
      </c>
      <c r="AK12" s="484">
        <f>INDEX('18 KMP- Tháng'!$AF$6:$AQ$29,MATCH($A12,'18 KMP- Tháng'!$A$6:$A$29,0),MATCH(AK$7,'18 KMP- Tháng'!$AF$2:$AQ$2,0))</f>
        <v>1178.8014470000001</v>
      </c>
      <c r="AL12" s="484">
        <f>INDEX('18 KMP- Tháng'!$AF$6:$AQ$29,MATCH($A12,'18 KMP- Tháng'!$A$6:$A$29,0),MATCH(AL$7,'18 KMP- Tháng'!$AF$2:$AQ$2,0))</f>
        <v>1744.837137</v>
      </c>
      <c r="AM12" s="484">
        <f>INDEX('18 KMP- Tháng'!$AF$6:$AQ$29,MATCH($A12,'18 KMP- Tháng'!$A$6:$A$29,0),MATCH(AM$7,'18 KMP- Tháng'!$AF$2:$AQ$2,0))</f>
        <v>1262.250933</v>
      </c>
      <c r="AN12" s="484">
        <f>INDEX('18 KMP- Tháng'!$AF$6:$AQ$29,MATCH($A12,'18 KMP- Tháng'!$A$6:$A$29,0),MATCH(AN$7,'18 KMP- Tháng'!$AF$2:$AQ$2,0))</f>
        <v>2172.3496660000001</v>
      </c>
      <c r="AO12" s="484">
        <f>INDEX('18 KMP- Tháng'!$AF$6:$AQ$29,MATCH($A12,'18 KMP- Tháng'!$A$6:$A$29,0),MATCH(AO$7,'18 KMP- Tháng'!$AF$2:$AQ$2,0))</f>
        <v>1528.6454290000001</v>
      </c>
      <c r="AP12" s="818">
        <f>INDEX('18 KMP- Tháng'!$AF$6:$AQ$29,MATCH($A12,'18 KMP- Tháng'!$A$6:$A$29,0),MATCH(AP$7,'18 KMP- Tháng'!$AF$2:$AQ$2,0))</f>
        <v>1006.5126320000001</v>
      </c>
      <c r="AQ12" s="1380">
        <f t="shared" si="8"/>
        <v>1373.5899504166666</v>
      </c>
      <c r="AR12" s="820">
        <f t="shared" si="9"/>
        <v>16483.079405</v>
      </c>
      <c r="AS12" s="820">
        <f>INDEX('18 KMP- Tháng'!$BH$6:$BS$29,MATCH($A12,'18 KMP- Tháng'!$A$6:$A$29,0),MATCH(AS$7,'18 KMP- Tháng'!$BH$2:$BS$2,0))</f>
        <v>725.33604409090913</v>
      </c>
      <c r="AT12" s="484">
        <f>INDEX('18 KMP- Tháng'!$BH$6:$BS$29,MATCH($A12,'18 KMP- Tháng'!$A$6:$A$29,0),MATCH(AT$7,'18 KMP- Tháng'!$BH$2:$BS$2,0))</f>
        <v>691.18604409090904</v>
      </c>
      <c r="AU12" s="484">
        <f>INDEX('18 KMP- Tháng'!$BH$6:$BS$29,MATCH($A12,'18 KMP- Tháng'!$A$6:$A$29,0),MATCH(AU$7,'18 KMP- Tháng'!$BH$2:$BS$2,0))</f>
        <v>720.33604409090913</v>
      </c>
      <c r="AV12" s="484">
        <f>INDEX('18 KMP- Tháng'!$BH$6:$BS$29,MATCH($A12,'18 KMP- Tháng'!$A$6:$A$29,0),MATCH(AV$7,'18 KMP- Tháng'!$BH$2:$BS$2,0))</f>
        <v>758.53184409090909</v>
      </c>
      <c r="AW12" s="484">
        <f>INDEX('18 KMP- Tháng'!$BH$6:$BS$29,MATCH($A12,'18 KMP- Tháng'!$A$6:$A$29,0),MATCH(AW$7,'18 KMP- Tháng'!$BH$2:$BS$2,0))</f>
        <v>751.38066909090912</v>
      </c>
      <c r="AX12" s="484">
        <f>INDEX('18 KMP- Tháng'!$BH$6:$BS$29,MATCH($A12,'18 KMP- Tháng'!$A$6:$A$29,0),MATCH(AX$7,'18 KMP- Tháng'!$BH$2:$BS$2,0))</f>
        <v>770.63066909090912</v>
      </c>
      <c r="AY12" s="484">
        <f>INDEX('18 KMP- Tháng'!$BH$6:$BS$29,MATCH($A12,'18 KMP- Tháng'!$A$6:$A$29,0),MATCH(AY$7,'18 KMP- Tháng'!$BH$2:$BS$2,0))</f>
        <v>756.38066909090912</v>
      </c>
      <c r="AZ12" s="484">
        <f>INDEX('18 KMP- Tháng'!$BH$6:$BS$29,MATCH($A12,'18 KMP- Tháng'!$A$6:$A$29,0),MATCH(AZ$7,'18 KMP- Tháng'!$BH$2:$BS$2,0))</f>
        <v>770.63066909090912</v>
      </c>
      <c r="BA12" s="484">
        <f>INDEX('18 KMP- Tháng'!$BH$6:$BS$29,MATCH($A12,'18 KMP- Tháng'!$A$6:$A$29,0),MATCH(BA$7,'18 KMP- Tháng'!$BH$2:$BS$2,0))</f>
        <v>751.38066909090912</v>
      </c>
      <c r="BB12" s="484">
        <f>INDEX('18 KMP- Tháng'!$BH$6:$BS$29,MATCH($A12,'18 KMP- Tháng'!$A$6:$A$29,0),MATCH(BB$7,'18 KMP- Tháng'!$BH$2:$BS$2,0))</f>
        <v>775.63066909090912</v>
      </c>
      <c r="BC12" s="484">
        <f>INDEX('18 KMP- Tháng'!$BH$6:$BS$29,MATCH($A12,'18 KMP- Tháng'!$A$6:$A$29,0),MATCH(BC$7,'18 KMP- Tháng'!$BH$2:$BS$2,0))</f>
        <v>753.34236909090919</v>
      </c>
      <c r="BD12" s="818">
        <f>INDEX('18 KMP- Tháng'!$BH$6:$BS$29,MATCH($A12,'18 KMP- Tháng'!$A$6:$A$29,0),MATCH(BD$7,'18 KMP- Tháng'!$BH$2:$BS$2,0))</f>
        <v>734.20356909090924</v>
      </c>
      <c r="BE12" s="821">
        <f t="shared" si="4"/>
        <v>746.58082742424256</v>
      </c>
      <c r="BF12" s="820">
        <f>INDEX('18 KMP- Tháng'!$AS$6:$BD$29,MATCH($A12,'18 KMP- Tháng'!$A$6:$A$29,0),MATCH(BF$7,'18 KMP- Tháng'!$AS$2:$BD$2,0))</f>
        <v>1629.3042500000001</v>
      </c>
      <c r="BG12" s="484">
        <f>INDEX('18 KMP- Tháng'!$AS$6:$BD$29,MATCH($A12,'18 KMP- Tháng'!$A$6:$A$29,0),MATCH(BG$7,'18 KMP- Tháng'!$AS$2:$BD$2,0))</f>
        <v>1183.2379470000001</v>
      </c>
      <c r="BH12" s="484">
        <f>INDEX('18 KMP- Tháng'!$AS$6:$BD$29,MATCH($A12,'18 KMP- Tháng'!$A$6:$A$29,0),MATCH(BH$7,'18 KMP- Tháng'!$AS$2:$BD$2,0))</f>
        <v>3159.3412949999997</v>
      </c>
      <c r="BI12" s="484">
        <f>INDEX('18 KMP- Tháng'!$AS$6:$BD$29,MATCH($A12,'18 KMP- Tháng'!$A$6:$A$29,0),MATCH(BI$7,'18 KMP- Tháng'!$AS$2:$BD$2,0))</f>
        <v>3019.3291749999999</v>
      </c>
      <c r="BJ12" s="484">
        <f>INDEX('18 KMP- Tháng'!$AS$6:$BD$29,MATCH($A12,'18 KMP- Tháng'!$A$6:$A$29,0),MATCH(BJ$7,'18 KMP- Tháng'!$AS$2:$BD$2,0))</f>
        <v>2769.8496880000002</v>
      </c>
      <c r="BK12" s="484">
        <f>INDEX('18 KMP- Tháng'!$AS$6:$BD$29,MATCH($A12,'18 KMP- Tháng'!$A$6:$A$29,0),MATCH(BK$7,'18 KMP- Tháng'!$AS$2:$BD$2,0))</f>
        <v>0</v>
      </c>
      <c r="BL12" s="484">
        <f>INDEX('18 KMP- Tháng'!$AS$6:$BD$29,MATCH($A12,'18 KMP- Tháng'!$A$6:$A$29,0),MATCH(BL$7,'18 KMP- Tháng'!$AS$2:$BD$2,0))</f>
        <v>0</v>
      </c>
      <c r="BM12" s="484">
        <f>INDEX('18 KMP- Tháng'!$AS$6:$BD$29,MATCH($A12,'18 KMP- Tháng'!$A$6:$A$29,0),MATCH(BM$7,'18 KMP- Tháng'!$AS$2:$BD$2,0))</f>
        <v>0</v>
      </c>
      <c r="BN12" s="484">
        <f>INDEX('18 KMP- Tháng'!$AS$6:$BD$29,MATCH($A12,'18 KMP- Tháng'!$A$6:$A$29,0),MATCH(BN$7,'18 KMP- Tháng'!$AS$2:$BD$2,0))</f>
        <v>0</v>
      </c>
      <c r="BO12" s="484">
        <f>INDEX('18 KMP- Tháng'!$AS$6:$BD$29,MATCH($A12,'18 KMP- Tháng'!$A$6:$A$29,0),MATCH(BO$7,'18 KMP- Tháng'!$AS$2:$BD$2,0))</f>
        <v>0</v>
      </c>
      <c r="BP12" s="484">
        <f>INDEX('18 KMP- Tháng'!$AS$6:$BD$29,MATCH($A12,'18 KMP- Tháng'!$A$6:$A$29,0),MATCH(BP$7,'18 KMP- Tháng'!$AS$2:$BD$2,0))</f>
        <v>0</v>
      </c>
      <c r="BQ12" s="818">
        <f>INDEX('18 KMP- Tháng'!$AS$6:$BD$29,MATCH($A12,'18 KMP- Tháng'!$A$6:$A$29,0),MATCH(BQ$7,'18 KMP- Tháng'!$AS$2:$BD$2,0))</f>
        <v>0</v>
      </c>
      <c r="BR12" s="1380">
        <f t="shared" si="10"/>
        <v>2352.2124709999998</v>
      </c>
      <c r="BS12" s="820">
        <f t="shared" si="11"/>
        <v>11761.062355</v>
      </c>
      <c r="BT12" s="479">
        <f t="shared" si="5"/>
        <v>2.6863467506440171</v>
      </c>
      <c r="BU12" s="485">
        <f t="shared" si="6"/>
        <v>2.2540374627557966E-2</v>
      </c>
      <c r="BV12" s="1553"/>
      <c r="BW12" s="1553"/>
      <c r="BX12" s="1553"/>
      <c r="BY12" s="1554"/>
      <c r="BZ12" s="1554"/>
      <c r="CA12" s="1554"/>
      <c r="CB12" s="1554"/>
      <c r="CC12" s="486"/>
      <c r="CD12" s="454"/>
      <c r="CE12" s="454"/>
      <c r="CF12" s="454"/>
      <c r="CG12" s="454"/>
      <c r="CH12" s="454"/>
      <c r="CI12" s="454"/>
      <c r="CJ12" s="454"/>
      <c r="CK12" s="454"/>
      <c r="CL12" s="454"/>
      <c r="CM12" s="454"/>
      <c r="CN12" s="454"/>
    </row>
    <row r="13" spans="1:92" s="481" customFormat="1">
      <c r="A13" s="469">
        <v>7</v>
      </c>
      <c r="B13" s="482">
        <f t="shared" si="12"/>
        <v>4</v>
      </c>
      <c r="C13" s="483" t="s">
        <v>425</v>
      </c>
      <c r="D13" s="483" t="s">
        <v>431</v>
      </c>
      <c r="E13" s="484">
        <f>INDEX('18 KMP- Tháng'!$E$6:$Q$29,MATCH($A13,'18 KMP- Tháng'!$A$6:$A$29,0),MATCH(E$7,'18 KMP- Tháng'!$E$2:$P$2,0))</f>
        <v>67.509566000000007</v>
      </c>
      <c r="F13" s="484">
        <f>INDEX('18 KMP- Tháng'!$E$6:$Q$29,MATCH($A13,'18 KMP- Tháng'!$A$6:$A$29,0),MATCH(F$7,'18 KMP- Tháng'!$E$2:$P$2,0))</f>
        <v>146.57459200000002</v>
      </c>
      <c r="G13" s="484">
        <f>INDEX('18 KMP- Tháng'!$E$6:$Q$29,MATCH($A13,'18 KMP- Tháng'!$A$6:$A$29,0),MATCH(G$7,'18 KMP- Tháng'!$E$2:$P$2,0))</f>
        <v>512.58851200000004</v>
      </c>
      <c r="H13" s="484">
        <f>INDEX('18 KMP- Tháng'!$E$6:$Q$29,MATCH($A13,'18 KMP- Tháng'!$A$6:$A$29,0),MATCH(H$7,'18 KMP- Tháng'!$E$2:$P$2,0))</f>
        <v>669.23911199999998</v>
      </c>
      <c r="I13" s="484">
        <f>INDEX('18 KMP- Tháng'!$E$6:$Q$29,MATCH($A13,'18 KMP- Tháng'!$A$6:$A$29,0),MATCH(I$7,'18 KMP- Tháng'!$E$2:$P$2,0))</f>
        <v>986.13165299999991</v>
      </c>
      <c r="J13" s="484">
        <f>INDEX('18 KMP- Tháng'!$E$6:$Q$29,MATCH($A13,'18 KMP- Tháng'!$A$6:$A$29,0),MATCH(J$7,'18 KMP- Tháng'!$E$2:$P$2,0))</f>
        <v>456.94687799999997</v>
      </c>
      <c r="K13" s="487">
        <f>INDEX('18 KMP- Tháng'!$E$6:$Q$29,MATCH($A13,'18 KMP- Tháng'!$A$6:$A$29,0),MATCH(K$7,'18 KMP- Tháng'!$E$2:$P$2,0))</f>
        <v>1054.6790510000001</v>
      </c>
      <c r="L13" s="484">
        <f>INDEX('18 KMP- Tháng'!$E$6:$Q$29,MATCH($A13,'18 KMP- Tháng'!$A$6:$A$29,0),MATCH(L$7,'18 KMP- Tháng'!$E$2:$P$2,0))</f>
        <v>1179.6289380000001</v>
      </c>
      <c r="M13" s="484">
        <f>INDEX('18 KMP- Tháng'!$E$6:$Q$29,MATCH($A13,'18 KMP- Tháng'!$A$6:$A$29,0),MATCH(M$7,'18 KMP- Tháng'!$E$2:$P$2,0))</f>
        <v>1152.5309690000001</v>
      </c>
      <c r="N13" s="484">
        <f>INDEX('18 KMP- Tháng'!$E$6:$Q$29,MATCH($A13,'18 KMP- Tháng'!$A$6:$A$29,0),MATCH(N$7,'18 KMP- Tháng'!$E$2:$P$2,0))</f>
        <v>1779.200458</v>
      </c>
      <c r="O13" s="484">
        <f>INDEX('18 KMP- Tháng'!$E$6:$Q$29,MATCH($A13,'18 KMP- Tháng'!$A$6:$A$29,0),MATCH(O$7,'18 KMP- Tháng'!$E$2:$P$2,0))</f>
        <v>1553.5872850000001</v>
      </c>
      <c r="P13" s="818">
        <f>INDEX('18 KMP- Tháng'!$E$6:$Q$29,MATCH($A13,'18 KMP- Tháng'!$A$6:$A$29,0),MATCH(P$7,'18 KMP- Tháng'!$E$2:$P$2,0))</f>
        <v>2043.1246169175902</v>
      </c>
      <c r="Q13" s="821">
        <f t="shared" si="3"/>
        <v>966.81180257646599</v>
      </c>
      <c r="R13" s="484">
        <f>INDEX('18 KMP- Tháng'!$R$6:$AC$24,MATCH($A13,'18 KMP- Tháng'!$A$6:$A$24,0),MATCH(R$7,'18 KMP- Tháng'!$R$2:$AC$2,0))</f>
        <v>1729.6174993199998</v>
      </c>
      <c r="S13" s="484">
        <f>INDEX('18 KMP- Tháng'!$R$6:$AC$24,MATCH($A13,'18 KMP- Tháng'!$A$6:$A$24,0),MATCH(S$7,'18 KMP- Tháng'!$R$2:$AC$2,0))</f>
        <v>1517.450685</v>
      </c>
      <c r="T13" s="484">
        <f>INDEX('18 KMP- Tháng'!$R$6:$AC$24,MATCH($A13,'18 KMP- Tháng'!$A$6:$A$24,0),MATCH(T$7,'18 KMP- Tháng'!$R$2:$AC$2,0))</f>
        <v>1767.7928019999999</v>
      </c>
      <c r="U13" s="484">
        <f>INDEX('18 KMP- Tháng'!$R$6:$AC$24,MATCH($A13,'18 KMP- Tháng'!$A$6:$A$24,0),MATCH(U$7,'18 KMP- Tháng'!$R$2:$AC$2,0))</f>
        <v>1045.8530069999999</v>
      </c>
      <c r="V13" s="484">
        <f>INDEX('18 KMP- Tháng'!$R$6:$AC$24,MATCH($A13,'18 KMP- Tháng'!$A$6:$A$24,0),MATCH(V$7,'18 KMP- Tháng'!$R$2:$AC$2,0))</f>
        <v>972.024225</v>
      </c>
      <c r="W13" s="484">
        <f>INDEX('18 KMP- Tháng'!$R$6:$AC$24,MATCH($A13,'18 KMP- Tháng'!$A$6:$A$24,0),MATCH(W$7,'18 KMP- Tháng'!$R$2:$AC$2,0))</f>
        <v>591.19552299999998</v>
      </c>
      <c r="X13" s="487">
        <f>INDEX('18 KMP- Tháng'!$R$6:$AC$24,MATCH($A13,'18 KMP- Tháng'!$A$6:$A$24,0),MATCH(X$7,'18 KMP- Tháng'!$R$2:$AC$2,0))</f>
        <v>1077.291879250055</v>
      </c>
      <c r="Y13" s="484">
        <f>INDEX('18 KMP- Tháng'!$R$6:$AC$24,MATCH($A13,'18 KMP- Tháng'!$A$6:$A$24,0),MATCH(Y$7,'18 KMP- Tháng'!$R$2:$AC$2,0))</f>
        <v>549.30051674994502</v>
      </c>
      <c r="Z13" s="484">
        <f>INDEX('18 KMP- Tháng'!$R$6:$AC$24,MATCH($A13,'18 KMP- Tháng'!$A$6:$A$24,0),MATCH(Z$7,'18 KMP- Tháng'!$R$2:$AC$2,0))</f>
        <v>1071.8952039999999</v>
      </c>
      <c r="AA13" s="484">
        <f>INDEX('18 KMP- Tháng'!$R$6:$AC$24,MATCH($A13,'18 KMP- Tháng'!$A$6:$A$24,0),MATCH(AA$7,'18 KMP- Tháng'!$R$2:$AC$2,0))</f>
        <v>1893.504713</v>
      </c>
      <c r="AB13" s="484">
        <f>INDEX('18 KMP- Tháng'!$R$6:$AC$24,MATCH($A13,'18 KMP- Tháng'!$A$6:$A$24,0),MATCH(AB$7,'18 KMP- Tháng'!$R$2:$AC$2,0))</f>
        <v>1720.675248</v>
      </c>
      <c r="AC13" s="818">
        <f>INDEX('18 KMP- Tháng'!$R$6:$AC$24,MATCH($A13,'18 KMP- Tháng'!$A$6:$A$24,0),MATCH(AC$7,'18 KMP- Tháng'!$R$2:$AC$2,0))</f>
        <v>321.65228200000001</v>
      </c>
      <c r="AD13" s="821">
        <f t="shared" si="7"/>
        <v>1188.1877986933332</v>
      </c>
      <c r="AE13" s="820">
        <f>INDEX('18 KMP- Tháng'!$AF$6:$AQ$29,MATCH($A13,'18 KMP- Tháng'!$A$6:$A$29,0),MATCH(AE$7,'18 KMP- Tháng'!$AF$2:$AQ$2,0))</f>
        <v>333.00160199999999</v>
      </c>
      <c r="AF13" s="484">
        <f>INDEX('18 KMP- Tháng'!$AF$6:$AQ$29,MATCH($A13,'18 KMP- Tháng'!$A$6:$A$29,0),MATCH(AF$7,'18 KMP- Tháng'!$AF$2:$AQ$2,0))</f>
        <v>880.94690900000001</v>
      </c>
      <c r="AG13" s="484">
        <f>INDEX('18 KMP- Tháng'!$AF$6:$AQ$29,MATCH($A13,'18 KMP- Tháng'!$A$6:$A$29,0),MATCH(AG$7,'18 KMP- Tháng'!$AF$2:$AQ$2,0))</f>
        <v>1570.44211</v>
      </c>
      <c r="AH13" s="484">
        <f>INDEX('18 KMP- Tháng'!$AF$6:$AQ$29,MATCH($A13,'18 KMP- Tháng'!$A$6:$A$29,0),MATCH(AH$7,'18 KMP- Tháng'!$AF$2:$AQ$2,0))</f>
        <v>1637.622398</v>
      </c>
      <c r="AI13" s="484">
        <f>INDEX('18 KMP- Tháng'!$AF$6:$AQ$29,MATCH($A13,'18 KMP- Tháng'!$A$6:$A$29,0),MATCH(AI$7,'18 KMP- Tháng'!$AF$2:$AQ$2,0))</f>
        <v>1960.972215</v>
      </c>
      <c r="AJ13" s="484">
        <f>INDEX('18 KMP- Tháng'!$AF$6:$AQ$29,MATCH($A13,'18 KMP- Tháng'!$A$6:$A$29,0),MATCH(AJ$7,'18 KMP- Tháng'!$AF$2:$AQ$2,0))</f>
        <v>1965.8736960000001</v>
      </c>
      <c r="AK13" s="484">
        <f>INDEX('18 KMP- Tháng'!$AF$6:$AQ$29,MATCH($A13,'18 KMP- Tháng'!$A$6:$A$29,0),MATCH(AK$7,'18 KMP- Tháng'!$AF$2:$AQ$2,0))</f>
        <v>2547.1120740000001</v>
      </c>
      <c r="AL13" s="484">
        <f>INDEX('18 KMP- Tháng'!$AF$6:$AQ$29,MATCH($A13,'18 KMP- Tháng'!$A$6:$A$29,0),MATCH(AL$7,'18 KMP- Tháng'!$AF$2:$AQ$2,0))</f>
        <v>2288.513414</v>
      </c>
      <c r="AM13" s="484">
        <f>INDEX('18 KMP- Tháng'!$AF$6:$AQ$29,MATCH($A13,'18 KMP- Tháng'!$A$6:$A$29,0),MATCH(AM$7,'18 KMP- Tháng'!$AF$2:$AQ$2,0))</f>
        <v>1962.463364</v>
      </c>
      <c r="AN13" s="484">
        <f>INDEX('18 KMP- Tháng'!$AF$6:$AQ$29,MATCH($A13,'18 KMP- Tháng'!$A$6:$A$29,0),MATCH(AN$7,'18 KMP- Tháng'!$AF$2:$AQ$2,0))</f>
        <v>621.36740599999996</v>
      </c>
      <c r="AO13" s="484">
        <f>INDEX('18 KMP- Tháng'!$AF$6:$AQ$29,MATCH($A13,'18 KMP- Tháng'!$A$6:$A$29,0),MATCH(AO$7,'18 KMP- Tháng'!$AF$2:$AQ$2,0))</f>
        <v>578.64556600000003</v>
      </c>
      <c r="AP13" s="818">
        <f>INDEX('18 KMP- Tháng'!$AF$6:$AQ$29,MATCH($A13,'18 KMP- Tháng'!$A$6:$A$29,0),MATCH(AP$7,'18 KMP- Tháng'!$AF$2:$AQ$2,0))</f>
        <v>1143.2730710000001</v>
      </c>
      <c r="AQ13" s="1380">
        <f t="shared" si="8"/>
        <v>1457.5194854166666</v>
      </c>
      <c r="AR13" s="820">
        <f t="shared" si="9"/>
        <v>17490.233824999999</v>
      </c>
      <c r="AS13" s="820">
        <f>INDEX('18 KMP- Tháng'!$BH$6:$BS$29,MATCH($A13,'18 KMP- Tháng'!$A$6:$A$29,0),MATCH(AS$7,'18 KMP- Tháng'!$BH$2:$BS$2,0))</f>
        <v>1261.1159216334902</v>
      </c>
      <c r="AT13" s="484">
        <f>INDEX('18 KMP- Tháng'!$BH$6:$BS$29,MATCH($A13,'18 KMP- Tháng'!$A$6:$A$29,0),MATCH(AT$7,'18 KMP- Tháng'!$BH$2:$BS$2,0))</f>
        <v>1061.7856150241835</v>
      </c>
      <c r="AU13" s="484">
        <f>INDEX('18 KMP- Tháng'!$BH$6:$BS$29,MATCH($A13,'18 KMP- Tháng'!$A$6:$A$29,0),MATCH(AU$7,'18 KMP- Tháng'!$BH$2:$BS$2,0))</f>
        <v>1335.6927381118819</v>
      </c>
      <c r="AV13" s="484">
        <f>INDEX('18 KMP- Tháng'!$BH$6:$BS$29,MATCH($A13,'18 KMP- Tháng'!$A$6:$A$29,0),MATCH(AV$7,'18 KMP- Tháng'!$BH$2:$BS$2,0))</f>
        <v>1335.6927381118819</v>
      </c>
      <c r="AW13" s="484">
        <f>INDEX('18 KMP- Tháng'!$BH$6:$BS$29,MATCH($A13,'18 KMP- Tháng'!$A$6:$A$29,0),MATCH(AW$7,'18 KMP- Tháng'!$BH$2:$BS$2,0))</f>
        <v>1335.6927381118819</v>
      </c>
      <c r="AX13" s="484">
        <f>INDEX('18 KMP- Tháng'!$BH$6:$BS$29,MATCH($A13,'18 KMP- Tháng'!$A$6:$A$29,0),MATCH(AX$7,'18 KMP- Tháng'!$BH$2:$BS$2,0))</f>
        <v>1367.5559174597081</v>
      </c>
      <c r="AY13" s="484">
        <f>INDEX('18 KMP- Tháng'!$BH$6:$BS$29,MATCH($A13,'18 KMP- Tháng'!$A$6:$A$29,0),MATCH(AY$7,'18 KMP- Tháng'!$BH$2:$BS$2,0))</f>
        <v>1380.1000858728389</v>
      </c>
      <c r="AZ13" s="484">
        <f>INDEX('18 KMP- Tháng'!$BH$6:$BS$29,MATCH($A13,'18 KMP- Tháng'!$A$6:$A$29,0),MATCH(AZ$7,'18 KMP- Tháng'!$BH$2:$BS$2,0))</f>
        <v>1411.9632652206651</v>
      </c>
      <c r="BA13" s="484">
        <f>INDEX('18 KMP- Tháng'!$BH$6:$BS$29,MATCH($A13,'18 KMP- Tháng'!$A$6:$A$29,0),MATCH(BA$7,'18 KMP- Tháng'!$BH$2:$BS$2,0))</f>
        <v>1380.1000858728389</v>
      </c>
      <c r="BB13" s="484">
        <f>INDEX('18 KMP- Tháng'!$BH$6:$BS$29,MATCH($A13,'18 KMP- Tháng'!$A$6:$A$29,0),MATCH(BB$7,'18 KMP- Tháng'!$BH$2:$BS$2,0))</f>
        <v>1411.9632652206651</v>
      </c>
      <c r="BC13" s="484">
        <f>INDEX('18 KMP- Tháng'!$BH$6:$BS$29,MATCH($A13,'18 KMP- Tháng'!$A$6:$A$29,0),MATCH(BC$7,'18 KMP- Tháng'!$BH$2:$BS$2,0))</f>
        <v>1380.1000858728389</v>
      </c>
      <c r="BD13" s="818">
        <f>INDEX('18 KMP- Tháng'!$BH$6:$BS$29,MATCH($A13,'18 KMP- Tháng'!$A$6:$A$29,0),MATCH(BD$7,'18 KMP- Tháng'!$BH$2:$BS$2,0))</f>
        <v>1411.9632652206651</v>
      </c>
      <c r="BE13" s="821">
        <f t="shared" si="4"/>
        <v>1339.4771434777952</v>
      </c>
      <c r="BF13" s="820">
        <f>INDEX('18 KMP- Tháng'!$AS$6:$BD$29,MATCH($A13,'18 KMP- Tháng'!$A$6:$A$29,0),MATCH(BF$7,'18 KMP- Tháng'!$AS$2:$BD$2,0))</f>
        <v>891.17733899999996</v>
      </c>
      <c r="BG13" s="484">
        <f>INDEX('18 KMP- Tháng'!$AS$6:$BD$29,MATCH($A13,'18 KMP- Tháng'!$A$6:$A$29,0),MATCH(BG$7,'18 KMP- Tháng'!$AS$2:$BD$2,0))</f>
        <v>288.56129600000003</v>
      </c>
      <c r="BH13" s="484">
        <f>INDEX('18 KMP- Tháng'!$AS$6:$BD$29,MATCH($A13,'18 KMP- Tháng'!$A$6:$A$29,0),MATCH(BH$7,'18 KMP- Tháng'!$AS$2:$BD$2,0))</f>
        <v>1763.335605</v>
      </c>
      <c r="BI13" s="484">
        <f>INDEX('18 KMP- Tháng'!$AS$6:$BD$29,MATCH($A13,'18 KMP- Tháng'!$A$6:$A$29,0),MATCH(BI$7,'18 KMP- Tháng'!$AS$2:$BD$2,0))</f>
        <v>1386.5963529999999</v>
      </c>
      <c r="BJ13" s="484">
        <f>INDEX('18 KMP- Tháng'!$AS$6:$BD$29,MATCH($A13,'18 KMP- Tháng'!$A$6:$A$29,0),MATCH(BJ$7,'18 KMP- Tháng'!$AS$2:$BD$2,0))</f>
        <v>1815.041453</v>
      </c>
      <c r="BK13" s="484">
        <f>INDEX('18 KMP- Tháng'!$AS$6:$BD$29,MATCH($A13,'18 KMP- Tháng'!$A$6:$A$29,0),MATCH(BK$7,'18 KMP- Tháng'!$AS$2:$BD$2,0))</f>
        <v>0</v>
      </c>
      <c r="BL13" s="484">
        <f>INDEX('18 KMP- Tháng'!$AS$6:$BD$29,MATCH($A13,'18 KMP- Tháng'!$A$6:$A$29,0),MATCH(BL$7,'18 KMP- Tháng'!$AS$2:$BD$2,0))</f>
        <v>0</v>
      </c>
      <c r="BM13" s="484">
        <f>INDEX('18 KMP- Tháng'!$AS$6:$BD$29,MATCH($A13,'18 KMP- Tháng'!$A$6:$A$29,0),MATCH(BM$7,'18 KMP- Tháng'!$AS$2:$BD$2,0))</f>
        <v>0</v>
      </c>
      <c r="BN13" s="484">
        <f>INDEX('18 KMP- Tháng'!$AS$6:$BD$29,MATCH($A13,'18 KMP- Tháng'!$A$6:$A$29,0),MATCH(BN$7,'18 KMP- Tháng'!$AS$2:$BD$2,0))</f>
        <v>0</v>
      </c>
      <c r="BO13" s="484">
        <f>INDEX('18 KMP- Tháng'!$AS$6:$BD$29,MATCH($A13,'18 KMP- Tháng'!$A$6:$A$29,0),MATCH(BO$7,'18 KMP- Tháng'!$AS$2:$BD$2,0))</f>
        <v>0</v>
      </c>
      <c r="BP13" s="484">
        <f>INDEX('18 KMP- Tháng'!$AS$6:$BD$29,MATCH($A13,'18 KMP- Tháng'!$A$6:$A$29,0),MATCH(BP$7,'18 KMP- Tháng'!$AS$2:$BD$2,0))</f>
        <v>0</v>
      </c>
      <c r="BQ13" s="818">
        <f>INDEX('18 KMP- Tháng'!$AS$6:$BD$29,MATCH($A13,'18 KMP- Tháng'!$A$6:$A$29,0),MATCH(BQ$7,'18 KMP- Tháng'!$AS$2:$BD$2,0))</f>
        <v>0</v>
      </c>
      <c r="BR13" s="1380">
        <f>SUM(BF13:BQ13)/COUNTIFS($BF$29:$BQ$29,"&lt;&gt;"&amp;0)</f>
        <v>1228.9424091999999</v>
      </c>
      <c r="BS13" s="820">
        <f t="shared" si="11"/>
        <v>6144.7120459999996</v>
      </c>
      <c r="BT13" s="479">
        <f t="shared" si="5"/>
        <v>0.35887648499588254</v>
      </c>
      <c r="BU13" s="485">
        <f t="shared" si="6"/>
        <v>1.1776496656054689E-2</v>
      </c>
      <c r="BV13" s="1546"/>
      <c r="BW13" s="1546"/>
      <c r="BX13" s="1546"/>
      <c r="BY13" s="1546"/>
      <c r="BZ13" s="1546"/>
      <c r="CA13" s="1546"/>
      <c r="CB13" s="1546"/>
      <c r="CD13" s="454"/>
      <c r="CE13" s="454"/>
      <c r="CF13" s="454"/>
      <c r="CG13" s="454"/>
      <c r="CH13" s="454"/>
      <c r="CI13" s="454"/>
      <c r="CJ13" s="454"/>
      <c r="CK13" s="454"/>
      <c r="CL13" s="454"/>
      <c r="CM13" s="454"/>
      <c r="CN13" s="454"/>
    </row>
    <row r="14" spans="1:92" s="481" customFormat="1" ht="16.399999999999999" customHeight="1">
      <c r="A14" s="469">
        <v>8</v>
      </c>
      <c r="B14" s="482">
        <f t="shared" si="12"/>
        <v>5</v>
      </c>
      <c r="C14" s="483" t="s">
        <v>425</v>
      </c>
      <c r="D14" s="483" t="s">
        <v>433</v>
      </c>
      <c r="E14" s="484">
        <f>INDEX('18 KMP- Tháng'!$E$6:$Q$29,MATCH($A14,'18 KMP- Tháng'!$A$6:$A$29,0),MATCH(E$7,'18 KMP- Tháng'!$E$2:$P$2,0))</f>
        <v>506.18997171428572</v>
      </c>
      <c r="F14" s="484">
        <f>INDEX('18 KMP- Tháng'!$E$6:$Q$29,MATCH($A14,'18 KMP- Tháng'!$A$6:$A$29,0),MATCH(F$7,'18 KMP- Tháng'!$E$2:$P$2,0))</f>
        <v>672.82795971428573</v>
      </c>
      <c r="G14" s="484">
        <f>INDEX('18 KMP- Tháng'!$E$6:$Q$29,MATCH($A14,'18 KMP- Tháng'!$A$6:$A$29,0),MATCH(G$7,'18 KMP- Tháng'!$E$2:$P$2,0))</f>
        <v>560.09279471428579</v>
      </c>
      <c r="H14" s="484">
        <f>INDEX('18 KMP- Tháng'!$E$6:$Q$29,MATCH($A14,'18 KMP- Tháng'!$A$6:$A$29,0),MATCH(H$7,'18 KMP- Tháng'!$E$2:$P$2,0))</f>
        <v>560.44612071428571</v>
      </c>
      <c r="I14" s="484">
        <f>INDEX('18 KMP- Tháng'!$E$6:$Q$29,MATCH($A14,'18 KMP- Tháng'!$A$6:$A$29,0),MATCH(I$7,'18 KMP- Tháng'!$E$2:$P$2,0))</f>
        <v>799.14080971428575</v>
      </c>
      <c r="J14" s="484">
        <f>INDEX('18 KMP- Tháng'!$E$6:$Q$29,MATCH($A14,'18 KMP- Tháng'!$A$6:$A$29,0),MATCH(J$7,'18 KMP- Tháng'!$E$2:$P$2,0))</f>
        <v>873.28510571428558</v>
      </c>
      <c r="K14" s="484">
        <f>INDEX('18 KMP- Tháng'!$E$6:$Q$29,MATCH($A14,'18 KMP- Tháng'!$A$6:$A$29,0),MATCH(K$7,'18 KMP- Tháng'!$E$2:$P$2,0))</f>
        <v>761.8325617142857</v>
      </c>
      <c r="L14" s="484">
        <f>INDEX('18 KMP- Tháng'!$E$6:$Q$29,MATCH($A14,'18 KMP- Tháng'!$A$6:$A$29,0),MATCH(L$7,'18 KMP- Tháng'!$E$2:$P$2,0))</f>
        <v>645.47633700000006</v>
      </c>
      <c r="M14" s="484">
        <f>INDEX('18 KMP- Tháng'!$E$6:$Q$29,MATCH($A14,'18 KMP- Tháng'!$A$6:$A$29,0),MATCH(M$7,'18 KMP- Tháng'!$E$2:$P$2,0))</f>
        <v>350.176649</v>
      </c>
      <c r="N14" s="484">
        <f>INDEX('18 KMP- Tháng'!$E$6:$Q$29,MATCH($A14,'18 KMP- Tháng'!$A$6:$A$29,0),MATCH(N$7,'18 KMP- Tháng'!$E$2:$P$2,0))</f>
        <v>630.18526300000008</v>
      </c>
      <c r="O14" s="484">
        <f>INDEX('18 KMP- Tháng'!$E$6:$Q$29,MATCH($A14,'18 KMP- Tháng'!$A$6:$A$29,0),MATCH(O$7,'18 KMP- Tháng'!$E$2:$P$2,0))</f>
        <v>343.90646400000003</v>
      </c>
      <c r="P14" s="818">
        <f>INDEX('18 KMP- Tháng'!$E$6:$Q$29,MATCH($A14,'18 KMP- Tháng'!$A$6:$A$29,0),MATCH(P$7,'18 KMP- Tháng'!$E$2:$P$2,0))</f>
        <v>659.73066800000004</v>
      </c>
      <c r="Q14" s="821">
        <f t="shared" si="3"/>
        <v>613.60755875000007</v>
      </c>
      <c r="R14" s="484">
        <f>INDEX('18 KMP- Tháng'!$R$6:$AC$24,MATCH($A14,'18 KMP- Tháng'!$A$6:$A$24,0),MATCH(R$7,'18 KMP- Tháng'!$R$2:$AC$2,0))</f>
        <v>1049.5836839999999</v>
      </c>
      <c r="S14" s="484">
        <f>INDEX('18 KMP- Tháng'!$R$6:$AC$24,MATCH($A14,'18 KMP- Tháng'!$A$6:$A$24,0),MATCH(S$7,'18 KMP- Tháng'!$R$2:$AC$2,0))</f>
        <v>509.616218</v>
      </c>
      <c r="T14" s="484">
        <f>INDEX('18 KMP- Tháng'!$R$6:$AC$24,MATCH($A14,'18 KMP- Tháng'!$A$6:$A$24,0),MATCH(T$7,'18 KMP- Tháng'!$R$2:$AC$2,0))</f>
        <v>853.83649100000014</v>
      </c>
      <c r="U14" s="484">
        <f>INDEX('18 KMP- Tháng'!$R$6:$AC$24,MATCH($A14,'18 KMP- Tháng'!$A$6:$A$24,0),MATCH(U$7,'18 KMP- Tháng'!$R$2:$AC$2,0))</f>
        <v>1335.8144870000001</v>
      </c>
      <c r="V14" s="484">
        <f>INDEX('18 KMP- Tháng'!$R$6:$AC$24,MATCH($A14,'18 KMP- Tháng'!$A$6:$A$24,0),MATCH(V$7,'18 KMP- Tháng'!$R$2:$AC$2,0))</f>
        <v>966.32636600000001</v>
      </c>
      <c r="W14" s="484">
        <f>INDEX('18 KMP- Tháng'!$R$6:$AC$24,MATCH($A14,'18 KMP- Tháng'!$A$6:$A$24,0),MATCH(W$7,'18 KMP- Tháng'!$R$2:$AC$2,0))</f>
        <v>912.85520700000006</v>
      </c>
      <c r="X14" s="484">
        <f>INDEX('18 KMP- Tháng'!$R$6:$AC$24,MATCH($A14,'18 KMP- Tháng'!$A$6:$A$24,0),MATCH(X$7,'18 KMP- Tháng'!$R$2:$AC$2,0))</f>
        <v>520.75816499999996</v>
      </c>
      <c r="Y14" s="484">
        <f>INDEX('18 KMP- Tháng'!$R$6:$AC$24,MATCH($A14,'18 KMP- Tháng'!$A$6:$A$24,0),MATCH(Y$7,'18 KMP- Tháng'!$R$2:$AC$2,0))</f>
        <v>564.89229</v>
      </c>
      <c r="Z14" s="484">
        <f>INDEX('18 KMP- Tháng'!$R$6:$AC$24,MATCH($A14,'18 KMP- Tháng'!$A$6:$A$24,0),MATCH(Z$7,'18 KMP- Tháng'!$R$2:$AC$2,0))</f>
        <v>595.12693999999999</v>
      </c>
      <c r="AA14" s="484">
        <f>INDEX('18 KMP- Tháng'!$R$6:$AC$24,MATCH($A14,'18 KMP- Tháng'!$A$6:$A$24,0),MATCH(AA$7,'18 KMP- Tháng'!$R$2:$AC$2,0))</f>
        <v>617.46688100000006</v>
      </c>
      <c r="AB14" s="484">
        <f>INDEX('18 KMP- Tháng'!$R$6:$AC$24,MATCH($A14,'18 KMP- Tháng'!$A$6:$A$24,0),MATCH(AB$7,'18 KMP- Tháng'!$R$2:$AC$2,0))</f>
        <v>391.55066700000009</v>
      </c>
      <c r="AC14" s="818">
        <f>INDEX('18 KMP- Tháng'!$R$6:$AC$24,MATCH($A14,'18 KMP- Tháng'!$A$6:$A$24,0),MATCH(AC$7,'18 KMP- Tháng'!$R$2:$AC$2,0))</f>
        <v>712.96486799999991</v>
      </c>
      <c r="AD14" s="821">
        <f t="shared" si="7"/>
        <v>752.56602199999998</v>
      </c>
      <c r="AE14" s="820">
        <f>INDEX('18 KMP- Tháng'!$AF$6:$AQ$29,MATCH($A14,'18 KMP- Tháng'!$A$6:$A$29,0),MATCH(AE$7,'18 KMP- Tháng'!$AF$2:$AQ$2,0))</f>
        <v>651.92658599999993</v>
      </c>
      <c r="AF14" s="484">
        <f>INDEX('18 KMP- Tháng'!$AF$6:$AQ$29,MATCH($A14,'18 KMP- Tháng'!$A$6:$A$29,0),MATCH(AF$7,'18 KMP- Tháng'!$AF$2:$AQ$2,0))</f>
        <v>650.03934099999992</v>
      </c>
      <c r="AG14" s="484">
        <f>INDEX('18 KMP- Tháng'!$AF$6:$AQ$29,MATCH($A14,'18 KMP- Tháng'!$A$6:$A$29,0),MATCH(AG$7,'18 KMP- Tháng'!$AF$2:$AQ$2,0))</f>
        <v>690.69229599999994</v>
      </c>
      <c r="AH14" s="484">
        <f>INDEX('18 KMP- Tháng'!$AF$6:$AQ$29,MATCH($A14,'18 KMP- Tháng'!$A$6:$A$29,0),MATCH(AH$7,'18 KMP- Tháng'!$AF$2:$AQ$2,0))</f>
        <v>1001.1216220000001</v>
      </c>
      <c r="AI14" s="484">
        <f>INDEX('18 KMP- Tháng'!$AF$6:$AQ$29,MATCH($A14,'18 KMP- Tháng'!$A$6:$A$29,0),MATCH(AI$7,'18 KMP- Tháng'!$AF$2:$AQ$2,0))</f>
        <v>741.13178800000003</v>
      </c>
      <c r="AJ14" s="484">
        <f>INDEX('18 KMP- Tháng'!$AF$6:$AQ$29,MATCH($A14,'18 KMP- Tháng'!$A$6:$A$29,0),MATCH(AJ$7,'18 KMP- Tháng'!$AF$2:$AQ$2,0))</f>
        <v>729.99674899999991</v>
      </c>
      <c r="AK14" s="484">
        <f>INDEX('18 KMP- Tháng'!$AF$6:$AQ$29,MATCH($A14,'18 KMP- Tháng'!$A$6:$A$29,0),MATCH(AK$7,'18 KMP- Tháng'!$AF$2:$AQ$2,0))</f>
        <v>740.56924600000002</v>
      </c>
      <c r="AL14" s="484">
        <f>INDEX('18 KMP- Tháng'!$AF$6:$AQ$29,MATCH($A14,'18 KMP- Tháng'!$A$6:$A$29,0),MATCH(AL$7,'18 KMP- Tháng'!$AF$2:$AQ$2,0))</f>
        <v>843.21874899999989</v>
      </c>
      <c r="AM14" s="484">
        <f>INDEX('18 KMP- Tháng'!$AF$6:$AQ$29,MATCH($A14,'18 KMP- Tháng'!$A$6:$A$29,0),MATCH(AM$7,'18 KMP- Tháng'!$AF$2:$AQ$2,0))</f>
        <v>835.662372</v>
      </c>
      <c r="AN14" s="484">
        <f>INDEX('18 KMP- Tháng'!$AF$6:$AQ$29,MATCH($A14,'18 KMP- Tháng'!$A$6:$A$29,0),MATCH(AN$7,'18 KMP- Tháng'!$AF$2:$AQ$2,0))</f>
        <v>583.21540899999991</v>
      </c>
      <c r="AO14" s="484">
        <f>INDEX('18 KMP- Tháng'!$AF$6:$AQ$29,MATCH($A14,'18 KMP- Tháng'!$A$6:$A$29,0),MATCH(AO$7,'18 KMP- Tháng'!$AF$2:$AQ$2,0))</f>
        <v>697.80455400000005</v>
      </c>
      <c r="AP14" s="818">
        <f>INDEX('18 KMP- Tháng'!$AF$6:$AQ$29,MATCH($A14,'18 KMP- Tháng'!$A$6:$A$29,0),MATCH(AP$7,'18 KMP- Tháng'!$AF$2:$AQ$2,0))</f>
        <v>701.65235099999995</v>
      </c>
      <c r="AQ14" s="1380">
        <f t="shared" si="8"/>
        <v>738.91925524999999</v>
      </c>
      <c r="AR14" s="820">
        <f t="shared" si="9"/>
        <v>8867.0310630000004</v>
      </c>
      <c r="AS14" s="820">
        <f>INDEX('18 KMP- Tháng'!$BH$6:$BS$29,MATCH($A14,'18 KMP- Tháng'!$A$6:$A$29,0),MATCH(AS$7,'18 KMP- Tháng'!$BH$2:$BS$2,0))</f>
        <v>853.34915904919683</v>
      </c>
      <c r="AT14" s="484">
        <f>INDEX('18 KMP- Tháng'!$BH$6:$BS$29,MATCH($A14,'18 KMP- Tháng'!$A$6:$A$29,0),MATCH(AT$7,'18 KMP- Tháng'!$BH$2:$BS$2,0))</f>
        <v>844.22219137886339</v>
      </c>
      <c r="AU14" s="484">
        <f>INDEX('18 KMP- Tháng'!$BH$6:$BS$29,MATCH($A14,'18 KMP- Tháng'!$A$6:$A$29,0),MATCH(AU$7,'18 KMP- Tháng'!$BH$2:$BS$2,0))</f>
        <v>912.84713600910391</v>
      </c>
      <c r="AV14" s="484">
        <f>INDEX('18 KMP- Tháng'!$BH$6:$BS$29,MATCH($A14,'18 KMP- Tháng'!$A$6:$A$29,0),MATCH(AV$7,'18 KMP- Tháng'!$BH$2:$BS$2,0))</f>
        <v>908.12146033958811</v>
      </c>
      <c r="AW14" s="484">
        <f>INDEX('18 KMP- Tháng'!$BH$6:$BS$29,MATCH($A14,'18 KMP- Tháng'!$A$6:$A$29,0),MATCH(AW$7,'18 KMP- Tháng'!$BH$2:$BS$2,0))</f>
        <v>892.47321115844761</v>
      </c>
      <c r="AX14" s="484">
        <f>INDEX('18 KMP- Tháng'!$BH$6:$BS$29,MATCH($A14,'18 KMP- Tháng'!$A$6:$A$29,0),MATCH(AX$7,'18 KMP- Tháng'!$BH$2:$BS$2,0))</f>
        <v>920.52322520138603</v>
      </c>
      <c r="AY14" s="484">
        <f>INDEX('18 KMP- Tháng'!$BH$6:$BS$29,MATCH($A14,'18 KMP- Tháng'!$A$6:$A$29,0),MATCH(AY$7,'18 KMP- Tháng'!$BH$2:$BS$2,0))</f>
        <v>907.35152134407076</v>
      </c>
      <c r="AZ14" s="484">
        <f>INDEX('18 KMP- Tháng'!$BH$6:$BS$29,MATCH($A14,'18 KMP- Tháng'!$A$6:$A$29,0),MATCH(AZ$7,'18 KMP- Tháng'!$BH$2:$BS$2,0))</f>
        <v>886.29096087982316</v>
      </c>
      <c r="BA14" s="484">
        <f>INDEX('18 KMP- Tháng'!$BH$6:$BS$29,MATCH($A14,'18 KMP- Tháng'!$A$6:$A$29,0),MATCH(BA$7,'18 KMP- Tháng'!$BH$2:$BS$2,0))</f>
        <v>909.78949122726772</v>
      </c>
      <c r="BB14" s="484">
        <f>INDEX('18 KMP- Tháng'!$BH$6:$BS$29,MATCH($A14,'18 KMP- Tháng'!$A$6:$A$29,0),MATCH(BB$7,'18 KMP- Tháng'!$BH$2:$BS$2,0))</f>
        <v>932.98912161133831</v>
      </c>
      <c r="BC14" s="484">
        <f>INDEX('18 KMP- Tháng'!$BH$6:$BS$29,MATCH($A14,'18 KMP- Tháng'!$A$6:$A$29,0),MATCH(BC$7,'18 KMP- Tháng'!$BH$2:$BS$2,0))</f>
        <v>902.5899625090899</v>
      </c>
      <c r="BD14" s="818">
        <f>INDEX('18 KMP- Tháng'!$BH$6:$BS$29,MATCH($A14,'18 KMP- Tháng'!$A$6:$A$29,0),MATCH(BD$7,'18 KMP- Tháng'!$BH$2:$BS$2,0))</f>
        <v>884.72621214597655</v>
      </c>
      <c r="BE14" s="821">
        <f t="shared" si="4"/>
        <v>896.27280440451261</v>
      </c>
      <c r="BF14" s="820">
        <f>INDEX('18 KMP- Tháng'!$AS$6:$BD$29,MATCH($A14,'18 KMP- Tháng'!$A$6:$A$29,0),MATCH(BF$7,'18 KMP- Tháng'!$AS$2:$BD$2,0))</f>
        <v>723.64311799999996</v>
      </c>
      <c r="BG14" s="484">
        <f>INDEX('18 KMP- Tháng'!$AS$6:$BD$29,MATCH($A14,'18 KMP- Tháng'!$A$6:$A$29,0),MATCH(BG$7,'18 KMP- Tháng'!$AS$2:$BD$2,0))</f>
        <v>385.26513599999998</v>
      </c>
      <c r="BH14" s="484">
        <f>INDEX('18 KMP- Tháng'!$AS$6:$BD$29,MATCH($A14,'18 KMP- Tháng'!$A$6:$A$29,0),MATCH(BH$7,'18 KMP- Tháng'!$AS$2:$BD$2,0))</f>
        <v>813.85053300000015</v>
      </c>
      <c r="BI14" s="484">
        <f>INDEX('18 KMP- Tháng'!$AS$6:$BD$29,MATCH($A14,'18 KMP- Tháng'!$A$6:$A$29,0),MATCH(BI$7,'18 KMP- Tháng'!$AS$2:$BD$2,0))</f>
        <v>873.70922099999984</v>
      </c>
      <c r="BJ14" s="484">
        <f>INDEX('18 KMP- Tháng'!$AS$6:$BD$29,MATCH($A14,'18 KMP- Tháng'!$A$6:$A$29,0),MATCH(BJ$7,'18 KMP- Tháng'!$AS$2:$BD$2,0))</f>
        <v>685.02571699999999</v>
      </c>
      <c r="BK14" s="484">
        <f>INDEX('18 KMP- Tháng'!$AS$6:$BD$29,MATCH($A14,'18 KMP- Tháng'!$A$6:$A$29,0),MATCH(BK$7,'18 KMP- Tháng'!$AS$2:$BD$2,0))</f>
        <v>0</v>
      </c>
      <c r="BL14" s="484">
        <f>INDEX('18 KMP- Tháng'!$AS$6:$BD$29,MATCH($A14,'18 KMP- Tháng'!$A$6:$A$29,0),MATCH(BL$7,'18 KMP- Tháng'!$AS$2:$BD$2,0))</f>
        <v>0</v>
      </c>
      <c r="BM14" s="484">
        <f>INDEX('18 KMP- Tháng'!$AS$6:$BD$29,MATCH($A14,'18 KMP- Tháng'!$A$6:$A$29,0),MATCH(BM$7,'18 KMP- Tháng'!$AS$2:$BD$2,0))</f>
        <v>0</v>
      </c>
      <c r="BN14" s="484">
        <f>INDEX('18 KMP- Tháng'!$AS$6:$BD$29,MATCH($A14,'18 KMP- Tháng'!$A$6:$A$29,0),MATCH(BN$7,'18 KMP- Tháng'!$AS$2:$BD$2,0))</f>
        <v>0</v>
      </c>
      <c r="BO14" s="484">
        <f>INDEX('18 KMP- Tháng'!$AS$6:$BD$29,MATCH($A14,'18 KMP- Tháng'!$A$6:$A$29,0),MATCH(BO$7,'18 KMP- Tháng'!$AS$2:$BD$2,0))</f>
        <v>0</v>
      </c>
      <c r="BP14" s="484">
        <f>INDEX('18 KMP- Tháng'!$AS$6:$BD$29,MATCH($A14,'18 KMP- Tháng'!$A$6:$A$29,0),MATCH(BP$7,'18 KMP- Tháng'!$AS$2:$BD$2,0))</f>
        <v>0</v>
      </c>
      <c r="BQ14" s="818">
        <f>INDEX('18 KMP- Tháng'!$AS$6:$BD$29,MATCH($A14,'18 KMP- Tháng'!$A$6:$A$29,0),MATCH(BQ$7,'18 KMP- Tháng'!$AS$2:$BD$2,0))</f>
        <v>0</v>
      </c>
      <c r="BR14" s="1380">
        <f t="shared" si="10"/>
        <v>696.29874499999994</v>
      </c>
      <c r="BS14" s="820">
        <f t="shared" si="11"/>
        <v>3481.4937249999998</v>
      </c>
      <c r="BT14" s="479">
        <f t="shared" si="5"/>
        <v>-0.2324411439634998</v>
      </c>
      <c r="BU14" s="485">
        <f t="shared" si="6"/>
        <v>6.6723711222932518E-3</v>
      </c>
      <c r="BV14" s="1546"/>
      <c r="BW14" s="1546"/>
      <c r="BX14" s="1546"/>
      <c r="BY14" s="1546"/>
      <c r="BZ14" s="1546"/>
      <c r="CA14" s="1546"/>
      <c r="CB14" s="1546"/>
      <c r="CD14" s="454"/>
      <c r="CE14" s="454"/>
      <c r="CF14" s="454"/>
      <c r="CG14" s="454"/>
      <c r="CH14" s="454"/>
      <c r="CI14" s="454"/>
      <c r="CJ14" s="454"/>
      <c r="CK14" s="454"/>
      <c r="CL14" s="454"/>
      <c r="CM14" s="454"/>
      <c r="CN14" s="454"/>
    </row>
    <row r="15" spans="1:92" s="481" customFormat="1">
      <c r="A15" s="469">
        <v>9</v>
      </c>
      <c r="B15" s="482">
        <f t="shared" si="12"/>
        <v>6</v>
      </c>
      <c r="C15" s="483" t="s">
        <v>425</v>
      </c>
      <c r="D15" s="483" t="s">
        <v>434</v>
      </c>
      <c r="E15" s="484">
        <f>INDEX('18 KMP- Tháng'!$E$6:$Q$29,MATCH($A15,'18 KMP- Tháng'!$A$6:$A$29,0),MATCH(E$7,'18 KMP- Tháng'!$E$2:$P$2,0))</f>
        <v>152.05214899999999</v>
      </c>
      <c r="F15" s="484">
        <f>INDEX('18 KMP- Tháng'!$E$6:$Q$29,MATCH($A15,'18 KMP- Tháng'!$A$6:$A$29,0),MATCH(F$7,'18 KMP- Tháng'!$E$2:$P$2,0))</f>
        <v>295.56509199999999</v>
      </c>
      <c r="G15" s="484">
        <f>INDEX('18 KMP- Tháng'!$E$6:$Q$29,MATCH($A15,'18 KMP- Tháng'!$A$6:$A$29,0),MATCH(G$7,'18 KMP- Tháng'!$E$2:$P$2,0))</f>
        <v>305.73982000000001</v>
      </c>
      <c r="H15" s="484">
        <f>INDEX('18 KMP- Tháng'!$E$6:$Q$29,MATCH($A15,'18 KMP- Tháng'!$A$6:$A$29,0),MATCH(H$7,'18 KMP- Tháng'!$E$2:$P$2,0))</f>
        <v>277.99661799999996</v>
      </c>
      <c r="I15" s="484">
        <f>INDEX('18 KMP- Tháng'!$E$6:$Q$29,MATCH($A15,'18 KMP- Tháng'!$A$6:$A$29,0),MATCH(I$7,'18 KMP- Tháng'!$E$2:$P$2,0))</f>
        <v>375.61647699999997</v>
      </c>
      <c r="J15" s="484">
        <f>INDEX('18 KMP- Tháng'!$E$6:$Q$29,MATCH($A15,'18 KMP- Tháng'!$A$6:$A$29,0),MATCH(J$7,'18 KMP- Tháng'!$E$2:$P$2,0))</f>
        <v>369.88611800000001</v>
      </c>
      <c r="K15" s="484">
        <f>INDEX('18 KMP- Tháng'!$E$6:$Q$29,MATCH($A15,'18 KMP- Tháng'!$A$6:$A$29,0),MATCH(K$7,'18 KMP- Tháng'!$E$2:$P$2,0))</f>
        <v>387.17141699999996</v>
      </c>
      <c r="L15" s="484">
        <f>INDEX('18 KMP- Tháng'!$E$6:$Q$29,MATCH($A15,'18 KMP- Tháng'!$A$6:$A$29,0),MATCH(L$7,'18 KMP- Tháng'!$E$2:$P$2,0))</f>
        <v>391.41397599999993</v>
      </c>
      <c r="M15" s="484">
        <f>INDEX('18 KMP- Tháng'!$E$6:$Q$29,MATCH($A15,'18 KMP- Tháng'!$A$6:$A$29,0),MATCH(M$7,'18 KMP- Tháng'!$E$2:$P$2,0))</f>
        <v>380.972599</v>
      </c>
      <c r="N15" s="484">
        <f>INDEX('18 KMP- Tháng'!$E$6:$Q$29,MATCH($A15,'18 KMP- Tháng'!$A$6:$A$29,0),MATCH(N$7,'18 KMP- Tháng'!$E$2:$P$2,0))</f>
        <v>419.34907600000003</v>
      </c>
      <c r="O15" s="484">
        <f>INDEX('18 KMP- Tháng'!$E$6:$Q$29,MATCH($A15,'18 KMP- Tháng'!$A$6:$A$29,0),MATCH(O$7,'18 KMP- Tháng'!$E$2:$P$2,0))</f>
        <v>320.70876299999998</v>
      </c>
      <c r="P15" s="818">
        <f>INDEX('18 KMP- Tháng'!$E$6:$Q$29,MATCH($A15,'18 KMP- Tháng'!$A$6:$A$29,0),MATCH(P$7,'18 KMP- Tháng'!$E$2:$P$2,0))</f>
        <v>684.97181799999998</v>
      </c>
      <c r="Q15" s="821">
        <f t="shared" si="3"/>
        <v>363.45366024999998</v>
      </c>
      <c r="R15" s="484">
        <f>INDEX('18 KMP- Tháng'!$R$6:$AC$24,MATCH($A15,'18 KMP- Tháng'!$A$6:$A$24,0),MATCH(R$7,'18 KMP- Tháng'!$R$2:$AC$2,0))</f>
        <v>914.03018499999996</v>
      </c>
      <c r="S15" s="484">
        <f>INDEX('18 KMP- Tháng'!$R$6:$AC$24,MATCH($A15,'18 KMP- Tháng'!$A$6:$A$24,0),MATCH(S$7,'18 KMP- Tháng'!$R$2:$AC$2,0))</f>
        <v>427.32569400000011</v>
      </c>
      <c r="T15" s="484">
        <f>INDEX('18 KMP- Tháng'!$R$6:$AC$24,MATCH($A15,'18 KMP- Tháng'!$A$6:$A$24,0),MATCH(T$7,'18 KMP- Tháng'!$R$2:$AC$2,0))</f>
        <v>761.12916300000006</v>
      </c>
      <c r="U15" s="484">
        <f>INDEX('18 KMP- Tháng'!$R$6:$AC$24,MATCH($A15,'18 KMP- Tháng'!$A$6:$A$24,0),MATCH(U$7,'18 KMP- Tháng'!$R$2:$AC$2,0))</f>
        <v>676.13008899999988</v>
      </c>
      <c r="V15" s="484">
        <f>INDEX('18 KMP- Tháng'!$R$6:$AC$24,MATCH($A15,'18 KMP- Tháng'!$A$6:$A$24,0),MATCH(V$7,'18 KMP- Tháng'!$R$2:$AC$2,0))</f>
        <v>693.03544600000009</v>
      </c>
      <c r="W15" s="484">
        <f>INDEX('18 KMP- Tháng'!$R$6:$AC$24,MATCH($A15,'18 KMP- Tháng'!$A$6:$A$24,0),MATCH(W$7,'18 KMP- Tháng'!$R$2:$AC$2,0))</f>
        <v>782.97129899999982</v>
      </c>
      <c r="X15" s="484">
        <f>INDEX('18 KMP- Tháng'!$R$6:$AC$24,MATCH($A15,'18 KMP- Tháng'!$A$6:$A$24,0),MATCH(X$7,'18 KMP- Tháng'!$R$2:$AC$2,0))</f>
        <v>321.45073600000001</v>
      </c>
      <c r="Y15" s="484">
        <f>INDEX('18 KMP- Tháng'!$R$6:$AC$24,MATCH($A15,'18 KMP- Tháng'!$A$6:$A$24,0),MATCH(Y$7,'18 KMP- Tháng'!$R$2:$AC$2,0))</f>
        <v>361.48229300000003</v>
      </c>
      <c r="Z15" s="484">
        <f>INDEX('18 KMP- Tháng'!$R$6:$AC$24,MATCH($A15,'18 KMP- Tháng'!$A$6:$A$24,0),MATCH(Z$7,'18 KMP- Tháng'!$R$2:$AC$2,0))</f>
        <v>516.38720899999998</v>
      </c>
      <c r="AA15" s="484">
        <f>INDEX('18 KMP- Tháng'!$R$6:$AC$24,MATCH($A15,'18 KMP- Tháng'!$A$6:$A$24,0),MATCH(AA$7,'18 KMP- Tháng'!$R$2:$AC$2,0))</f>
        <v>707.21815000000004</v>
      </c>
      <c r="AB15" s="484">
        <f>INDEX('18 KMP- Tháng'!$R$6:$AC$24,MATCH($A15,'18 KMP- Tháng'!$A$6:$A$24,0),MATCH(AB$7,'18 KMP- Tháng'!$R$2:$AC$2,0))</f>
        <v>824.52075600000001</v>
      </c>
      <c r="AC15" s="818">
        <f>INDEX('18 KMP- Tháng'!$R$6:$AC$24,MATCH($A15,'18 KMP- Tháng'!$A$6:$A$24,0),MATCH(AC$7,'18 KMP- Tháng'!$R$2:$AC$2,0))</f>
        <v>612.23483699999997</v>
      </c>
      <c r="AD15" s="821">
        <f t="shared" si="7"/>
        <v>633.15965474999996</v>
      </c>
      <c r="AE15" s="820">
        <f>INDEX('18 KMP- Tháng'!$AF$6:$AQ$29,MATCH($A15,'18 KMP- Tháng'!$A$6:$A$29,0),MATCH(AE$7,'18 KMP- Tháng'!$AF$2:$AQ$2,0))</f>
        <v>300.54102</v>
      </c>
      <c r="AF15" s="484">
        <f>INDEX('18 KMP- Tháng'!$AF$6:$AQ$29,MATCH($A15,'18 KMP- Tháng'!$A$6:$A$29,0),MATCH(AF$7,'18 KMP- Tháng'!$AF$2:$AQ$2,0))</f>
        <v>507.62118800000002</v>
      </c>
      <c r="AG15" s="484">
        <f>INDEX('18 KMP- Tháng'!$AF$6:$AQ$29,MATCH($A15,'18 KMP- Tháng'!$A$6:$A$29,0),MATCH(AG$7,'18 KMP- Tháng'!$AF$2:$AQ$2,0))</f>
        <v>790.04556200000002</v>
      </c>
      <c r="AH15" s="484">
        <f>INDEX('18 KMP- Tháng'!$AF$6:$AQ$29,MATCH($A15,'18 KMP- Tháng'!$A$6:$A$29,0),MATCH(AH$7,'18 KMP- Tháng'!$AF$2:$AQ$2,0))</f>
        <v>662.42186100000004</v>
      </c>
      <c r="AI15" s="484">
        <f>INDEX('18 KMP- Tháng'!$AF$6:$AQ$29,MATCH($A15,'18 KMP- Tháng'!$A$6:$A$29,0),MATCH(AI$7,'18 KMP- Tháng'!$AF$2:$AQ$2,0))</f>
        <v>955.79570799999999</v>
      </c>
      <c r="AJ15" s="484">
        <f>INDEX('18 KMP- Tháng'!$AF$6:$AQ$29,MATCH($A15,'18 KMP- Tháng'!$A$6:$A$29,0),MATCH(AJ$7,'18 KMP- Tháng'!$AF$2:$AQ$2,0))</f>
        <v>756.01673500000004</v>
      </c>
      <c r="AK15" s="484">
        <f>INDEX('18 KMP- Tháng'!$AF$6:$AQ$29,MATCH($A15,'18 KMP- Tháng'!$A$6:$A$29,0),MATCH(AK$7,'18 KMP- Tháng'!$AF$2:$AQ$2,0))</f>
        <v>856.03756999999996</v>
      </c>
      <c r="AL15" s="484">
        <f>INDEX('18 KMP- Tháng'!$AF$6:$AQ$29,MATCH($A15,'18 KMP- Tháng'!$A$6:$A$29,0),MATCH(AL$7,'18 KMP- Tháng'!$AF$2:$AQ$2,0))</f>
        <v>870.71485299999995</v>
      </c>
      <c r="AM15" s="484">
        <f>INDEX('18 KMP- Tháng'!$AF$6:$AQ$29,MATCH($A15,'18 KMP- Tháng'!$A$6:$A$29,0),MATCH(AM$7,'18 KMP- Tháng'!$AF$2:$AQ$2,0))</f>
        <v>886.40273999999999</v>
      </c>
      <c r="AN15" s="484">
        <f>INDEX('18 KMP- Tháng'!$AF$6:$AQ$29,MATCH($A15,'18 KMP- Tháng'!$A$6:$A$29,0),MATCH(AN$7,'18 KMP- Tháng'!$AF$2:$AQ$2,0))</f>
        <v>635.75522799999999</v>
      </c>
      <c r="AO15" s="484">
        <f>INDEX('18 KMP- Tháng'!$AF$6:$AQ$29,MATCH($A15,'18 KMP- Tháng'!$A$6:$A$29,0),MATCH(AO$7,'18 KMP- Tháng'!$AF$2:$AQ$2,0))</f>
        <v>533.96862999999996</v>
      </c>
      <c r="AP15" s="818">
        <f>INDEX('18 KMP- Tháng'!$AF$6:$AQ$29,MATCH($A15,'18 KMP- Tháng'!$A$6:$A$29,0),MATCH(AP$7,'18 KMP- Tháng'!$AF$2:$AQ$2,0))</f>
        <v>735.36080700000002</v>
      </c>
      <c r="AQ15" s="1380">
        <f t="shared" si="8"/>
        <v>707.55682516666673</v>
      </c>
      <c r="AR15" s="820">
        <f t="shared" si="9"/>
        <v>8490.6819020000003</v>
      </c>
      <c r="AS15" s="820">
        <f>INDEX('18 KMP- Tháng'!$BH$6:$BS$29,MATCH($A15,'18 KMP- Tháng'!$A$6:$A$29,0),MATCH(AS$7,'18 KMP- Tháng'!$BH$2:$BS$2,0))</f>
        <v>679.00817341923403</v>
      </c>
      <c r="AT15" s="484">
        <f>INDEX('18 KMP- Tháng'!$BH$6:$BS$29,MATCH($A15,'18 KMP- Tháng'!$A$6:$A$29,0),MATCH(AT$7,'18 KMP- Tháng'!$BH$2:$BS$2,0))</f>
        <v>562.30502743922989</v>
      </c>
      <c r="AU15" s="484">
        <f>INDEX('18 KMP- Tháng'!$BH$6:$BS$29,MATCH($A15,'18 KMP- Tháng'!$A$6:$A$29,0),MATCH(AU$7,'18 KMP- Tháng'!$BH$2:$BS$2,0))</f>
        <v>711.9129784782557</v>
      </c>
      <c r="AV15" s="484">
        <f>INDEX('18 KMP- Tháng'!$BH$6:$BS$29,MATCH($A15,'18 KMP- Tháng'!$A$6:$A$29,0),MATCH(AV$7,'18 KMP- Tháng'!$BH$2:$BS$2,0))</f>
        <v>715.21167396458748</v>
      </c>
      <c r="AW15" s="484">
        <f>INDEX('18 KMP- Tháng'!$BH$6:$BS$29,MATCH($A15,'18 KMP- Tháng'!$A$6:$A$29,0),MATCH(AW$7,'18 KMP- Tháng'!$BH$2:$BS$2,0))</f>
        <v>711.9129784782557</v>
      </c>
      <c r="AX15" s="484">
        <f>INDEX('18 KMP- Tháng'!$BH$6:$BS$29,MATCH($A15,'18 KMP- Tháng'!$A$6:$A$29,0),MATCH(AX$7,'18 KMP- Tháng'!$BH$2:$BS$2,0))</f>
        <v>735.360959548555</v>
      </c>
      <c r="AY15" s="484">
        <f>INDEX('18 KMP- Tháng'!$BH$6:$BS$29,MATCH($A15,'18 KMP- Tháng'!$A$6:$A$29,0),MATCH(AY$7,'18 KMP- Tháng'!$BH$2:$BS$2,0))</f>
        <v>745.36358318346674</v>
      </c>
      <c r="AZ15" s="484">
        <f>INDEX('18 KMP- Tháng'!$BH$6:$BS$29,MATCH($A15,'18 KMP- Tháng'!$A$6:$A$29,0),MATCH(AZ$7,'18 KMP- Tháng'!$BH$2:$BS$2,0))</f>
        <v>753.96743456527292</v>
      </c>
      <c r="BA15" s="484">
        <f>INDEX('18 KMP- Tháng'!$BH$6:$BS$29,MATCH($A15,'18 KMP- Tháng'!$A$6:$A$29,0),MATCH(BA$7,'18 KMP- Tháng'!$BH$2:$BS$2,0))</f>
        <v>753.61032189929642</v>
      </c>
      <c r="BB15" s="484">
        <f>INDEX('18 KMP- Tháng'!$BH$6:$BS$29,MATCH($A15,'18 KMP- Tháng'!$A$6:$A$29,0),MATCH(BB$7,'18 KMP- Tháng'!$BH$2:$BS$2,0))</f>
        <v>757.2661300516047</v>
      </c>
      <c r="BC15" s="484">
        <f>INDEX('18 KMP- Tháng'!$BH$6:$BS$29,MATCH($A15,'18 KMP- Tháng'!$A$6:$A$29,0),MATCH(BC$7,'18 KMP- Tháng'!$BH$2:$BS$2,0))</f>
        <v>742.06488769713496</v>
      </c>
      <c r="BD15" s="818">
        <f>INDEX('18 KMP- Tháng'!$BH$6:$BS$29,MATCH($A15,'18 KMP- Tháng'!$A$6:$A$29,0),MATCH(BD$7,'18 KMP- Tháng'!$BH$2:$BS$2,0))</f>
        <v>753.96743456527292</v>
      </c>
      <c r="BE15" s="821">
        <f t="shared" si="4"/>
        <v>718.49596527418055</v>
      </c>
      <c r="BF15" s="820">
        <f>INDEX('18 KMP- Tháng'!$AS$6:$BD$29,MATCH($A15,'18 KMP- Tháng'!$A$6:$A$29,0),MATCH(BF$7,'18 KMP- Tháng'!$AS$2:$BD$2,0))</f>
        <v>606.64757799999995</v>
      </c>
      <c r="BG15" s="484">
        <f>INDEX('18 KMP- Tháng'!$AS$6:$BD$29,MATCH($A15,'18 KMP- Tháng'!$A$6:$A$29,0),MATCH(BG$7,'18 KMP- Tháng'!$AS$2:$BD$2,0))</f>
        <v>347.65498300000002</v>
      </c>
      <c r="BH15" s="484">
        <f>INDEX('18 KMP- Tháng'!$AS$6:$BD$29,MATCH($A15,'18 KMP- Tháng'!$A$6:$A$29,0),MATCH(BH$7,'18 KMP- Tháng'!$AS$2:$BD$2,0))</f>
        <v>813.90419799999995</v>
      </c>
      <c r="BI15" s="484">
        <f>INDEX('18 KMP- Tháng'!$AS$6:$BD$29,MATCH($A15,'18 KMP- Tháng'!$A$6:$A$29,0),MATCH(BI$7,'18 KMP- Tháng'!$AS$2:$BD$2,0))</f>
        <v>1024.397252</v>
      </c>
      <c r="BJ15" s="484">
        <f>INDEX('18 KMP- Tháng'!$AS$6:$BD$29,MATCH($A15,'18 KMP- Tháng'!$A$6:$A$29,0),MATCH(BJ$7,'18 KMP- Tháng'!$AS$2:$BD$2,0))</f>
        <v>785.37370599999997</v>
      </c>
      <c r="BK15" s="484">
        <f>INDEX('18 KMP- Tháng'!$AS$6:$BD$29,MATCH($A15,'18 KMP- Tháng'!$A$6:$A$29,0),MATCH(BK$7,'18 KMP- Tháng'!$AS$2:$BD$2,0))</f>
        <v>0</v>
      </c>
      <c r="BL15" s="484">
        <f>INDEX('18 KMP- Tháng'!$AS$6:$BD$29,MATCH($A15,'18 KMP- Tháng'!$A$6:$A$29,0),MATCH(BL$7,'18 KMP- Tháng'!$AS$2:$BD$2,0))</f>
        <v>0</v>
      </c>
      <c r="BM15" s="484">
        <f>INDEX('18 KMP- Tháng'!$AS$6:$BD$29,MATCH($A15,'18 KMP- Tháng'!$A$6:$A$29,0),MATCH(BM$7,'18 KMP- Tháng'!$AS$2:$BD$2,0))</f>
        <v>0</v>
      </c>
      <c r="BN15" s="484">
        <f>INDEX('18 KMP- Tháng'!$AS$6:$BD$29,MATCH($A15,'18 KMP- Tháng'!$A$6:$A$29,0),MATCH(BN$7,'18 KMP- Tháng'!$AS$2:$BD$2,0))</f>
        <v>0</v>
      </c>
      <c r="BO15" s="484">
        <f>INDEX('18 KMP- Tháng'!$AS$6:$BD$29,MATCH($A15,'18 KMP- Tháng'!$A$6:$A$29,0),MATCH(BO$7,'18 KMP- Tháng'!$AS$2:$BD$2,0))</f>
        <v>0</v>
      </c>
      <c r="BP15" s="484">
        <f>INDEX('18 KMP- Tháng'!$AS$6:$BD$29,MATCH($A15,'18 KMP- Tháng'!$A$6:$A$29,0),MATCH(BP$7,'18 KMP- Tháng'!$AS$2:$BD$2,0))</f>
        <v>0</v>
      </c>
      <c r="BQ15" s="818">
        <f>INDEX('18 KMP- Tháng'!$AS$6:$BD$29,MATCH($A15,'18 KMP- Tháng'!$A$6:$A$29,0),MATCH(BQ$7,'18 KMP- Tháng'!$AS$2:$BD$2,0))</f>
        <v>0</v>
      </c>
      <c r="BR15" s="1380">
        <f t="shared" si="10"/>
        <v>715.5955434</v>
      </c>
      <c r="BS15" s="820">
        <f t="shared" si="11"/>
        <v>3577.9777169999998</v>
      </c>
      <c r="BT15" s="479">
        <f t="shared" si="5"/>
        <v>0.10318779084315843</v>
      </c>
      <c r="BU15" s="485">
        <f t="shared" si="6"/>
        <v>6.8572851427786321E-3</v>
      </c>
      <c r="BV15" s="1552"/>
      <c r="BW15" s="1552"/>
      <c r="BX15" s="1552"/>
      <c r="BY15" s="1546"/>
      <c r="BZ15" s="1546"/>
      <c r="CA15" s="1546"/>
      <c r="CB15" s="1546"/>
      <c r="CD15" s="454"/>
      <c r="CE15" s="454"/>
      <c r="CF15" s="454"/>
      <c r="CG15" s="454"/>
      <c r="CH15" s="454"/>
      <c r="CI15" s="454"/>
      <c r="CJ15" s="454"/>
      <c r="CK15" s="454"/>
      <c r="CL15" s="454"/>
      <c r="CM15" s="454"/>
      <c r="CN15" s="454"/>
    </row>
    <row r="16" spans="1:92" s="481" customFormat="1">
      <c r="A16" s="469">
        <v>10</v>
      </c>
      <c r="B16" s="482">
        <f t="shared" si="12"/>
        <v>7</v>
      </c>
      <c r="C16" s="483" t="s">
        <v>425</v>
      </c>
      <c r="D16" s="483" t="s">
        <v>435</v>
      </c>
      <c r="E16" s="484">
        <f>INDEX('18 KMP- Tháng'!$E$6:$Q$29,MATCH($A16,'18 KMP- Tháng'!$A$6:$A$29,0),MATCH(E$7,'18 KMP- Tháng'!$E$2:$P$2,0))</f>
        <v>182.590125</v>
      </c>
      <c r="F16" s="484">
        <f>INDEX('18 KMP- Tháng'!$E$6:$Q$29,MATCH($A16,'18 KMP- Tháng'!$A$6:$A$29,0),MATCH(F$7,'18 KMP- Tháng'!$E$2:$P$2,0))</f>
        <v>256.21135399999997</v>
      </c>
      <c r="G16" s="484">
        <f>INDEX('18 KMP- Tháng'!$E$6:$Q$29,MATCH($A16,'18 KMP- Tháng'!$A$6:$A$29,0),MATCH(G$7,'18 KMP- Tháng'!$E$2:$P$2,0))</f>
        <v>301.69390099999998</v>
      </c>
      <c r="H16" s="484">
        <f>INDEX('18 KMP- Tháng'!$E$6:$Q$29,MATCH($A16,'18 KMP- Tháng'!$A$6:$A$29,0),MATCH(H$7,'18 KMP- Tháng'!$E$2:$P$2,0))</f>
        <v>299.17255299999999</v>
      </c>
      <c r="I16" s="484">
        <f>INDEX('18 KMP- Tháng'!$E$6:$Q$29,MATCH($A16,'18 KMP- Tháng'!$A$6:$A$29,0),MATCH(I$7,'18 KMP- Tháng'!$E$2:$P$2,0))</f>
        <v>189.954498</v>
      </c>
      <c r="J16" s="484">
        <f>INDEX('18 KMP- Tháng'!$E$6:$Q$29,MATCH($A16,'18 KMP- Tháng'!$A$6:$A$29,0),MATCH(J$7,'18 KMP- Tháng'!$E$2:$P$2,0))</f>
        <v>375.78277400000002</v>
      </c>
      <c r="K16" s="484">
        <f>INDEX('18 KMP- Tháng'!$E$6:$Q$29,MATCH($A16,'18 KMP- Tháng'!$A$6:$A$29,0),MATCH(K$7,'18 KMP- Tháng'!$E$2:$P$2,0))</f>
        <v>320.30577699999998</v>
      </c>
      <c r="L16" s="484">
        <f>INDEX('18 KMP- Tháng'!$E$6:$Q$29,MATCH($A16,'18 KMP- Tháng'!$A$6:$A$29,0),MATCH(L$7,'18 KMP- Tháng'!$E$2:$P$2,0))</f>
        <v>367.61022300000002</v>
      </c>
      <c r="M16" s="484">
        <f>INDEX('18 KMP- Tháng'!$E$6:$Q$29,MATCH($A16,'18 KMP- Tháng'!$A$6:$A$29,0),MATCH(M$7,'18 KMP- Tháng'!$E$2:$P$2,0))</f>
        <v>353.52910800000001</v>
      </c>
      <c r="N16" s="484">
        <f>INDEX('18 KMP- Tháng'!$E$6:$Q$29,MATCH($A16,'18 KMP- Tháng'!$A$6:$A$29,0),MATCH(N$7,'18 KMP- Tháng'!$E$2:$P$2,0))</f>
        <v>388.27704899999998</v>
      </c>
      <c r="O16" s="484">
        <f>INDEX('18 KMP- Tháng'!$E$6:$Q$29,MATCH($A16,'18 KMP- Tháng'!$A$6:$A$29,0),MATCH(O$7,'18 KMP- Tháng'!$E$2:$P$2,0))</f>
        <v>446.71388200000001</v>
      </c>
      <c r="P16" s="818">
        <f>INDEX('18 KMP- Tháng'!$E$6:$Q$29,MATCH($A16,'18 KMP- Tháng'!$A$6:$A$29,0),MATCH(P$7,'18 KMP- Tháng'!$E$2:$P$2,0))</f>
        <v>393.87627199999997</v>
      </c>
      <c r="Q16" s="821">
        <f t="shared" si="3"/>
        <v>322.9764596666667</v>
      </c>
      <c r="R16" s="484">
        <f>INDEX('18 KMP- Tháng'!$R$6:$AC$24,MATCH($A16,'18 KMP- Tháng'!$A$6:$A$24,0),MATCH(R$7,'18 KMP- Tháng'!$R$2:$AC$2,0))</f>
        <v>384.35845499999999</v>
      </c>
      <c r="S16" s="484">
        <f>INDEX('18 KMP- Tháng'!$R$6:$AC$24,MATCH($A16,'18 KMP- Tháng'!$A$6:$A$24,0),MATCH(S$7,'18 KMP- Tháng'!$R$2:$AC$2,0))</f>
        <v>269.68292200000002</v>
      </c>
      <c r="T16" s="484">
        <f>INDEX('18 KMP- Tháng'!$R$6:$AC$24,MATCH($A16,'18 KMP- Tháng'!$A$6:$A$24,0),MATCH(T$7,'18 KMP- Tháng'!$R$2:$AC$2,0))</f>
        <v>412.65767</v>
      </c>
      <c r="U16" s="484">
        <f>INDEX('18 KMP- Tháng'!$R$6:$AC$24,MATCH($A16,'18 KMP- Tháng'!$A$6:$A$24,0),MATCH(U$7,'18 KMP- Tháng'!$R$2:$AC$2,0))</f>
        <v>390.64389699999998</v>
      </c>
      <c r="V16" s="484">
        <f>INDEX('18 KMP- Tháng'!$R$6:$AC$24,MATCH($A16,'18 KMP- Tháng'!$A$6:$A$24,0),MATCH(V$7,'18 KMP- Tháng'!$R$2:$AC$2,0))</f>
        <v>392.92402099999998</v>
      </c>
      <c r="W16" s="484">
        <f>INDEX('18 KMP- Tháng'!$R$6:$AC$24,MATCH($A16,'18 KMP- Tháng'!$A$6:$A$24,0),MATCH(W$7,'18 KMP- Tháng'!$R$2:$AC$2,0))</f>
        <v>355.37142</v>
      </c>
      <c r="X16" s="484">
        <f>INDEX('18 KMP- Tháng'!$R$6:$AC$24,MATCH($A16,'18 KMP- Tháng'!$A$6:$A$24,0),MATCH(X$7,'18 KMP- Tháng'!$R$2:$AC$2,0))</f>
        <v>315.85756800000001</v>
      </c>
      <c r="Y16" s="484">
        <f>INDEX('18 KMP- Tháng'!$R$6:$AC$24,MATCH($A16,'18 KMP- Tháng'!$A$6:$A$24,0),MATCH(Y$7,'18 KMP- Tháng'!$R$2:$AC$2,0))</f>
        <v>267.82147500000002</v>
      </c>
      <c r="Z16" s="484">
        <f>INDEX('18 KMP- Tháng'!$R$6:$AC$24,MATCH($A16,'18 KMP- Tháng'!$A$6:$A$24,0),MATCH(Z$7,'18 KMP- Tháng'!$R$2:$AC$2,0))</f>
        <v>264.09719999999999</v>
      </c>
      <c r="AA16" s="484">
        <f>INDEX('18 KMP- Tháng'!$R$6:$AC$24,MATCH($A16,'18 KMP- Tháng'!$A$6:$A$24,0),MATCH(AA$7,'18 KMP- Tháng'!$R$2:$AC$2,0))</f>
        <v>311.196507</v>
      </c>
      <c r="AB16" s="484">
        <f>INDEX('18 KMP- Tháng'!$R$6:$AC$24,MATCH($A16,'18 KMP- Tháng'!$A$6:$A$24,0),MATCH(AB$7,'18 KMP- Tháng'!$R$2:$AC$2,0))</f>
        <v>316.83887600000003</v>
      </c>
      <c r="AC16" s="818">
        <f>INDEX('18 KMP- Tháng'!$R$6:$AC$24,MATCH($A16,'18 KMP- Tháng'!$A$6:$A$24,0),MATCH(AC$7,'18 KMP- Tháng'!$R$2:$AC$2,0))</f>
        <v>291.09129999999999</v>
      </c>
      <c r="AD16" s="821">
        <f t="shared" si="7"/>
        <v>331.04510925000005</v>
      </c>
      <c r="AE16" s="820">
        <f>INDEX('18 KMP- Tháng'!$AF$6:$AQ$29,MATCH($A16,'18 KMP- Tháng'!$A$6:$A$29,0),MATCH(AE$7,'18 KMP- Tháng'!$AF$2:$AQ$2,0))</f>
        <v>173.80477400000001</v>
      </c>
      <c r="AF16" s="484">
        <f>INDEX('18 KMP- Tháng'!$AF$6:$AQ$29,MATCH($A16,'18 KMP- Tháng'!$A$6:$A$29,0),MATCH(AF$7,'18 KMP- Tháng'!$AF$2:$AQ$2,0))</f>
        <v>221.54872700000001</v>
      </c>
      <c r="AG16" s="484">
        <f>INDEX('18 KMP- Tháng'!$AF$6:$AQ$29,MATCH($A16,'18 KMP- Tháng'!$A$6:$A$29,0),MATCH(AG$7,'18 KMP- Tháng'!$AF$2:$AQ$2,0))</f>
        <v>282.94844999999998</v>
      </c>
      <c r="AH16" s="484">
        <f>INDEX('18 KMP- Tháng'!$AF$6:$AQ$29,MATCH($A16,'18 KMP- Tháng'!$A$6:$A$29,0),MATCH(AH$7,'18 KMP- Tháng'!$AF$2:$AQ$2,0))</f>
        <v>237.639893</v>
      </c>
      <c r="AI16" s="484">
        <f>INDEX('18 KMP- Tháng'!$AF$6:$AQ$29,MATCH($A16,'18 KMP- Tháng'!$A$6:$A$29,0),MATCH(AI$7,'18 KMP- Tháng'!$AF$2:$AQ$2,0))</f>
        <v>248.403773</v>
      </c>
      <c r="AJ16" s="484">
        <f>INDEX('18 KMP- Tháng'!$AF$6:$AQ$29,MATCH($A16,'18 KMP- Tháng'!$A$6:$A$29,0),MATCH(AJ$7,'18 KMP- Tháng'!$AF$2:$AQ$2,0))</f>
        <v>230.558333</v>
      </c>
      <c r="AK16" s="484">
        <f>INDEX('18 KMP- Tháng'!$AF$6:$AQ$29,MATCH($A16,'18 KMP- Tháng'!$A$6:$A$29,0),MATCH(AK$7,'18 KMP- Tháng'!$AF$2:$AQ$2,0))</f>
        <v>259.28506900000002</v>
      </c>
      <c r="AL16" s="484">
        <f>INDEX('18 KMP- Tháng'!$AF$6:$AQ$29,MATCH($A16,'18 KMP- Tháng'!$A$6:$A$29,0),MATCH(AL$7,'18 KMP- Tháng'!$AF$2:$AQ$2,0))</f>
        <v>187.38511500000001</v>
      </c>
      <c r="AM16" s="484">
        <f>INDEX('18 KMP- Tháng'!$AF$6:$AQ$29,MATCH($A16,'18 KMP- Tháng'!$A$6:$A$29,0),MATCH(AM$7,'18 KMP- Tháng'!$AF$2:$AQ$2,0))</f>
        <v>275.35231099999999</v>
      </c>
      <c r="AN16" s="484">
        <f>INDEX('18 KMP- Tháng'!$AF$6:$AQ$29,MATCH($A16,'18 KMP- Tháng'!$A$6:$A$29,0),MATCH(AN$7,'18 KMP- Tháng'!$AF$2:$AQ$2,0))</f>
        <v>215.80422200000001</v>
      </c>
      <c r="AO16" s="484">
        <f>INDEX('18 KMP- Tháng'!$AF$6:$AQ$29,MATCH($A16,'18 KMP- Tháng'!$A$6:$A$29,0),MATCH(AO$7,'18 KMP- Tháng'!$AF$2:$AQ$2,0))</f>
        <v>191.98058</v>
      </c>
      <c r="AP16" s="818">
        <f>INDEX('18 KMP- Tháng'!$AF$6:$AQ$29,MATCH($A16,'18 KMP- Tháng'!$A$6:$A$29,0),MATCH(AP$7,'18 KMP- Tháng'!$AF$2:$AQ$2,0))</f>
        <v>190.675433</v>
      </c>
      <c r="AQ16" s="1380">
        <f t="shared" si="8"/>
        <v>226.28222333333335</v>
      </c>
      <c r="AR16" s="820">
        <f t="shared" si="9"/>
        <v>2715.3866800000001</v>
      </c>
      <c r="AS16" s="820">
        <f>INDEX('18 KMP- Tháng'!$BH$6:$BS$29,MATCH($A16,'18 KMP- Tháng'!$A$6:$A$29,0),MATCH(AS$7,'18 KMP- Tháng'!$BH$2:$BS$2,0))</f>
        <v>231.92</v>
      </c>
      <c r="AT16" s="484">
        <f>INDEX('18 KMP- Tháng'!$BH$6:$BS$29,MATCH($A16,'18 KMP- Tháng'!$A$6:$A$29,0),MATCH(AT$7,'18 KMP- Tháng'!$BH$2:$BS$2,0))</f>
        <v>231.92</v>
      </c>
      <c r="AU16" s="484">
        <f>INDEX('18 KMP- Tháng'!$BH$6:$BS$29,MATCH($A16,'18 KMP- Tháng'!$A$6:$A$29,0),MATCH(AU$7,'18 KMP- Tháng'!$BH$2:$BS$2,0))</f>
        <v>231.92</v>
      </c>
      <c r="AV16" s="484">
        <f>INDEX('18 KMP- Tháng'!$BH$6:$BS$29,MATCH($A16,'18 KMP- Tháng'!$A$6:$A$29,0),MATCH(AV$7,'18 KMP- Tháng'!$BH$2:$BS$2,0))</f>
        <v>231.92</v>
      </c>
      <c r="AW16" s="484">
        <f>INDEX('18 KMP- Tháng'!$BH$6:$BS$29,MATCH($A16,'18 KMP- Tháng'!$A$6:$A$29,0),MATCH(AW$7,'18 KMP- Tháng'!$BH$2:$BS$2,0))</f>
        <v>231.92</v>
      </c>
      <c r="AX16" s="484">
        <f>INDEX('18 KMP- Tháng'!$BH$6:$BS$29,MATCH($A16,'18 KMP- Tháng'!$A$6:$A$29,0),MATCH(AX$7,'18 KMP- Tháng'!$BH$2:$BS$2,0))</f>
        <v>231.92</v>
      </c>
      <c r="AY16" s="484">
        <f>INDEX('18 KMP- Tháng'!$BH$6:$BS$29,MATCH($A16,'18 KMP- Tháng'!$A$6:$A$29,0),MATCH(AY$7,'18 KMP- Tháng'!$BH$2:$BS$2,0))</f>
        <v>231.92</v>
      </c>
      <c r="AZ16" s="484">
        <f>INDEX('18 KMP- Tháng'!$BH$6:$BS$29,MATCH($A16,'18 KMP- Tháng'!$A$6:$A$29,0),MATCH(AZ$7,'18 KMP- Tháng'!$BH$2:$BS$2,0))</f>
        <v>231.92</v>
      </c>
      <c r="BA16" s="484">
        <f>INDEX('18 KMP- Tháng'!$BH$6:$BS$29,MATCH($A16,'18 KMP- Tháng'!$A$6:$A$29,0),MATCH(BA$7,'18 KMP- Tháng'!$BH$2:$BS$2,0))</f>
        <v>231.92</v>
      </c>
      <c r="BB16" s="484">
        <f>INDEX('18 KMP- Tháng'!$BH$6:$BS$29,MATCH($A16,'18 KMP- Tháng'!$A$6:$A$29,0),MATCH(BB$7,'18 KMP- Tháng'!$BH$2:$BS$2,0))</f>
        <v>231.92</v>
      </c>
      <c r="BC16" s="484">
        <f>INDEX('18 KMP- Tháng'!$BH$6:$BS$29,MATCH($A16,'18 KMP- Tháng'!$A$6:$A$29,0),MATCH(BC$7,'18 KMP- Tháng'!$BH$2:$BS$2,0))</f>
        <v>231.92</v>
      </c>
      <c r="BD16" s="818">
        <f>INDEX('18 KMP- Tháng'!$BH$6:$BS$29,MATCH($A16,'18 KMP- Tháng'!$A$6:$A$29,0),MATCH(BD$7,'18 KMP- Tháng'!$BH$2:$BS$2,0))</f>
        <v>231.92</v>
      </c>
      <c r="BE16" s="821">
        <f t="shared" si="4"/>
        <v>231.92000000000004</v>
      </c>
      <c r="BF16" s="820">
        <f>INDEX('18 KMP- Tháng'!$AS$6:$BD$29,MATCH($A16,'18 KMP- Tháng'!$A$6:$A$29,0),MATCH(BF$7,'18 KMP- Tháng'!$AS$2:$BD$2,0))</f>
        <v>161.39285799999999</v>
      </c>
      <c r="BG16" s="484">
        <f>INDEX('18 KMP- Tháng'!$AS$6:$BD$29,MATCH($A16,'18 KMP- Tháng'!$A$6:$A$29,0),MATCH(BG$7,'18 KMP- Tháng'!$AS$2:$BD$2,0))</f>
        <v>107.566253</v>
      </c>
      <c r="BH16" s="484">
        <f>INDEX('18 KMP- Tháng'!$AS$6:$BD$29,MATCH($A16,'18 KMP- Tháng'!$A$6:$A$29,0),MATCH(BH$7,'18 KMP- Tháng'!$AS$2:$BD$2,0))</f>
        <v>342.43532299999998</v>
      </c>
      <c r="BI16" s="484">
        <f>INDEX('18 KMP- Tháng'!$AS$6:$BD$29,MATCH($A16,'18 KMP- Tháng'!$A$6:$A$29,0),MATCH(BI$7,'18 KMP- Tháng'!$AS$2:$BD$2,0))</f>
        <v>395.56823600000001</v>
      </c>
      <c r="BJ16" s="484">
        <f>INDEX('18 KMP- Tháng'!$AS$6:$BD$29,MATCH($A16,'18 KMP- Tháng'!$A$6:$A$29,0),MATCH(BJ$7,'18 KMP- Tháng'!$AS$2:$BD$2,0))</f>
        <v>356.91601600000001</v>
      </c>
      <c r="BK16" s="484">
        <f>INDEX('18 KMP- Tháng'!$AS$6:$BD$29,MATCH($A16,'18 KMP- Tháng'!$A$6:$A$29,0),MATCH(BK$7,'18 KMP- Tháng'!$AS$2:$BD$2,0))</f>
        <v>0</v>
      </c>
      <c r="BL16" s="484">
        <f>INDEX('18 KMP- Tháng'!$AS$6:$BD$29,MATCH($A16,'18 KMP- Tháng'!$A$6:$A$29,0),MATCH(BL$7,'18 KMP- Tháng'!$AS$2:$BD$2,0))</f>
        <v>0</v>
      </c>
      <c r="BM16" s="484">
        <f>INDEX('18 KMP- Tháng'!$AS$6:$BD$29,MATCH($A16,'18 KMP- Tháng'!$A$6:$A$29,0),MATCH(BM$7,'18 KMP- Tháng'!$AS$2:$BD$2,0))</f>
        <v>0</v>
      </c>
      <c r="BN16" s="484">
        <f>INDEX('18 KMP- Tháng'!$AS$6:$BD$29,MATCH($A16,'18 KMP- Tháng'!$A$6:$A$29,0),MATCH(BN$7,'18 KMP- Tháng'!$AS$2:$BD$2,0))</f>
        <v>0</v>
      </c>
      <c r="BO16" s="484">
        <f>INDEX('18 KMP- Tháng'!$AS$6:$BD$29,MATCH($A16,'18 KMP- Tháng'!$A$6:$A$29,0),MATCH(BO$7,'18 KMP- Tháng'!$AS$2:$BD$2,0))</f>
        <v>0</v>
      </c>
      <c r="BP16" s="484">
        <f>INDEX('18 KMP- Tháng'!$AS$6:$BD$29,MATCH($A16,'18 KMP- Tháng'!$A$6:$A$29,0),MATCH(BP$7,'18 KMP- Tháng'!$AS$2:$BD$2,0))</f>
        <v>0</v>
      </c>
      <c r="BQ16" s="818">
        <f>INDEX('18 KMP- Tháng'!$AS$6:$BD$29,MATCH($A16,'18 KMP- Tháng'!$A$6:$A$29,0),MATCH(BQ$7,'18 KMP- Tháng'!$AS$2:$BD$2,0))</f>
        <v>0</v>
      </c>
      <c r="BR16" s="1380">
        <f t="shared" si="10"/>
        <v>272.77573719999998</v>
      </c>
      <c r="BS16" s="820">
        <f t="shared" si="11"/>
        <v>1363.878686</v>
      </c>
      <c r="BT16" s="479">
        <f t="shared" si="5"/>
        <v>0.53896177992411198</v>
      </c>
      <c r="BU16" s="485">
        <f t="shared" si="6"/>
        <v>2.6139081318544287E-3</v>
      </c>
      <c r="BV16" s="1546"/>
      <c r="BW16" s="1546"/>
      <c r="BX16" s="1546"/>
      <c r="BY16" s="1546"/>
      <c r="BZ16" s="1546"/>
      <c r="CA16" s="1546"/>
      <c r="CB16" s="1546"/>
      <c r="CD16" s="454"/>
      <c r="CE16" s="454"/>
      <c r="CF16" s="454"/>
      <c r="CG16" s="454"/>
      <c r="CH16" s="454"/>
      <c r="CI16" s="454"/>
      <c r="CJ16" s="454"/>
      <c r="CK16" s="454"/>
      <c r="CL16" s="454"/>
      <c r="CM16" s="454"/>
      <c r="CN16" s="454"/>
    </row>
    <row r="17" spans="1:92" s="481" customFormat="1">
      <c r="A17" s="469">
        <v>11</v>
      </c>
      <c r="B17" s="482">
        <f t="shared" si="12"/>
        <v>8</v>
      </c>
      <c r="C17" s="483" t="s">
        <v>425</v>
      </c>
      <c r="D17" s="483" t="s">
        <v>436</v>
      </c>
      <c r="E17" s="484">
        <f>INDEX('18 KMP- Tháng'!$E$6:$Q$29,MATCH($A17,'18 KMP- Tháng'!$A$6:$A$29,0),MATCH(E$7,'18 KMP- Tháng'!$E$2:$P$2,0))</f>
        <v>188.62547899999998</v>
      </c>
      <c r="F17" s="484">
        <f>INDEX('18 KMP- Tháng'!$E$6:$Q$29,MATCH($A17,'18 KMP- Tháng'!$A$6:$A$29,0),MATCH(F$7,'18 KMP- Tháng'!$E$2:$P$2,0))</f>
        <v>196.28916999999998</v>
      </c>
      <c r="G17" s="484">
        <f>INDEX('18 KMP- Tháng'!$E$6:$Q$29,MATCH($A17,'18 KMP- Tháng'!$A$6:$A$29,0),MATCH(G$7,'18 KMP- Tháng'!$E$2:$P$2,0))</f>
        <v>460.43097999999998</v>
      </c>
      <c r="H17" s="484">
        <f>INDEX('18 KMP- Tháng'!$E$6:$Q$29,MATCH($A17,'18 KMP- Tháng'!$A$6:$A$29,0),MATCH(H$7,'18 KMP- Tháng'!$E$2:$P$2,0))</f>
        <v>381.88881900000001</v>
      </c>
      <c r="I17" s="484">
        <f>INDEX('18 KMP- Tháng'!$E$6:$Q$29,MATCH($A17,'18 KMP- Tháng'!$A$6:$A$29,0),MATCH(I$7,'18 KMP- Tháng'!$E$2:$P$2,0))</f>
        <v>279.47783400000003</v>
      </c>
      <c r="J17" s="484">
        <f>INDEX('18 KMP- Tháng'!$E$6:$Q$29,MATCH($A17,'18 KMP- Tháng'!$A$6:$A$29,0),MATCH(J$7,'18 KMP- Tháng'!$E$2:$P$2,0))</f>
        <v>269.28564700000004</v>
      </c>
      <c r="K17" s="484">
        <f>INDEX('18 KMP- Tháng'!$E$6:$Q$29,MATCH($A17,'18 KMP- Tháng'!$A$6:$A$29,0),MATCH(K$7,'18 KMP- Tháng'!$E$2:$P$2,0))</f>
        <v>204.96910300000002</v>
      </c>
      <c r="L17" s="484">
        <f>INDEX('18 KMP- Tháng'!$E$6:$Q$29,MATCH($A17,'18 KMP- Tháng'!$A$6:$A$29,0),MATCH(L$7,'18 KMP- Tháng'!$E$2:$P$2,0))</f>
        <v>144.59650099999999</v>
      </c>
      <c r="M17" s="484">
        <f>INDEX('18 KMP- Tháng'!$E$6:$Q$29,MATCH($A17,'18 KMP- Tháng'!$A$6:$A$29,0),MATCH(M$7,'18 KMP- Tháng'!$E$2:$P$2,0))</f>
        <v>209.92933399999998</v>
      </c>
      <c r="N17" s="484">
        <f>INDEX('18 KMP- Tháng'!$E$6:$Q$29,MATCH($A17,'18 KMP- Tháng'!$A$6:$A$29,0),MATCH(N$7,'18 KMP- Tháng'!$E$2:$P$2,0))</f>
        <v>179.10958100000002</v>
      </c>
      <c r="O17" s="484">
        <f>INDEX('18 KMP- Tháng'!$E$6:$Q$29,MATCH($A17,'18 KMP- Tháng'!$A$6:$A$29,0),MATCH(O$7,'18 KMP- Tháng'!$E$2:$P$2,0))</f>
        <v>139.36256900000001</v>
      </c>
      <c r="P17" s="818">
        <f>INDEX('18 KMP- Tháng'!$E$6:$Q$29,MATCH($A17,'18 KMP- Tháng'!$A$6:$A$29,0),MATCH(P$7,'18 KMP- Tháng'!$E$2:$P$2,0))</f>
        <v>234.21601099999998</v>
      </c>
      <c r="Q17" s="821">
        <f t="shared" si="3"/>
        <v>240.68175233333332</v>
      </c>
      <c r="R17" s="484">
        <f>INDEX('18 KMP- Tháng'!$R$6:$AC$24,MATCH($A17,'18 KMP- Tháng'!$A$6:$A$24,0),MATCH(R$7,'18 KMP- Tháng'!$R$2:$AC$2,0))</f>
        <v>168.93012999999999</v>
      </c>
      <c r="S17" s="484">
        <f>INDEX('18 KMP- Tháng'!$R$6:$AC$24,MATCH($A17,'18 KMP- Tháng'!$A$6:$A$24,0),MATCH(S$7,'18 KMP- Tháng'!$R$2:$AC$2,0))</f>
        <v>139.05925400000001</v>
      </c>
      <c r="T17" s="484">
        <f>INDEX('18 KMP- Tháng'!$R$6:$AC$24,MATCH($A17,'18 KMP- Tháng'!$A$6:$A$24,0),MATCH(T$7,'18 KMP- Tháng'!$R$2:$AC$2,0))</f>
        <v>130.98270099999999</v>
      </c>
      <c r="U17" s="484">
        <f>INDEX('18 KMP- Tháng'!$R$6:$AC$24,MATCH($A17,'18 KMP- Tháng'!$A$6:$A$24,0),MATCH(U$7,'18 KMP- Tháng'!$R$2:$AC$2,0))</f>
        <v>216.14341000000002</v>
      </c>
      <c r="V17" s="484">
        <f>INDEX('18 KMP- Tháng'!$R$6:$AC$24,MATCH($A17,'18 KMP- Tháng'!$A$6:$A$24,0),MATCH(V$7,'18 KMP- Tháng'!$R$2:$AC$2,0))</f>
        <v>304.87664899999999</v>
      </c>
      <c r="W17" s="484">
        <f>INDEX('18 KMP- Tháng'!$R$6:$AC$24,MATCH($A17,'18 KMP- Tháng'!$A$6:$A$24,0),MATCH(W$7,'18 KMP- Tháng'!$R$2:$AC$2,0))</f>
        <v>295.18419499999999</v>
      </c>
      <c r="X17" s="484">
        <f>INDEX('18 KMP- Tháng'!$R$6:$AC$24,MATCH($A17,'18 KMP- Tháng'!$A$6:$A$24,0),MATCH(X$7,'18 KMP- Tháng'!$R$2:$AC$2,0))</f>
        <v>186.81335799999999</v>
      </c>
      <c r="Y17" s="484">
        <f>INDEX('18 KMP- Tháng'!$R$6:$AC$24,MATCH($A17,'18 KMP- Tháng'!$A$6:$A$24,0),MATCH(Y$7,'18 KMP- Tháng'!$R$2:$AC$2,0))</f>
        <v>232.26438400000001</v>
      </c>
      <c r="Z17" s="484">
        <f>INDEX('18 KMP- Tháng'!$R$6:$AC$24,MATCH($A17,'18 KMP- Tháng'!$A$6:$A$24,0),MATCH(Z$7,'18 KMP- Tháng'!$R$2:$AC$2,0))</f>
        <v>145.066621</v>
      </c>
      <c r="AA17" s="484">
        <f>INDEX('18 KMP- Tháng'!$R$6:$AC$24,MATCH($A17,'18 KMP- Tháng'!$A$6:$A$24,0),MATCH(AA$7,'18 KMP- Tháng'!$R$2:$AC$2,0))</f>
        <v>272.26879300000002</v>
      </c>
      <c r="AB17" s="484">
        <f>INDEX('18 KMP- Tháng'!$R$6:$AC$24,MATCH($A17,'18 KMP- Tháng'!$A$6:$A$24,0),MATCH(AB$7,'18 KMP- Tháng'!$R$2:$AC$2,0))</f>
        <v>272.19795499999998</v>
      </c>
      <c r="AC17" s="818">
        <f>INDEX('18 KMP- Tháng'!$R$6:$AC$24,MATCH($A17,'18 KMP- Tháng'!$A$6:$A$24,0),MATCH(AC$7,'18 KMP- Tháng'!$R$2:$AC$2,0))</f>
        <v>306.84791300000001</v>
      </c>
      <c r="AD17" s="821">
        <f t="shared" si="7"/>
        <v>222.55294691666668</v>
      </c>
      <c r="AE17" s="820">
        <f>INDEX('18 KMP- Tháng'!$AF$6:$AQ$29,MATCH($A17,'18 KMP- Tháng'!$A$6:$A$29,0),MATCH(AE$7,'18 KMP- Tháng'!$AF$2:$AQ$2,0))</f>
        <v>210.76331500000001</v>
      </c>
      <c r="AF17" s="484">
        <f>INDEX('18 KMP- Tháng'!$AF$6:$AQ$29,MATCH($A17,'18 KMP- Tháng'!$A$6:$A$29,0),MATCH(AF$7,'18 KMP- Tháng'!$AF$2:$AQ$2,0))</f>
        <v>188.40178499999999</v>
      </c>
      <c r="AG17" s="484">
        <f>INDEX('18 KMP- Tháng'!$AF$6:$AQ$29,MATCH($A17,'18 KMP- Tháng'!$A$6:$A$29,0),MATCH(AG$7,'18 KMP- Tháng'!$AF$2:$AQ$2,0))</f>
        <v>282.89573000000001</v>
      </c>
      <c r="AH17" s="484">
        <f>INDEX('18 KMP- Tháng'!$AF$6:$AQ$29,MATCH($A17,'18 KMP- Tháng'!$A$6:$A$29,0),MATCH(AH$7,'18 KMP- Tháng'!$AF$2:$AQ$2,0))</f>
        <v>195.67146099999999</v>
      </c>
      <c r="AI17" s="484">
        <f>INDEX('18 KMP- Tháng'!$AF$6:$AQ$29,MATCH($A17,'18 KMP- Tháng'!$A$6:$A$29,0),MATCH(AI$7,'18 KMP- Tháng'!$AF$2:$AQ$2,0))</f>
        <v>294.51892900000001</v>
      </c>
      <c r="AJ17" s="484">
        <f>INDEX('18 KMP- Tháng'!$AF$6:$AQ$29,MATCH($A17,'18 KMP- Tháng'!$A$6:$A$29,0),MATCH(AJ$7,'18 KMP- Tháng'!$AF$2:$AQ$2,0))</f>
        <v>310.99886800000002</v>
      </c>
      <c r="AK17" s="484">
        <f>INDEX('18 KMP- Tháng'!$AF$6:$AQ$29,MATCH($A17,'18 KMP- Tháng'!$A$6:$A$29,0),MATCH(AK$7,'18 KMP- Tháng'!$AF$2:$AQ$2,0))</f>
        <v>473.82858199999998</v>
      </c>
      <c r="AL17" s="484">
        <f>INDEX('18 KMP- Tháng'!$AF$6:$AQ$29,MATCH($A17,'18 KMP- Tháng'!$A$6:$A$29,0),MATCH(AL$7,'18 KMP- Tháng'!$AF$2:$AQ$2,0))</f>
        <v>440.19381600000003</v>
      </c>
      <c r="AM17" s="484">
        <f>INDEX('18 KMP- Tháng'!$AF$6:$AQ$29,MATCH($A17,'18 KMP- Tháng'!$A$6:$A$29,0),MATCH(AM$7,'18 KMP- Tháng'!$AF$2:$AQ$2,0))</f>
        <v>448.54735499999998</v>
      </c>
      <c r="AN17" s="484">
        <f>INDEX('18 KMP- Tháng'!$AF$6:$AQ$29,MATCH($A17,'18 KMP- Tháng'!$A$6:$A$29,0),MATCH(AN$7,'18 KMP- Tháng'!$AF$2:$AQ$2,0))</f>
        <v>466.49071500000002</v>
      </c>
      <c r="AO17" s="484">
        <f>INDEX('18 KMP- Tháng'!$AF$6:$AQ$29,MATCH($A17,'18 KMP- Tháng'!$A$6:$A$29,0),MATCH(AO$7,'18 KMP- Tháng'!$AF$2:$AQ$2,0))</f>
        <v>176.16390100000001</v>
      </c>
      <c r="AP17" s="818">
        <f>INDEX('18 KMP- Tháng'!$AF$6:$AQ$29,MATCH($A17,'18 KMP- Tháng'!$A$6:$A$29,0),MATCH(AP$7,'18 KMP- Tháng'!$AF$2:$AQ$2,0))</f>
        <v>280.28190499999999</v>
      </c>
      <c r="AQ17" s="1380">
        <f t="shared" si="8"/>
        <v>314.06303016666669</v>
      </c>
      <c r="AR17" s="820">
        <f t="shared" si="9"/>
        <v>3768.7563620000001</v>
      </c>
      <c r="AS17" s="820">
        <f>INDEX('18 KMP- Tháng'!$BH$6:$BS$29,MATCH($A17,'18 KMP- Tháng'!$A$6:$A$29,0),MATCH(AS$7,'18 KMP- Tháng'!$BH$2:$BS$2,0))</f>
        <v>452.49026332727141</v>
      </c>
      <c r="AT17" s="484">
        <f>INDEX('18 KMP- Tháng'!$BH$6:$BS$29,MATCH($A17,'18 KMP- Tháng'!$A$6:$A$29,0),MATCH(AT$7,'18 KMP- Tháng'!$BH$2:$BS$2,0))</f>
        <v>361.99221066181713</v>
      </c>
      <c r="AU17" s="484">
        <f>INDEX('18 KMP- Tháng'!$BH$6:$BS$29,MATCH($A17,'18 KMP- Tháng'!$A$6:$A$29,0),MATCH(AU$7,'18 KMP- Tháng'!$BH$2:$BS$2,0))</f>
        <v>471.88270318415442</v>
      </c>
      <c r="AV17" s="484">
        <f>INDEX('18 KMP- Tháng'!$BH$6:$BS$29,MATCH($A17,'18 KMP- Tháng'!$A$6:$A$29,0),MATCH(AV$7,'18 KMP- Tháng'!$BH$2:$BS$2,0))</f>
        <v>471.88270318415442</v>
      </c>
      <c r="AW17" s="484">
        <f>INDEX('18 KMP- Tháng'!$BH$6:$BS$29,MATCH($A17,'18 KMP- Tháng'!$A$6:$A$29,0),MATCH(AW$7,'18 KMP- Tháng'!$BH$2:$BS$2,0))</f>
        <v>471.88270318415442</v>
      </c>
      <c r="AX17" s="484">
        <f>INDEX('18 KMP- Tháng'!$BH$6:$BS$29,MATCH($A17,'18 KMP- Tháng'!$A$6:$A$29,0),MATCH(AX$7,'18 KMP- Tháng'!$BH$2:$BS$2,0))</f>
        <v>471.88270318415442</v>
      </c>
      <c r="AY17" s="484">
        <f>INDEX('18 KMP- Tháng'!$BH$6:$BS$29,MATCH($A17,'18 KMP- Tháng'!$A$6:$A$29,0),MATCH(AY$7,'18 KMP- Tháng'!$BH$2:$BS$2,0))</f>
        <v>496.89225642207646</v>
      </c>
      <c r="AZ17" s="484">
        <f>INDEX('18 KMP- Tháng'!$BH$6:$BS$29,MATCH($A17,'18 KMP- Tháng'!$A$6:$A$29,0),MATCH(AZ$7,'18 KMP- Tháng'!$BH$2:$BS$2,0))</f>
        <v>496.89225642207646</v>
      </c>
      <c r="BA17" s="484">
        <f>INDEX('18 KMP- Tháng'!$BH$6:$BS$29,MATCH($A17,'18 KMP- Tháng'!$A$6:$A$29,0),MATCH(BA$7,'18 KMP- Tháng'!$BH$2:$BS$2,0))</f>
        <v>496.89225642207646</v>
      </c>
      <c r="BB17" s="484">
        <f>INDEX('18 KMP- Tháng'!$BH$6:$BS$29,MATCH($A17,'18 KMP- Tháng'!$A$6:$A$29,0),MATCH(BB$7,'18 KMP- Tháng'!$BH$2:$BS$2,0))</f>
        <v>496.89225642207646</v>
      </c>
      <c r="BC17" s="484">
        <f>INDEX('18 KMP- Tháng'!$BH$6:$BS$29,MATCH($A17,'18 KMP- Tháng'!$A$6:$A$29,0),MATCH(BC$7,'18 KMP- Tháng'!$BH$2:$BS$2,0))</f>
        <v>496.89225642207646</v>
      </c>
      <c r="BD17" s="818">
        <f>INDEX('18 KMP- Tháng'!$BH$6:$BS$29,MATCH($A17,'18 KMP- Tháng'!$A$6:$A$29,0),MATCH(BD$7,'18 KMP- Tháng'!$BH$2:$BS$2,0))</f>
        <v>496.89225642207646</v>
      </c>
      <c r="BE17" s="821">
        <f t="shared" si="4"/>
        <v>473.61390210484711</v>
      </c>
      <c r="BF17" s="820">
        <f>INDEX('18 KMP- Tháng'!$AS$6:$BD$29,MATCH($A17,'18 KMP- Tháng'!$A$6:$A$29,0),MATCH(BF$7,'18 KMP- Tháng'!$AS$2:$BD$2,0))</f>
        <v>252.349603</v>
      </c>
      <c r="BG17" s="484">
        <f>INDEX('18 KMP- Tháng'!$AS$6:$BD$29,MATCH($A17,'18 KMP- Tháng'!$A$6:$A$29,0),MATCH(BG$7,'18 KMP- Tháng'!$AS$2:$BD$2,0))</f>
        <v>80.021953999999994</v>
      </c>
      <c r="BH17" s="484">
        <f>INDEX('18 KMP- Tháng'!$AS$6:$BD$29,MATCH($A17,'18 KMP- Tháng'!$A$6:$A$29,0),MATCH(BH$7,'18 KMP- Tháng'!$AS$2:$BD$2,0))</f>
        <v>348.78599300000002</v>
      </c>
      <c r="BI17" s="484">
        <f>INDEX('18 KMP- Tháng'!$AS$6:$BD$29,MATCH($A17,'18 KMP- Tháng'!$A$6:$A$29,0),MATCH(BI$7,'18 KMP- Tháng'!$AS$2:$BD$2,0))</f>
        <v>458.30997000000002</v>
      </c>
      <c r="BJ17" s="484">
        <f>INDEX('18 KMP- Tháng'!$AS$6:$BD$29,MATCH($A17,'18 KMP- Tháng'!$A$6:$A$29,0),MATCH(BJ$7,'18 KMP- Tháng'!$AS$2:$BD$2,0))</f>
        <v>385.67558700000001</v>
      </c>
      <c r="BK17" s="484">
        <f>INDEX('18 KMP- Tháng'!$AS$6:$BD$29,MATCH($A17,'18 KMP- Tháng'!$A$6:$A$29,0),MATCH(BK$7,'18 KMP- Tháng'!$AS$2:$BD$2,0))</f>
        <v>0</v>
      </c>
      <c r="BL17" s="484">
        <f>INDEX('18 KMP- Tháng'!$AS$6:$BD$29,MATCH($A17,'18 KMP- Tháng'!$A$6:$A$29,0),MATCH(BL$7,'18 KMP- Tháng'!$AS$2:$BD$2,0))</f>
        <v>0</v>
      </c>
      <c r="BM17" s="484">
        <f>INDEX('18 KMP- Tháng'!$AS$6:$BD$29,MATCH($A17,'18 KMP- Tháng'!$A$6:$A$29,0),MATCH(BM$7,'18 KMP- Tháng'!$AS$2:$BD$2,0))</f>
        <v>0</v>
      </c>
      <c r="BN17" s="484">
        <f>INDEX('18 KMP- Tháng'!$AS$6:$BD$29,MATCH($A17,'18 KMP- Tháng'!$A$6:$A$29,0),MATCH(BN$7,'18 KMP- Tháng'!$AS$2:$BD$2,0))</f>
        <v>0</v>
      </c>
      <c r="BO17" s="484">
        <f>INDEX('18 KMP- Tháng'!$AS$6:$BD$29,MATCH($A17,'18 KMP- Tháng'!$A$6:$A$29,0),MATCH(BO$7,'18 KMP- Tháng'!$AS$2:$BD$2,0))</f>
        <v>0</v>
      </c>
      <c r="BP17" s="484">
        <f>INDEX('18 KMP- Tháng'!$AS$6:$BD$29,MATCH($A17,'18 KMP- Tháng'!$A$6:$A$29,0),MATCH(BP$7,'18 KMP- Tháng'!$AS$2:$BD$2,0))</f>
        <v>0</v>
      </c>
      <c r="BQ17" s="818">
        <f>INDEX('18 KMP- Tháng'!$AS$6:$BD$29,MATCH($A17,'18 KMP- Tháng'!$A$6:$A$29,0),MATCH(BQ$7,'18 KMP- Tháng'!$AS$2:$BD$2,0))</f>
        <v>0</v>
      </c>
      <c r="BR17" s="1380">
        <f t="shared" si="10"/>
        <v>305.02862140000002</v>
      </c>
      <c r="BS17" s="820">
        <f t="shared" si="11"/>
        <v>1525.1431070000001</v>
      </c>
      <c r="BT17" s="479">
        <f t="shared" si="5"/>
        <v>-0.18268759503675147</v>
      </c>
      <c r="BU17" s="485">
        <f t="shared" si="6"/>
        <v>2.9229754893530385E-3</v>
      </c>
      <c r="BV17" s="1546"/>
      <c r="BW17" s="1546"/>
      <c r="BX17" s="1546"/>
      <c r="BY17" s="1546"/>
      <c r="BZ17" s="1546"/>
      <c r="CA17" s="1546"/>
      <c r="CB17" s="1546"/>
      <c r="CD17" s="454"/>
      <c r="CE17" s="454"/>
      <c r="CF17" s="454"/>
      <c r="CG17" s="454"/>
      <c r="CH17" s="454"/>
      <c r="CI17" s="454"/>
      <c r="CJ17" s="454"/>
      <c r="CK17" s="454"/>
      <c r="CL17" s="454"/>
      <c r="CM17" s="454"/>
      <c r="CN17" s="454"/>
    </row>
    <row r="18" spans="1:92" s="481" customFormat="1">
      <c r="A18" s="469">
        <v>12</v>
      </c>
      <c r="B18" s="482">
        <f t="shared" si="12"/>
        <v>9</v>
      </c>
      <c r="C18" s="483" t="s">
        <v>425</v>
      </c>
      <c r="D18" s="483" t="s">
        <v>437</v>
      </c>
      <c r="E18" s="484">
        <f>INDEX('18 KMP- Tháng'!$E$6:$Q$29,MATCH($A18,'18 KMP- Tháng'!$A$6:$A$29,0),MATCH(E$7,'18 KMP- Tháng'!$E$2:$P$2,0))</f>
        <v>92.851895999999996</v>
      </c>
      <c r="F18" s="484">
        <f>INDEX('18 KMP- Tháng'!$E$6:$Q$29,MATCH($A18,'18 KMP- Tháng'!$A$6:$A$29,0),MATCH(F$7,'18 KMP- Tháng'!$E$2:$P$2,0))</f>
        <v>113.22258100000001</v>
      </c>
      <c r="G18" s="484">
        <f>INDEX('18 KMP- Tháng'!$E$6:$Q$29,MATCH($A18,'18 KMP- Tháng'!$A$6:$A$29,0),MATCH(G$7,'18 KMP- Tháng'!$E$2:$P$2,0))</f>
        <v>159.68341899999999</v>
      </c>
      <c r="H18" s="484">
        <f>INDEX('18 KMP- Tháng'!$E$6:$Q$29,MATCH($A18,'18 KMP- Tháng'!$A$6:$A$29,0),MATCH(H$7,'18 KMP- Tháng'!$E$2:$P$2,0))</f>
        <v>108.30909699999999</v>
      </c>
      <c r="I18" s="484">
        <f>INDEX('18 KMP- Tháng'!$E$6:$Q$29,MATCH($A18,'18 KMP- Tháng'!$A$6:$A$29,0),MATCH(I$7,'18 KMP- Tháng'!$E$2:$P$2,0))</f>
        <v>162.76302200000001</v>
      </c>
      <c r="J18" s="484">
        <f>INDEX('18 KMP- Tháng'!$E$6:$Q$29,MATCH($A18,'18 KMP- Tháng'!$A$6:$A$29,0),MATCH(J$7,'18 KMP- Tháng'!$E$2:$P$2,0))</f>
        <v>193.360625</v>
      </c>
      <c r="K18" s="484">
        <f>INDEX('18 KMP- Tháng'!$E$6:$Q$29,MATCH($A18,'18 KMP- Tháng'!$A$6:$A$29,0),MATCH(K$7,'18 KMP- Tháng'!$E$2:$P$2,0))</f>
        <v>135.11064500000001</v>
      </c>
      <c r="L18" s="484">
        <f>INDEX('18 KMP- Tháng'!$E$6:$Q$29,MATCH($A18,'18 KMP- Tháng'!$A$6:$A$29,0),MATCH(L$7,'18 KMP- Tháng'!$E$2:$P$2,0))</f>
        <v>93.960159000000004</v>
      </c>
      <c r="M18" s="484">
        <f>INDEX('18 KMP- Tháng'!$E$6:$Q$29,MATCH($A18,'18 KMP- Tháng'!$A$6:$A$29,0),MATCH(M$7,'18 KMP- Tháng'!$E$2:$P$2,0))</f>
        <v>59.163989999999998</v>
      </c>
      <c r="N18" s="484">
        <f>INDEX('18 KMP- Tháng'!$E$6:$Q$29,MATCH($A18,'18 KMP- Tháng'!$A$6:$A$29,0),MATCH(N$7,'18 KMP- Tháng'!$E$2:$P$2,0))</f>
        <v>55.902678999999999</v>
      </c>
      <c r="O18" s="484">
        <f>INDEX('18 KMP- Tháng'!$E$6:$Q$29,MATCH($A18,'18 KMP- Tháng'!$A$6:$A$29,0),MATCH(O$7,'18 KMP- Tháng'!$E$2:$P$2,0))</f>
        <v>50.242654999999999</v>
      </c>
      <c r="P18" s="818">
        <f>INDEX('18 KMP- Tháng'!$E$6:$Q$29,MATCH($A18,'18 KMP- Tháng'!$A$6:$A$29,0),MATCH(P$7,'18 KMP- Tháng'!$E$2:$P$2,0))</f>
        <v>118.635864</v>
      </c>
      <c r="Q18" s="821">
        <f t="shared" si="3"/>
        <v>111.93388600000002</v>
      </c>
      <c r="R18" s="484">
        <f>INDEX('18 KMP- Tháng'!$R$6:$AC$24,MATCH($A18,'18 KMP- Tháng'!$A$6:$A$24,0),MATCH(R$7,'18 KMP- Tháng'!$R$2:$AC$2,0))</f>
        <v>69.344239000000002</v>
      </c>
      <c r="S18" s="484">
        <f>INDEX('18 KMP- Tháng'!$R$6:$AC$24,MATCH($A18,'18 KMP- Tháng'!$A$6:$A$24,0),MATCH(S$7,'18 KMP- Tháng'!$R$2:$AC$2,0))</f>
        <v>65.696956</v>
      </c>
      <c r="T18" s="484">
        <f>INDEX('18 KMP- Tháng'!$R$6:$AC$24,MATCH($A18,'18 KMP- Tháng'!$A$6:$A$24,0),MATCH(T$7,'18 KMP- Tháng'!$R$2:$AC$2,0))</f>
        <v>71.977480999999997</v>
      </c>
      <c r="U18" s="484">
        <f>INDEX('18 KMP- Tháng'!$R$6:$AC$24,MATCH($A18,'18 KMP- Tháng'!$A$6:$A$24,0),MATCH(U$7,'18 KMP- Tháng'!$R$2:$AC$2,0))+67</f>
        <v>154.504536</v>
      </c>
      <c r="V18" s="484">
        <f>INDEX('18 KMP- Tháng'!$R$6:$AC$24,MATCH($A18,'18 KMP- Tháng'!$A$6:$A$24,0),MATCH(V$7,'18 KMP- Tháng'!$R$2:$AC$2,0))-67</f>
        <v>114.65412699999999</v>
      </c>
      <c r="W18" s="484">
        <f>INDEX('18 KMP- Tháng'!$R$6:$AC$24,MATCH($A18,'18 KMP- Tháng'!$A$6:$A$24,0),MATCH(W$7,'18 KMP- Tháng'!$R$2:$AC$2,0))</f>
        <v>81.847181000000006</v>
      </c>
      <c r="X18" s="484">
        <f>INDEX('18 KMP- Tháng'!$R$6:$AC$24,MATCH($A18,'18 KMP- Tháng'!$A$6:$A$24,0),MATCH(X$7,'18 KMP- Tháng'!$R$2:$AC$2,0))</f>
        <v>73.038004000000001</v>
      </c>
      <c r="Y18" s="484">
        <f>INDEX('18 KMP- Tháng'!$R$6:$AC$24,MATCH($A18,'18 KMP- Tháng'!$A$6:$A$24,0),MATCH(Y$7,'18 KMP- Tháng'!$R$2:$AC$2,0))</f>
        <v>79.525662999999994</v>
      </c>
      <c r="Z18" s="484">
        <f>INDEX('18 KMP- Tháng'!$R$6:$AC$24,MATCH($A18,'18 KMP- Tháng'!$A$6:$A$24,0),MATCH(Z$7,'18 KMP- Tháng'!$R$2:$AC$2,0))</f>
        <v>60.357999999999997</v>
      </c>
      <c r="AA18" s="484">
        <f>INDEX('18 KMP- Tháng'!$R$6:$AC$24,MATCH($A18,'18 KMP- Tháng'!$A$6:$A$24,0),MATCH(AA$7,'18 KMP- Tháng'!$R$2:$AC$2,0))</f>
        <v>87.399765000000002</v>
      </c>
      <c r="AB18" s="484">
        <f>INDEX('18 KMP- Tháng'!$R$6:$AC$24,MATCH($A18,'18 KMP- Tháng'!$A$6:$A$24,0),MATCH(AB$7,'18 KMP- Tháng'!$R$2:$AC$2,0))</f>
        <v>74.767274</v>
      </c>
      <c r="AC18" s="818">
        <f>INDEX('18 KMP- Tháng'!$R$6:$AC$24,MATCH($A18,'18 KMP- Tháng'!$A$6:$A$24,0),MATCH(AC$7,'18 KMP- Tháng'!$R$2:$AC$2,0))</f>
        <v>71.777555000000007</v>
      </c>
      <c r="AD18" s="821">
        <f t="shared" si="7"/>
        <v>83.740898416666667</v>
      </c>
      <c r="AE18" s="820">
        <f>INDEX('18 KMP- Tháng'!$AF$6:$AQ$29,MATCH($A18,'18 KMP- Tháng'!$A$6:$A$29,0),MATCH(AE$7,'18 KMP- Tháng'!$AF$2:$AQ$2,0))</f>
        <v>45.727381999999999</v>
      </c>
      <c r="AF18" s="484">
        <f>INDEX('18 KMP- Tháng'!$AF$6:$AQ$29,MATCH($A18,'18 KMP- Tháng'!$A$6:$A$29,0),MATCH(AF$7,'18 KMP- Tháng'!$AF$2:$AQ$2,0))</f>
        <v>53.042850000000001</v>
      </c>
      <c r="AG18" s="484">
        <f>INDEX('18 KMP- Tháng'!$AF$6:$AQ$29,MATCH($A18,'18 KMP- Tháng'!$A$6:$A$29,0),MATCH(AG$7,'18 KMP- Tháng'!$AF$2:$AQ$2,0))</f>
        <v>68.456312999999994</v>
      </c>
      <c r="AH18" s="484">
        <f>INDEX('18 KMP- Tháng'!$AF$6:$AQ$29,MATCH($A18,'18 KMP- Tháng'!$A$6:$A$29,0),MATCH(AH$7,'18 KMP- Tháng'!$AF$2:$AQ$2,0))</f>
        <v>99.335018000000005</v>
      </c>
      <c r="AI18" s="484">
        <f>INDEX('18 KMP- Tháng'!$AF$6:$AQ$29,MATCH($A18,'18 KMP- Tháng'!$A$6:$A$29,0),MATCH(AI$7,'18 KMP- Tháng'!$AF$2:$AQ$2,0))</f>
        <v>84.974800999999999</v>
      </c>
      <c r="AJ18" s="484">
        <f>INDEX('18 KMP- Tháng'!$AF$6:$AQ$29,MATCH($A18,'18 KMP- Tháng'!$A$6:$A$29,0),MATCH(AJ$7,'18 KMP- Tháng'!$AF$2:$AQ$2,0))</f>
        <v>72.702527000000003</v>
      </c>
      <c r="AK18" s="484">
        <f>INDEX('18 KMP- Tháng'!$AF$6:$AQ$29,MATCH($A18,'18 KMP- Tháng'!$A$6:$A$29,0),MATCH(AK$7,'18 KMP- Tháng'!$AF$2:$AQ$2,0))</f>
        <v>138.852576</v>
      </c>
      <c r="AL18" s="484">
        <f>INDEX('18 KMP- Tháng'!$AF$6:$AQ$29,MATCH($A18,'18 KMP- Tháng'!$A$6:$A$29,0),MATCH(AL$7,'18 KMP- Tháng'!$AF$2:$AQ$2,0))</f>
        <v>95.803742</v>
      </c>
      <c r="AM18" s="484">
        <f>INDEX('18 KMP- Tháng'!$AF$6:$AQ$29,MATCH($A18,'18 KMP- Tháng'!$A$6:$A$29,0),MATCH(AM$7,'18 KMP- Tháng'!$AF$2:$AQ$2,0))</f>
        <v>141.52082899999999</v>
      </c>
      <c r="AN18" s="484">
        <f>INDEX('18 KMP- Tháng'!$AF$6:$AQ$29,MATCH($A18,'18 KMP- Tháng'!$A$6:$A$29,0),MATCH(AN$7,'18 KMP- Tháng'!$AF$2:$AQ$2,0))</f>
        <v>136.74355199999999</v>
      </c>
      <c r="AO18" s="484">
        <f>INDEX('18 KMP- Tháng'!$AF$6:$AQ$29,MATCH($A18,'18 KMP- Tháng'!$A$6:$A$29,0),MATCH(AO$7,'18 KMP- Tháng'!$AF$2:$AQ$2,0))</f>
        <v>54.052813</v>
      </c>
      <c r="AP18" s="818">
        <f>INDEX('18 KMP- Tháng'!$AF$6:$AQ$29,MATCH($A18,'18 KMP- Tháng'!$A$6:$A$29,0),MATCH(AP$7,'18 KMP- Tháng'!$AF$2:$AQ$2,0))</f>
        <v>79.987669999999994</v>
      </c>
      <c r="AQ18" s="1380">
        <f t="shared" si="8"/>
        <v>89.266672750000012</v>
      </c>
      <c r="AR18" s="820">
        <f t="shared" si="9"/>
        <v>1071.2000730000002</v>
      </c>
      <c r="AS18" s="820">
        <f>INDEX('18 KMP- Tháng'!$BH$6:$BS$29,MATCH($A18,'18 KMP- Tháng'!$A$6:$A$29,0),MATCH(AS$7,'18 KMP- Tháng'!$BH$2:$BS$2,0))</f>
        <v>117.85857906666668</v>
      </c>
      <c r="AT18" s="484">
        <f>INDEX('18 KMP- Tháng'!$BH$6:$BS$29,MATCH($A18,'18 KMP- Tháng'!$A$6:$A$29,0),MATCH(AT$7,'18 KMP- Tháng'!$BH$2:$BS$2,0))</f>
        <v>130.10857906666666</v>
      </c>
      <c r="AU18" s="484">
        <f>INDEX('18 KMP- Tháng'!$BH$6:$BS$29,MATCH($A18,'18 KMP- Tháng'!$A$6:$A$29,0),MATCH(AU$7,'18 KMP- Tháng'!$BH$2:$BS$2,0))</f>
        <v>125.92056526666669</v>
      </c>
      <c r="AV18" s="484">
        <f>INDEX('18 KMP- Tháng'!$BH$6:$BS$29,MATCH($A18,'18 KMP- Tháng'!$A$6:$A$29,0),MATCH(AV$7,'18 KMP- Tháng'!$BH$2:$BS$2,0))</f>
        <v>121.27056526666668</v>
      </c>
      <c r="AW18" s="484">
        <f>INDEX('18 KMP- Tháng'!$BH$6:$BS$29,MATCH($A18,'18 KMP- Tháng'!$A$6:$A$29,0),MATCH(AW$7,'18 KMP- Tháng'!$BH$2:$BS$2,0))</f>
        <v>122.35857906666668</v>
      </c>
      <c r="AX18" s="484">
        <f>INDEX('18 KMP- Tháng'!$BH$6:$BS$29,MATCH($A18,'18 KMP- Tháng'!$A$6:$A$29,0),MATCH(AX$7,'18 KMP- Tháng'!$BH$2:$BS$2,0))</f>
        <v>133.31656526666669</v>
      </c>
      <c r="AY18" s="484">
        <f>INDEX('18 KMP- Tháng'!$BH$6:$BS$29,MATCH($A18,'18 KMP- Tháng'!$A$6:$A$29,0),MATCH(AY$7,'18 KMP- Tháng'!$BH$2:$BS$2,0))</f>
        <v>125.77056526666668</v>
      </c>
      <c r="AZ18" s="484">
        <f>INDEX('18 KMP- Tháng'!$BH$6:$BS$29,MATCH($A18,'18 KMP- Tháng'!$A$6:$A$29,0),MATCH(AZ$7,'18 KMP- Tháng'!$BH$2:$BS$2,0))</f>
        <v>133.52056526666669</v>
      </c>
      <c r="BA18" s="484">
        <f>INDEX('18 KMP- Tháng'!$BH$6:$BS$29,MATCH($A18,'18 KMP- Tháng'!$A$6:$A$29,0),MATCH(BA$7,'18 KMP- Tháng'!$BH$2:$BS$2,0))</f>
        <v>122.50857906666668</v>
      </c>
      <c r="BB18" s="484">
        <f>INDEX('18 KMP- Tháng'!$BH$6:$BS$29,MATCH($A18,'18 KMP- Tháng'!$A$6:$A$29,0),MATCH(BB$7,'18 KMP- Tháng'!$BH$2:$BS$2,0))</f>
        <v>133.52056526666669</v>
      </c>
      <c r="BC18" s="484">
        <f>INDEX('18 KMP- Tháng'!$BH$6:$BS$29,MATCH($A18,'18 KMP- Tháng'!$A$6:$A$29,0),MATCH(BC$7,'18 KMP- Tháng'!$BH$2:$BS$2,0))</f>
        <v>121.27056526666668</v>
      </c>
      <c r="BD18" s="818">
        <f>INDEX('18 KMP- Tháng'!$BH$6:$BS$29,MATCH($A18,'18 KMP- Tháng'!$A$6:$A$29,0),MATCH(BD$7,'18 KMP- Tháng'!$BH$2:$BS$2,0))</f>
        <v>117.85857906666668</v>
      </c>
      <c r="BE18" s="821">
        <f t="shared" si="4"/>
        <v>125.44023768333334</v>
      </c>
      <c r="BF18" s="820">
        <f>INDEX('18 KMP- Tháng'!$AS$6:$BD$29,MATCH($A18,'18 KMP- Tháng'!$A$6:$A$29,0),MATCH(BF$7,'18 KMP- Tháng'!$AS$2:$BD$2,0))</f>
        <v>70.029363000000004</v>
      </c>
      <c r="BG18" s="484">
        <f>INDEX('18 KMP- Tháng'!$AS$6:$BD$29,MATCH($A18,'18 KMP- Tháng'!$A$6:$A$29,0),MATCH(BG$7,'18 KMP- Tháng'!$AS$2:$BD$2,0))</f>
        <v>41.454301999999998</v>
      </c>
      <c r="BH18" s="484">
        <f>INDEX('18 KMP- Tháng'!$AS$6:$BD$29,MATCH($A18,'18 KMP- Tháng'!$A$6:$A$29,0),MATCH(BH$7,'18 KMP- Tháng'!$AS$2:$BD$2,0))</f>
        <v>99.310658000000004</v>
      </c>
      <c r="BI18" s="484">
        <f>INDEX('18 KMP- Tháng'!$AS$6:$BD$29,MATCH($A18,'18 KMP- Tháng'!$A$6:$A$29,0),MATCH(BI$7,'18 KMP- Tháng'!$AS$2:$BD$2,0))</f>
        <v>109.596222</v>
      </c>
      <c r="BJ18" s="484">
        <f>INDEX('18 KMP- Tháng'!$AS$6:$BD$29,MATCH($A18,'18 KMP- Tháng'!$A$6:$A$29,0),MATCH(BJ$7,'18 KMP- Tháng'!$AS$2:$BD$2,0))</f>
        <v>84.135278</v>
      </c>
      <c r="BK18" s="484">
        <f>INDEX('18 KMP- Tháng'!$AS$6:$BD$29,MATCH($A18,'18 KMP- Tháng'!$A$6:$A$29,0),MATCH(BK$7,'18 KMP- Tháng'!$AS$2:$BD$2,0))</f>
        <v>0</v>
      </c>
      <c r="BL18" s="484">
        <f>INDEX('18 KMP- Tháng'!$AS$6:$BD$29,MATCH($A18,'18 KMP- Tháng'!$A$6:$A$29,0),MATCH(BL$7,'18 KMP- Tháng'!$AS$2:$BD$2,0))</f>
        <v>0</v>
      </c>
      <c r="BM18" s="484">
        <f>INDEX('18 KMP- Tháng'!$AS$6:$BD$29,MATCH($A18,'18 KMP- Tháng'!$A$6:$A$29,0),MATCH(BM$7,'18 KMP- Tháng'!$AS$2:$BD$2,0))</f>
        <v>0</v>
      </c>
      <c r="BN18" s="484">
        <f>INDEX('18 KMP- Tháng'!$AS$6:$BD$29,MATCH($A18,'18 KMP- Tháng'!$A$6:$A$29,0),MATCH(BN$7,'18 KMP- Tháng'!$AS$2:$BD$2,0))</f>
        <v>0</v>
      </c>
      <c r="BO18" s="484">
        <f>INDEX('18 KMP- Tháng'!$AS$6:$BD$29,MATCH($A18,'18 KMP- Tháng'!$A$6:$A$29,0),MATCH(BO$7,'18 KMP- Tháng'!$AS$2:$BD$2,0))</f>
        <v>0</v>
      </c>
      <c r="BP18" s="484">
        <f>INDEX('18 KMP- Tháng'!$AS$6:$BD$29,MATCH($A18,'18 KMP- Tháng'!$A$6:$A$29,0),MATCH(BP$7,'18 KMP- Tháng'!$AS$2:$BD$2,0))</f>
        <v>0</v>
      </c>
      <c r="BQ18" s="818">
        <f>INDEX('18 KMP- Tháng'!$AS$6:$BD$29,MATCH($A18,'18 KMP- Tháng'!$A$6:$A$29,0),MATCH(BQ$7,'18 KMP- Tháng'!$AS$2:$BD$2,0))</f>
        <v>0</v>
      </c>
      <c r="BR18" s="1380">
        <f t="shared" si="10"/>
        <v>80.905164600000006</v>
      </c>
      <c r="BS18" s="820">
        <f t="shared" si="11"/>
        <v>404.52582300000006</v>
      </c>
      <c r="BT18" s="479">
        <f t="shared" si="5"/>
        <v>-0.3123875853922824</v>
      </c>
      <c r="BU18" s="485">
        <f t="shared" si="6"/>
        <v>7.7528401106255387E-4</v>
      </c>
      <c r="BV18" s="1546"/>
      <c r="BW18" s="1546"/>
      <c r="BX18" s="1546"/>
      <c r="BY18" s="1546"/>
      <c r="BZ18" s="1546"/>
      <c r="CA18" s="1546"/>
      <c r="CB18" s="1546"/>
      <c r="CD18" s="454"/>
      <c r="CE18" s="454"/>
      <c r="CF18" s="454"/>
      <c r="CG18" s="454"/>
      <c r="CH18" s="454"/>
      <c r="CI18" s="454"/>
      <c r="CJ18" s="454"/>
      <c r="CK18" s="454"/>
      <c r="CL18" s="454"/>
      <c r="CM18" s="454"/>
      <c r="CN18" s="454"/>
    </row>
    <row r="19" spans="1:92" s="481" customFormat="1">
      <c r="A19" s="469">
        <v>13</v>
      </c>
      <c r="B19" s="482">
        <f t="shared" si="12"/>
        <v>10</v>
      </c>
      <c r="C19" s="483" t="s">
        <v>425</v>
      </c>
      <c r="D19" s="483" t="s">
        <v>438</v>
      </c>
      <c r="E19" s="484">
        <f>INDEX('18 KMP- Tháng'!$E$6:$Q$29,MATCH($A19,'18 KMP- Tháng'!$A$6:$A$29,0),MATCH(E$7,'18 KMP- Tháng'!$E$2:$P$2,0))</f>
        <v>148.21799999999999</v>
      </c>
      <c r="F19" s="484">
        <f>INDEX('18 KMP- Tháng'!$E$6:$Q$29,MATCH($A19,'18 KMP- Tháng'!$A$6:$A$29,0),MATCH(F$7,'18 KMP- Tháng'!$E$2:$P$2,0))</f>
        <v>141.316</v>
      </c>
      <c r="G19" s="484">
        <f>INDEX('18 KMP- Tháng'!$E$6:$Q$29,MATCH($A19,'18 KMP- Tháng'!$A$6:$A$29,0),MATCH(G$7,'18 KMP- Tháng'!$E$2:$P$2,0))</f>
        <v>135.04400000000001</v>
      </c>
      <c r="H19" s="484">
        <f>INDEX('18 KMP- Tháng'!$E$6:$Q$29,MATCH($A19,'18 KMP- Tháng'!$A$6:$A$29,0),MATCH(H$7,'18 KMP- Tháng'!$E$2:$P$2,0))</f>
        <v>119.938</v>
      </c>
      <c r="I19" s="484">
        <f>INDEX('18 KMP- Tháng'!$E$6:$Q$29,MATCH($A19,'18 KMP- Tháng'!$A$6:$A$29,0),MATCH(I$7,'18 KMP- Tháng'!$E$2:$P$2,0))</f>
        <v>155.708</v>
      </c>
      <c r="J19" s="484">
        <f>INDEX('18 KMP- Tháng'!$E$6:$Q$29,MATCH($A19,'18 KMP- Tháng'!$A$6:$A$29,0),MATCH(J$7,'18 KMP- Tháng'!$E$2:$P$2,0))</f>
        <v>100.15600000000001</v>
      </c>
      <c r="K19" s="484">
        <f>INDEX('18 KMP- Tháng'!$E$6:$Q$29,MATCH($A19,'18 KMP- Tháng'!$A$6:$A$29,0),MATCH(K$7,'18 KMP- Tháng'!$E$2:$P$2,0))</f>
        <v>110.04</v>
      </c>
      <c r="L19" s="484">
        <f>INDEX('18 KMP- Tháng'!$E$6:$Q$29,MATCH($A19,'18 KMP- Tháng'!$A$6:$A$29,0),MATCH(L$7,'18 KMP- Tháng'!$E$2:$P$2,0))</f>
        <v>130.928</v>
      </c>
      <c r="M19" s="484">
        <f>INDEX('18 KMP- Tháng'!$E$6:$Q$29,MATCH($A19,'18 KMP- Tháng'!$A$6:$A$29,0),MATCH(M$7,'18 KMP- Tháng'!$E$2:$P$2,0))</f>
        <v>129.892</v>
      </c>
      <c r="N19" s="484">
        <f>INDEX('18 KMP- Tháng'!$E$6:$Q$29,MATCH($A19,'18 KMP- Tháng'!$A$6:$A$29,0),MATCH(N$7,'18 KMP- Tháng'!$E$2:$P$2,0))</f>
        <v>122.262</v>
      </c>
      <c r="O19" s="484">
        <f>INDEX('18 KMP- Tháng'!$E$6:$Q$29,MATCH($A19,'18 KMP- Tháng'!$A$6:$A$29,0),MATCH(O$7,'18 KMP- Tháng'!$E$2:$P$2,0))</f>
        <v>113.988</v>
      </c>
      <c r="P19" s="818">
        <f>INDEX('18 KMP- Tháng'!$E$6:$Q$29,MATCH($A19,'18 KMP- Tháng'!$A$6:$A$29,0),MATCH(P$7,'18 KMP- Tháng'!$E$2:$P$2,0))</f>
        <v>133.602</v>
      </c>
      <c r="Q19" s="821">
        <f t="shared" si="3"/>
        <v>128.42433333333335</v>
      </c>
      <c r="R19" s="484">
        <f>INDEX('18 KMP- Tháng'!$R$6:$AC$24,MATCH($A19,'18 KMP- Tháng'!$A$6:$A$24,0),MATCH(R$7,'18 KMP- Tháng'!$R$2:$AC$2,0))</f>
        <v>128.69919999999999</v>
      </c>
      <c r="S19" s="484">
        <f>INDEX('18 KMP- Tháng'!$R$6:$AC$24,MATCH($A19,'18 KMP- Tháng'!$A$6:$A$24,0),MATCH(S$7,'18 KMP- Tháng'!$R$2:$AC$2,0))</f>
        <v>113.8494</v>
      </c>
      <c r="T19" s="484">
        <f>INDEX('18 KMP- Tháng'!$R$6:$AC$24,MATCH($A19,'18 KMP- Tháng'!$A$6:$A$24,0),MATCH(T$7,'18 KMP- Tháng'!$R$2:$AC$2,0))</f>
        <v>139.7774</v>
      </c>
      <c r="U19" s="484">
        <f>INDEX('18 KMP- Tháng'!$R$6:$AC$24,MATCH($A19,'18 KMP- Tháng'!$A$6:$A$24,0),MATCH(U$7,'18 KMP- Tháng'!$R$2:$AC$2,0))</f>
        <v>145.8912</v>
      </c>
      <c r="V19" s="484">
        <f>INDEX('18 KMP- Tháng'!$R$6:$AC$24,MATCH($A19,'18 KMP- Tháng'!$A$6:$A$24,0),MATCH(V$7,'18 KMP- Tháng'!$R$2:$AC$2,0))</f>
        <v>130.57939999999999</v>
      </c>
      <c r="W19" s="484">
        <f>INDEX('18 KMP- Tháng'!$R$6:$AC$24,MATCH($A19,'18 KMP- Tháng'!$A$6:$A$24,0),MATCH(W$7,'18 KMP- Tháng'!$R$2:$AC$2,0))</f>
        <v>132.87960000000001</v>
      </c>
      <c r="X19" s="484">
        <f>INDEX('18 KMP- Tháng'!$R$6:$AC$24,MATCH($A19,'18 KMP- Tháng'!$A$6:$A$24,0),MATCH(X$7,'18 KMP- Tháng'!$R$2:$AC$2,0))</f>
        <v>102.1832</v>
      </c>
      <c r="Y19" s="484">
        <f>INDEX('18 KMP- Tháng'!$R$6:$AC$24,MATCH($A19,'18 KMP- Tháng'!$A$6:$A$24,0),MATCH(Y$7,'18 KMP- Tháng'!$R$2:$AC$2,0))</f>
        <v>108.79819999999999</v>
      </c>
      <c r="Z19" s="484">
        <f>INDEX('18 KMP- Tháng'!$R$6:$AC$24,MATCH($A19,'18 KMP- Tháng'!$A$6:$A$24,0),MATCH(Z$7,'18 KMP- Tháng'!$R$2:$AC$2,0))</f>
        <v>99.789199999999994</v>
      </c>
      <c r="AA19" s="484">
        <f>INDEX('18 KMP- Tháng'!$R$6:$AC$24,MATCH($A19,'18 KMP- Tháng'!$A$6:$A$24,0),MATCH(AA$7,'18 KMP- Tháng'!$R$2:$AC$2,0))</f>
        <v>126.86799999999999</v>
      </c>
      <c r="AB19" s="484">
        <f>INDEX('18 KMP- Tháng'!$R$6:$AC$24,MATCH($A19,'18 KMP- Tháng'!$A$6:$A$24,0),MATCH(AB$7,'18 KMP- Tháng'!$R$2:$AC$2,0))</f>
        <v>141.09059999999999</v>
      </c>
      <c r="AC19" s="818">
        <f>INDEX('18 KMP- Tháng'!$R$6:$AC$24,MATCH($A19,'18 KMP- Tháng'!$A$6:$A$24,0),MATCH(AC$7,'18 KMP- Tháng'!$R$2:$AC$2,0))</f>
        <v>125.4876</v>
      </c>
      <c r="AD19" s="821">
        <f t="shared" si="7"/>
        <v>124.65774999999998</v>
      </c>
      <c r="AE19" s="820">
        <f>INDEX('18 KMP- Tháng'!$AF$6:$AQ$29,MATCH($A19,'18 KMP- Tháng'!$A$6:$A$29,0),MATCH(AE$7,'18 KMP- Tháng'!$AF$2:$AQ$2,0))</f>
        <v>91.748999999999995</v>
      </c>
      <c r="AF19" s="484">
        <f>INDEX('18 KMP- Tháng'!$AF$6:$AQ$29,MATCH($A19,'18 KMP- Tháng'!$A$6:$A$29,0),MATCH(AF$7,'18 KMP- Tháng'!$AF$2:$AQ$2,0))</f>
        <v>140.29400000000001</v>
      </c>
      <c r="AG19" s="484">
        <f>INDEX('18 KMP- Tháng'!$AF$6:$AQ$29,MATCH($A19,'18 KMP- Tháng'!$A$6:$A$29,0),MATCH(AG$7,'18 KMP- Tháng'!$AF$2:$AQ$2,0))</f>
        <v>121.0202</v>
      </c>
      <c r="AH19" s="484">
        <f>INDEX('18 KMP- Tháng'!$AF$6:$AQ$29,MATCH($A19,'18 KMP- Tháng'!$A$6:$A$29,0),MATCH(AH$7,'18 KMP- Tháng'!$AF$2:$AQ$2,0))</f>
        <v>123.6284</v>
      </c>
      <c r="AI19" s="484">
        <f>INDEX('18 KMP- Tháng'!$AF$6:$AQ$29,MATCH($A19,'18 KMP- Tháng'!$A$6:$A$29,0),MATCH(AI$7,'18 KMP- Tháng'!$AF$2:$AQ$2,0))</f>
        <v>165.9742</v>
      </c>
      <c r="AJ19" s="484">
        <f>INDEX('18 KMP- Tháng'!$AF$6:$AQ$29,MATCH($A19,'18 KMP- Tháng'!$A$6:$A$29,0),MATCH(AJ$7,'18 KMP- Tháng'!$AF$2:$AQ$2,0))</f>
        <v>159.23320000000001</v>
      </c>
      <c r="AK19" s="484">
        <f>INDEX('18 KMP- Tháng'!$AF$6:$AQ$29,MATCH($A19,'18 KMP- Tháng'!$A$6:$A$29,0),MATCH(AK$7,'18 KMP- Tháng'!$AF$2:$AQ$2,0))</f>
        <v>167.01859999999999</v>
      </c>
      <c r="AL19" s="484">
        <f>INDEX('18 KMP- Tháng'!$AF$6:$AQ$29,MATCH($A19,'18 KMP- Tháng'!$A$6:$A$29,0),MATCH(AL$7,'18 KMP- Tháng'!$AF$2:$AQ$2,0))</f>
        <v>211.38460000000001</v>
      </c>
      <c r="AM19" s="484">
        <f>INDEX('18 KMP- Tháng'!$AF$6:$AQ$29,MATCH($A19,'18 KMP- Tháng'!$A$6:$A$29,0),MATCH(AM$7,'18 KMP- Tháng'!$AF$2:$AQ$2,0))</f>
        <v>180.1884</v>
      </c>
      <c r="AN19" s="484">
        <f>INDEX('18 KMP- Tháng'!$AF$6:$AQ$29,MATCH($A19,'18 KMP- Tháng'!$A$6:$A$29,0),MATCH(AN$7,'18 KMP- Tháng'!$AF$2:$AQ$2,0))</f>
        <v>189.19880000000001</v>
      </c>
      <c r="AO19" s="484">
        <f>INDEX('18 KMP- Tháng'!$AF$6:$AQ$29,MATCH($A19,'18 KMP- Tháng'!$A$6:$A$29,0),MATCH(AO$7,'18 KMP- Tháng'!$AF$2:$AQ$2,0))</f>
        <v>140.45779999999999</v>
      </c>
      <c r="AP19" s="818">
        <f>INDEX('18 KMP- Tháng'!$AF$6:$AQ$29,MATCH($A19,'18 KMP- Tháng'!$A$6:$A$29,0),MATCH(AP$7,'18 KMP- Tháng'!$AF$2:$AQ$2,0))</f>
        <v>136.7604</v>
      </c>
      <c r="AQ19" s="1380">
        <f t="shared" si="8"/>
        <v>152.2423</v>
      </c>
      <c r="AR19" s="820">
        <f t="shared" si="9"/>
        <v>1826.9076</v>
      </c>
      <c r="AS19" s="820">
        <f>INDEX('18 KMP- Tháng'!$BH$6:$BS$29,MATCH($A19,'18 KMP- Tháng'!$A$6:$A$29,0),MATCH(AS$7,'18 KMP- Tháng'!$BH$2:$BS$2,0))</f>
        <v>220.10199959720003</v>
      </c>
      <c r="AT19" s="484">
        <f>INDEX('18 KMP- Tháng'!$BH$6:$BS$29,MATCH($A19,'18 KMP- Tháng'!$A$6:$A$29,0),MATCH(AT$7,'18 KMP- Tháng'!$BH$2:$BS$2,0))</f>
        <v>170.77461960160005</v>
      </c>
      <c r="AU19" s="484">
        <f>INDEX('18 KMP- Tháng'!$BH$6:$BS$29,MATCH($A19,'18 KMP- Tháng'!$A$6:$A$29,0),MATCH(AU$7,'18 KMP- Tháng'!$BH$2:$BS$2,0))</f>
        <v>220.10199959720003</v>
      </c>
      <c r="AV19" s="484">
        <f>INDEX('18 KMP- Tháng'!$BH$6:$BS$29,MATCH($A19,'18 KMP- Tháng'!$A$6:$A$29,0),MATCH(AV$7,'18 KMP- Tháng'!$BH$2:$BS$2,0))</f>
        <v>220.42946855720001</v>
      </c>
      <c r="AW19" s="484">
        <f>INDEX('18 KMP- Tháng'!$BH$6:$BS$29,MATCH($A19,'18 KMP- Tháng'!$A$6:$A$29,0),MATCH(AW$7,'18 KMP- Tháng'!$BH$2:$BS$2,0))</f>
        <v>221.48736581720004</v>
      </c>
      <c r="AX19" s="484">
        <f>INDEX('18 KMP- Tháng'!$BH$6:$BS$29,MATCH($A19,'18 KMP- Tháng'!$A$6:$A$29,0),MATCH(AX$7,'18 KMP- Tháng'!$BH$2:$BS$2,0))</f>
        <v>221.2636200572</v>
      </c>
      <c r="AY19" s="484">
        <f>INDEX('18 KMP- Tháng'!$BH$6:$BS$29,MATCH($A19,'18 KMP- Tháng'!$A$6:$A$29,0),MATCH(AY$7,'18 KMP- Tháng'!$BH$2:$BS$2,0))</f>
        <v>225.44506739720009</v>
      </c>
      <c r="AZ19" s="484">
        <f>INDEX('18 KMP- Tháng'!$BH$6:$BS$29,MATCH($A19,'18 KMP- Tháng'!$A$6:$A$29,0),MATCH(AZ$7,'18 KMP- Tháng'!$BH$2:$BS$2,0))</f>
        <v>225.44506739720009</v>
      </c>
      <c r="BA19" s="484">
        <f>INDEX('18 KMP- Tháng'!$BH$6:$BS$29,MATCH($A19,'18 KMP- Tháng'!$A$6:$A$29,0),MATCH(BA$7,'18 KMP- Tháng'!$BH$2:$BS$2,0))</f>
        <v>225.83180675720004</v>
      </c>
      <c r="BB19" s="484">
        <f>INDEX('18 KMP- Tháng'!$BH$6:$BS$29,MATCH($A19,'18 KMP- Tháng'!$A$6:$A$29,0),MATCH(BB$7,'18 KMP- Tháng'!$BH$2:$BS$2,0))</f>
        <v>225.36052769720007</v>
      </c>
      <c r="BC19" s="484">
        <f>INDEX('18 KMP- Tháng'!$BH$6:$BS$29,MATCH($A19,'18 KMP- Tháng'!$A$6:$A$29,0),MATCH(BC$7,'18 KMP- Tháng'!$BH$2:$BS$2,0))</f>
        <v>227.02158065720002</v>
      </c>
      <c r="BD19" s="818">
        <f>INDEX('18 KMP- Tháng'!$BH$6:$BS$29,MATCH($A19,'18 KMP- Tháng'!$A$6:$A$29,0),MATCH(BD$7,'18 KMP- Tháng'!$BH$2:$BS$2,0))</f>
        <v>225.36052769720007</v>
      </c>
      <c r="BE19" s="821">
        <f t="shared" si="4"/>
        <v>219.05197090256675</v>
      </c>
      <c r="BF19" s="820">
        <f>INDEX('18 KMP- Tháng'!$AS$6:$BD$29,MATCH($A19,'18 KMP- Tháng'!$A$6:$A$29,0),MATCH(BF$7,'18 KMP- Tháng'!$AS$2:$BD$2,0))</f>
        <v>111.7718</v>
      </c>
      <c r="BG19" s="484">
        <f>INDEX('18 KMP- Tháng'!$AS$6:$BD$29,MATCH($A19,'18 KMP- Tháng'!$A$6:$A$29,0),MATCH(BG$7,'18 KMP- Tháng'!$AS$2:$BD$2,0))</f>
        <v>79.503200000000007</v>
      </c>
      <c r="BH19" s="484">
        <f>INDEX('18 KMP- Tháng'!$AS$6:$BD$29,MATCH($A19,'18 KMP- Tháng'!$A$6:$A$29,0),MATCH(BH$7,'18 KMP- Tháng'!$AS$2:$BD$2,0))</f>
        <v>105.9534</v>
      </c>
      <c r="BI19" s="484">
        <f>INDEX('18 KMP- Tháng'!$AS$6:$BD$29,MATCH($A19,'18 KMP- Tháng'!$A$6:$A$29,0),MATCH(BI$7,'18 KMP- Tháng'!$AS$2:$BD$2,0))</f>
        <v>124.4894</v>
      </c>
      <c r="BJ19" s="484">
        <f>INDEX('18 KMP- Tháng'!$AS$6:$BD$29,MATCH($A19,'18 KMP- Tháng'!$A$6:$A$29,0),MATCH(BJ$7,'18 KMP- Tháng'!$AS$2:$BD$2,0))</f>
        <v>125.0844</v>
      </c>
      <c r="BK19" s="484">
        <f>INDEX('18 KMP- Tháng'!$AS$6:$BD$29,MATCH($A19,'18 KMP- Tháng'!$A$6:$A$29,0),MATCH(BK$7,'18 KMP- Tháng'!$AS$2:$BD$2,0))</f>
        <v>0</v>
      </c>
      <c r="BL19" s="484">
        <f>INDEX('18 KMP- Tháng'!$AS$6:$BD$29,MATCH($A19,'18 KMP- Tháng'!$A$6:$A$29,0),MATCH(BL$7,'18 KMP- Tháng'!$AS$2:$BD$2,0))</f>
        <v>0</v>
      </c>
      <c r="BM19" s="484">
        <f>INDEX('18 KMP- Tháng'!$AS$6:$BD$29,MATCH($A19,'18 KMP- Tháng'!$A$6:$A$29,0),MATCH(BM$7,'18 KMP- Tháng'!$AS$2:$BD$2,0))</f>
        <v>0</v>
      </c>
      <c r="BN19" s="484">
        <f>INDEX('18 KMP- Tháng'!$AS$6:$BD$29,MATCH($A19,'18 KMP- Tháng'!$A$6:$A$29,0),MATCH(BN$7,'18 KMP- Tháng'!$AS$2:$BD$2,0))</f>
        <v>0</v>
      </c>
      <c r="BO19" s="484">
        <f>INDEX('18 KMP- Tháng'!$AS$6:$BD$29,MATCH($A19,'18 KMP- Tháng'!$A$6:$A$29,0),MATCH(BO$7,'18 KMP- Tháng'!$AS$2:$BD$2,0))</f>
        <v>0</v>
      </c>
      <c r="BP19" s="484">
        <f>INDEX('18 KMP- Tháng'!$AS$6:$BD$29,MATCH($A19,'18 KMP- Tháng'!$A$6:$A$29,0),MATCH(BP$7,'18 KMP- Tháng'!$AS$2:$BD$2,0))</f>
        <v>0</v>
      </c>
      <c r="BQ19" s="818">
        <f>INDEX('18 KMP- Tháng'!$AS$6:$BD$29,MATCH($A19,'18 KMP- Tháng'!$A$6:$A$29,0),MATCH(BQ$7,'18 KMP- Tháng'!$AS$2:$BD$2,0))</f>
        <v>0</v>
      </c>
      <c r="BR19" s="1380">
        <f t="shared" si="10"/>
        <v>109.36044</v>
      </c>
      <c r="BS19" s="820">
        <f t="shared" si="11"/>
        <v>546.80219999999997</v>
      </c>
      <c r="BT19" s="479">
        <f t="shared" si="5"/>
        <v>-0.43525266311020294</v>
      </c>
      <c r="BU19" s="485">
        <f t="shared" si="6"/>
        <v>1.0479603001112459E-3</v>
      </c>
      <c r="BV19" s="1546"/>
      <c r="BW19" s="1546"/>
      <c r="BX19" s="1546"/>
      <c r="BY19" s="1546"/>
      <c r="BZ19" s="1546"/>
      <c r="CA19" s="1546"/>
      <c r="CB19" s="1546"/>
      <c r="CD19" s="454"/>
      <c r="CE19" s="454"/>
      <c r="CF19" s="454"/>
      <c r="CG19" s="454"/>
      <c r="CH19" s="454"/>
      <c r="CI19" s="454"/>
      <c r="CJ19" s="454"/>
      <c r="CK19" s="454"/>
      <c r="CL19" s="454"/>
      <c r="CM19" s="454"/>
      <c r="CN19" s="454"/>
    </row>
    <row r="20" spans="1:92" s="481" customFormat="1">
      <c r="A20" s="469">
        <v>14</v>
      </c>
      <c r="B20" s="482">
        <f t="shared" si="12"/>
        <v>11</v>
      </c>
      <c r="C20" s="488" t="s">
        <v>425</v>
      </c>
      <c r="D20" s="488" t="s">
        <v>439</v>
      </c>
      <c r="E20" s="489">
        <f>INDEX('18 KMP- Tháng'!$E$6:$Q$29,MATCH($A20,'18 KMP- Tháng'!$A$6:$A$29,0),MATCH(E$7,'18 KMP- Tháng'!$E$2:$P$2,0))</f>
        <v>0</v>
      </c>
      <c r="F20" s="489">
        <f>INDEX('18 KMP- Tháng'!$E$6:$Q$29,MATCH($A20,'18 KMP- Tháng'!$A$6:$A$29,0),MATCH(F$7,'18 KMP- Tháng'!$E$2:$P$2,0))</f>
        <v>0</v>
      </c>
      <c r="G20" s="489">
        <f>INDEX('18 KMP- Tháng'!$E$6:$Q$29,MATCH($A20,'18 KMP- Tháng'!$A$6:$A$29,0),MATCH(G$7,'18 KMP- Tháng'!$E$2:$P$2,0))</f>
        <v>0</v>
      </c>
      <c r="H20" s="489">
        <f>INDEX('18 KMP- Tháng'!$E$6:$Q$29,MATCH($A20,'18 KMP- Tháng'!$A$6:$A$29,0),MATCH(H$7,'18 KMP- Tháng'!$E$2:$P$2,0))</f>
        <v>81.42</v>
      </c>
      <c r="I20" s="489">
        <f>INDEX('18 KMP- Tháng'!$E$6:$Q$29,MATCH($A20,'18 KMP- Tháng'!$A$6:$A$29,0),MATCH(I$7,'18 KMP- Tháng'!$E$2:$P$2,0))</f>
        <v>54.022096999999995</v>
      </c>
      <c r="J20" s="489">
        <f>INDEX('18 KMP- Tháng'!$E$6:$Q$29,MATCH($A20,'18 KMP- Tháng'!$A$6:$A$29,0),MATCH(J$7,'18 KMP- Tháng'!$E$2:$P$2,0))</f>
        <v>61.597110999999998</v>
      </c>
      <c r="K20" s="489">
        <f>INDEX('18 KMP- Tháng'!$E$6:$Q$29,MATCH($A20,'18 KMP- Tháng'!$A$6:$A$29,0),MATCH(K$7,'18 KMP- Tháng'!$E$2:$P$2,0))</f>
        <v>33.630000000000003</v>
      </c>
      <c r="L20" s="489">
        <f>INDEX('18 KMP- Tháng'!$E$6:$Q$29,MATCH($A20,'18 KMP- Tháng'!$A$6:$A$29,0),MATCH(L$7,'18 KMP- Tháng'!$E$2:$P$2,0))</f>
        <v>68.504600000000011</v>
      </c>
      <c r="M20" s="489">
        <f>INDEX('18 KMP- Tháng'!$E$6:$Q$29,MATCH($A20,'18 KMP- Tháng'!$A$6:$A$29,0),MATCH(M$7,'18 KMP- Tháng'!$E$2:$P$2,0))</f>
        <v>44.922600000000003</v>
      </c>
      <c r="N20" s="489">
        <f>INDEX('18 KMP- Tháng'!$E$6:$Q$29,MATCH($A20,'18 KMP- Tháng'!$A$6:$A$29,0),MATCH(N$7,'18 KMP- Tháng'!$E$2:$P$2,0))</f>
        <v>0</v>
      </c>
      <c r="O20" s="489">
        <f>INDEX('18 KMP- Tháng'!$E$6:$Q$29,MATCH($A20,'18 KMP- Tháng'!$A$6:$A$29,0),MATCH(O$7,'18 KMP- Tháng'!$E$2:$P$2,0))</f>
        <v>22.420062999999999</v>
      </c>
      <c r="P20" s="825">
        <f>INDEX('18 KMP- Tháng'!$E$6:$Q$29,MATCH($A20,'18 KMP- Tháng'!$A$6:$A$29,0),MATCH(P$7,'18 KMP- Tháng'!$E$2:$P$2,0))</f>
        <v>0.13513700000000001</v>
      </c>
      <c r="Q20" s="826">
        <f t="shared" si="3"/>
        <v>30.554300666666666</v>
      </c>
      <c r="R20" s="489">
        <f>INDEX('18 KMP- Tháng'!$R$6:$AC$24,MATCH($A20,'18 KMP- Tháng'!$A$6:$A$24,0),MATCH(R$7,'18 KMP- Tháng'!$R$2:$AC$2,0))</f>
        <v>22.973268999999998</v>
      </c>
      <c r="S20" s="489">
        <f>INDEX('18 KMP- Tháng'!$R$6:$AC$24,MATCH($A20,'18 KMP- Tháng'!$A$6:$A$24,0),MATCH(S$7,'18 KMP- Tháng'!$R$2:$AC$2,0))</f>
        <v>0</v>
      </c>
      <c r="T20" s="489">
        <f>INDEX('18 KMP- Tháng'!$R$6:$AC$24,MATCH($A20,'18 KMP- Tháng'!$A$6:$A$24,0),MATCH(T$7,'18 KMP- Tháng'!$R$2:$AC$2,0))</f>
        <v>23.045940000000002</v>
      </c>
      <c r="U20" s="489">
        <f>INDEX('18 KMP- Tháng'!$R$6:$AC$24,MATCH($A20,'18 KMP- Tháng'!$A$6:$A$24,0),MATCH(U$7,'18 KMP- Tháng'!$R$2:$AC$2,0))</f>
        <v>0</v>
      </c>
      <c r="V20" s="489">
        <f>INDEX('18 KMP- Tháng'!$R$6:$AC$24,MATCH($A20,'18 KMP- Tháng'!$A$6:$A$24,0),MATCH(V$7,'18 KMP- Tháng'!$R$2:$AC$2,0))</f>
        <v>0</v>
      </c>
      <c r="W20" s="489">
        <f>INDEX('18 KMP- Tháng'!$R$6:$AC$24,MATCH($A20,'18 KMP- Tháng'!$A$6:$A$24,0),MATCH(W$7,'18 KMP- Tháng'!$R$2:$AC$2,0))</f>
        <v>10.511874000000001</v>
      </c>
      <c r="X20" s="489">
        <f>INDEX('18 KMP- Tháng'!$R$6:$AC$24,MATCH($A20,'18 KMP- Tháng'!$A$6:$A$24,0),MATCH(X$7,'18 KMP- Tháng'!$R$2:$AC$2,0))</f>
        <v>20.243397999999999</v>
      </c>
      <c r="Y20" s="489">
        <f>INDEX('18 KMP- Tháng'!$R$6:$AC$24,MATCH($A20,'18 KMP- Tháng'!$A$6:$A$24,0),MATCH(Y$7,'18 KMP- Tháng'!$R$2:$AC$2,0))</f>
        <v>29.591062000000001</v>
      </c>
      <c r="Z20" s="489">
        <f>INDEX('18 KMP- Tháng'!$R$6:$AC$24,MATCH($A20,'18 KMP- Tháng'!$A$6:$A$24,0),MATCH(Z$7,'18 KMP- Tháng'!$R$2:$AC$2,0))</f>
        <v>0.11293499999999999</v>
      </c>
      <c r="AA20" s="489">
        <f>INDEX('18 KMP- Tháng'!$R$6:$AC$24,MATCH($A20,'18 KMP- Tháng'!$A$6:$A$24,0),MATCH(AA$7,'18 KMP- Tháng'!$R$2:$AC$2,0))</f>
        <v>40.229782999999998</v>
      </c>
      <c r="AB20" s="489">
        <f>INDEX('18 KMP- Tháng'!$R$6:$AC$24,MATCH($A20,'18 KMP- Tháng'!$A$6:$A$24,0),MATCH(AB$7,'18 KMP- Tháng'!$R$2:$AC$2,0))</f>
        <v>11.25</v>
      </c>
      <c r="AC20" s="825">
        <f>INDEX('18 KMP- Tháng'!$R$6:$AC$24,MATCH($A20,'18 KMP- Tháng'!$A$6:$A$24,0),MATCH(AC$7,'18 KMP- Tháng'!$R$2:$AC$2,0))</f>
        <v>7.5</v>
      </c>
      <c r="AD20" s="826">
        <f t="shared" si="7"/>
        <v>13.788188416666666</v>
      </c>
      <c r="AE20" s="827">
        <f>INDEX('18 KMP- Tháng'!$AF$6:$AQ$29,MATCH($A20,'18 KMP- Tháng'!$A$6:$A$29,0),MATCH(AE$7,'18 KMP- Tháng'!$AF$2:$AQ$2,0))</f>
        <v>69.350499999999997</v>
      </c>
      <c r="AF20" s="489">
        <f>INDEX('18 KMP- Tháng'!$AF$6:$AQ$29,MATCH($A20,'18 KMP- Tháng'!$A$6:$A$29,0),MATCH(AF$7,'18 KMP- Tháng'!$AF$2:$AQ$2,0))</f>
        <v>24.741620000000001</v>
      </c>
      <c r="AG20" s="489">
        <f>INDEX('18 KMP- Tháng'!$AF$6:$AQ$29,MATCH($A20,'18 KMP- Tháng'!$A$6:$A$29,0),MATCH(AG$7,'18 KMP- Tháng'!$AF$2:$AQ$2,0))</f>
        <v>27.060865</v>
      </c>
      <c r="AH20" s="489">
        <f>INDEX('18 KMP- Tháng'!$AF$6:$AQ$29,MATCH($A20,'18 KMP- Tháng'!$A$6:$A$29,0),MATCH(AH$7,'18 KMP- Tháng'!$AF$2:$AQ$2,0))</f>
        <v>59.404617999999999</v>
      </c>
      <c r="AI20" s="489">
        <f>INDEX('18 KMP- Tháng'!$AF$6:$AQ$29,MATCH($A20,'18 KMP- Tháng'!$A$6:$A$29,0),MATCH(AI$7,'18 KMP- Tháng'!$AF$2:$AQ$2,0))</f>
        <v>64.824844999999996</v>
      </c>
      <c r="AJ20" s="489">
        <f>INDEX('18 KMP- Tháng'!$AF$6:$AQ$29,MATCH($A20,'18 KMP- Tháng'!$A$6:$A$29,0),MATCH(AJ$7,'18 KMP- Tháng'!$AF$2:$AQ$2,0))</f>
        <v>51.009450999999999</v>
      </c>
      <c r="AK20" s="489">
        <f>INDEX('18 KMP- Tháng'!$AF$6:$AQ$29,MATCH($A20,'18 KMP- Tháng'!$A$6:$A$29,0),MATCH(AK$7,'18 KMP- Tháng'!$AF$2:$AQ$2,0))</f>
        <v>0.13318199999999999</v>
      </c>
      <c r="AL20" s="489">
        <f>INDEX('18 KMP- Tháng'!$AF$6:$AQ$29,MATCH($A20,'18 KMP- Tháng'!$A$6:$A$29,0),MATCH(AL$7,'18 KMP- Tháng'!$AF$2:$AQ$2,0))</f>
        <v>22.427802</v>
      </c>
      <c r="AM20" s="489">
        <f>INDEX('18 KMP- Tháng'!$AF$6:$AQ$29,MATCH($A20,'18 KMP- Tháng'!$A$6:$A$29,0),MATCH(AM$7,'18 KMP- Tháng'!$AF$2:$AQ$2,0))</f>
        <v>103.48003300000001</v>
      </c>
      <c r="AN20" s="489">
        <f>INDEX('18 KMP- Tháng'!$AF$6:$AQ$29,MATCH($A20,'18 KMP- Tháng'!$A$6:$A$29,0),MATCH(AN$7,'18 KMP- Tháng'!$AF$2:$AQ$2,0))</f>
        <v>147.881586</v>
      </c>
      <c r="AO20" s="489">
        <f>INDEX('18 KMP- Tháng'!$AF$6:$AQ$29,MATCH($A20,'18 KMP- Tháng'!$A$6:$A$29,0),MATCH(AO$7,'18 KMP- Tháng'!$AF$2:$AQ$2,0))</f>
        <v>106.00182599999999</v>
      </c>
      <c r="AP20" s="825">
        <f>INDEX('18 KMP- Tháng'!$AF$6:$AQ$29,MATCH($A20,'18 KMP- Tháng'!$A$6:$A$29,0),MATCH(AP$7,'18 KMP- Tháng'!$AF$2:$AQ$2,0))</f>
        <v>124.927651</v>
      </c>
      <c r="AQ20" s="826">
        <f t="shared" si="8"/>
        <v>66.770331583333316</v>
      </c>
      <c r="AR20" s="827">
        <f t="shared" si="9"/>
        <v>801.24397899999985</v>
      </c>
      <c r="AS20" s="827">
        <f>INDEX('18 KMP- Tháng'!$BH$6:$BS$29,MATCH($A20,'18 KMP- Tháng'!$A$6:$A$29,0),MATCH(AS$7,'18 KMP- Tháng'!$BH$2:$BS$2,0))</f>
        <v>55.069493307236243</v>
      </c>
      <c r="AT20" s="489">
        <f>INDEX('18 KMP- Tháng'!$BH$6:$BS$29,MATCH($A20,'18 KMP- Tháng'!$A$6:$A$29,0),MATCH(AT$7,'18 KMP- Tháng'!$BH$2:$BS$2,0))</f>
        <v>47.074623377166319</v>
      </c>
      <c r="AU20" s="489">
        <f>INDEX('18 KMP- Tháng'!$BH$6:$BS$29,MATCH($A20,'18 KMP- Tháng'!$A$6:$A$29,0),MATCH(AU$7,'18 KMP- Tháng'!$BH$2:$BS$2,0))</f>
        <v>49.856552724992397</v>
      </c>
      <c r="AV20" s="489">
        <f>INDEX('18 KMP- Tháng'!$BH$6:$BS$29,MATCH($A20,'18 KMP- Tháng'!$A$6:$A$29,0),MATCH(AV$7,'18 KMP- Tháng'!$BH$2:$BS$2,0))</f>
        <v>57.851422655062336</v>
      </c>
      <c r="AW20" s="489">
        <f>INDEX('18 KMP- Tháng'!$BH$6:$BS$29,MATCH($A20,'18 KMP- Tháng'!$A$6:$A$29,0),MATCH(AW$7,'18 KMP- Tháng'!$BH$2:$BS$2,0))</f>
        <v>49.856552724992397</v>
      </c>
      <c r="AX20" s="489">
        <f>INDEX('18 KMP- Tháng'!$BH$6:$BS$29,MATCH($A20,'18 KMP- Tháng'!$A$6:$A$29,0),MATCH(AX$7,'18 KMP- Tháng'!$BH$2:$BS$2,0))</f>
        <v>80.620526828063248</v>
      </c>
      <c r="AY20" s="489">
        <f>INDEX('18 KMP- Tháng'!$BH$6:$BS$29,MATCH($A20,'18 KMP- Tháng'!$A$6:$A$29,0),MATCH(AY$7,'18 KMP- Tháng'!$BH$2:$BS$2,0))</f>
        <v>59.242387328975376</v>
      </c>
      <c r="AZ20" s="489">
        <f>INDEX('18 KMP- Tháng'!$BH$6:$BS$29,MATCH($A20,'18 KMP- Tháng'!$A$6:$A$29,0),MATCH(AZ$7,'18 KMP- Tháng'!$BH$2:$BS$2,0))</f>
        <v>54.02944674673153</v>
      </c>
      <c r="BA20" s="489">
        <f>INDEX('18 KMP- Tháng'!$BH$6:$BS$29,MATCH($A20,'18 KMP- Tháng'!$A$6:$A$29,0),MATCH(BA$7,'18 KMP- Tháng'!$BH$2:$BS$2,0))</f>
        <v>79.229562154150202</v>
      </c>
      <c r="BB20" s="489">
        <f>INDEX('18 KMP- Tháng'!$BH$6:$BS$29,MATCH($A20,'18 KMP- Tháng'!$A$6:$A$29,0),MATCH(BB$7,'18 KMP- Tháng'!$BH$2:$BS$2,0))</f>
        <v>62.024316676801462</v>
      </c>
      <c r="BC20" s="489">
        <f>INDEX('18 KMP- Tháng'!$BH$6:$BS$29,MATCH($A20,'18 KMP- Tháng'!$A$6:$A$29,0),MATCH(BC$7,'18 KMP- Tháng'!$BH$2:$BS$2,0))</f>
        <v>51.247517398905444</v>
      </c>
      <c r="BD20" s="825">
        <f>INDEX('18 KMP- Tháng'!$BH$6:$BS$29,MATCH($A20,'18 KMP- Tháng'!$A$6:$A$29,0),MATCH(BD$7,'18 KMP- Tháng'!$BH$2:$BS$2,0))</f>
        <v>54.02944674673153</v>
      </c>
      <c r="BE20" s="826">
        <f t="shared" si="4"/>
        <v>58.344320722484042</v>
      </c>
      <c r="BF20" s="827">
        <f>INDEX('18 KMP- Tháng'!$AS$6:$BD$29,MATCH($A20,'18 KMP- Tháng'!$A$6:$A$29,0),MATCH(BF$7,'18 KMP- Tháng'!$AS$2:$BD$2,0))</f>
        <v>120.08</v>
      </c>
      <c r="BG20" s="489">
        <f>INDEX('18 KMP- Tháng'!$AS$6:$BD$29,MATCH($A20,'18 KMP- Tháng'!$A$6:$A$29,0),MATCH(BG$7,'18 KMP- Tháng'!$AS$2:$BD$2,0))</f>
        <v>39.67</v>
      </c>
      <c r="BH20" s="489">
        <f>INDEX('18 KMP- Tháng'!$AS$6:$BD$29,MATCH($A20,'18 KMP- Tháng'!$A$6:$A$29,0),MATCH(BH$7,'18 KMP- Tháng'!$AS$2:$BD$2,0))</f>
        <v>199.763631</v>
      </c>
      <c r="BI20" s="489">
        <f>INDEX('18 KMP- Tháng'!$AS$6:$BD$29,MATCH($A20,'18 KMP- Tháng'!$A$6:$A$29,0),MATCH(BI$7,'18 KMP- Tháng'!$AS$2:$BD$2,0))</f>
        <v>40.458143</v>
      </c>
      <c r="BJ20" s="489">
        <f>INDEX('18 KMP- Tháng'!$AS$6:$BD$29,MATCH($A20,'18 KMP- Tháng'!$A$6:$A$29,0),MATCH(BJ$7,'18 KMP- Tháng'!$AS$2:$BD$2,0))</f>
        <v>2.6549999999999998</v>
      </c>
      <c r="BK20" s="489">
        <f>INDEX('18 KMP- Tháng'!$AS$6:$BD$29,MATCH($A20,'18 KMP- Tháng'!$A$6:$A$29,0),MATCH(BK$7,'18 KMP- Tháng'!$AS$2:$BD$2,0))</f>
        <v>0</v>
      </c>
      <c r="BL20" s="489">
        <f>INDEX('18 KMP- Tháng'!$AS$6:$BD$29,MATCH($A20,'18 KMP- Tháng'!$A$6:$A$29,0),MATCH(BL$7,'18 KMP- Tháng'!$AS$2:$BD$2,0))</f>
        <v>0</v>
      </c>
      <c r="BM20" s="489">
        <f>INDEX('18 KMP- Tháng'!$AS$6:$BD$29,MATCH($A20,'18 KMP- Tháng'!$A$6:$A$29,0),MATCH(BM$7,'18 KMP- Tháng'!$AS$2:$BD$2,0))</f>
        <v>0</v>
      </c>
      <c r="BN20" s="489">
        <f>INDEX('18 KMP- Tháng'!$AS$6:$BD$29,MATCH($A20,'18 KMP- Tháng'!$A$6:$A$29,0),MATCH(BN$7,'18 KMP- Tháng'!$AS$2:$BD$2,0))</f>
        <v>0</v>
      </c>
      <c r="BO20" s="489">
        <f>INDEX('18 KMP- Tháng'!$AS$6:$BD$29,MATCH($A20,'18 KMP- Tháng'!$A$6:$A$29,0),MATCH(BO$7,'18 KMP- Tháng'!$AS$2:$BD$2,0))</f>
        <v>0</v>
      </c>
      <c r="BP20" s="489">
        <f>INDEX('18 KMP- Tháng'!$AS$6:$BD$29,MATCH($A20,'18 KMP- Tháng'!$A$6:$A$29,0),MATCH(BP$7,'18 KMP- Tháng'!$AS$2:$BD$2,0))</f>
        <v>0</v>
      </c>
      <c r="BQ20" s="825">
        <f>INDEX('18 KMP- Tháng'!$AS$6:$BD$29,MATCH($A20,'18 KMP- Tháng'!$A$6:$A$29,0),MATCH(BQ$7,'18 KMP- Tháng'!$AS$2:$BD$2,0))</f>
        <v>0</v>
      </c>
      <c r="BR20" s="826">
        <f t="shared" si="10"/>
        <v>80.525354800000002</v>
      </c>
      <c r="BS20" s="827">
        <f t="shared" si="11"/>
        <v>402.62677400000001</v>
      </c>
      <c r="BT20" s="479">
        <f t="shared" si="5"/>
        <v>-0.94674722067839467</v>
      </c>
      <c r="BU20" s="490">
        <f t="shared" si="6"/>
        <v>7.7164443543545141E-4</v>
      </c>
      <c r="BV20" s="1557"/>
      <c r="BW20" s="1557"/>
      <c r="BX20" s="1557"/>
      <c r="BY20" s="1558"/>
      <c r="BZ20" s="1558"/>
      <c r="CA20" s="1558"/>
      <c r="CB20" s="1558"/>
      <c r="CD20" s="454"/>
      <c r="CE20" s="454"/>
      <c r="CF20" s="454"/>
      <c r="CG20" s="454"/>
      <c r="CH20" s="454"/>
      <c r="CI20" s="454"/>
      <c r="CJ20" s="454"/>
      <c r="CK20" s="454"/>
      <c r="CL20" s="454"/>
      <c r="CM20" s="454"/>
      <c r="CN20" s="454"/>
    </row>
    <row r="21" spans="1:92" s="471" customFormat="1">
      <c r="A21" s="469">
        <v>15</v>
      </c>
      <c r="B21" s="470" t="s">
        <v>522</v>
      </c>
      <c r="D21" s="472" t="s">
        <v>523</v>
      </c>
      <c r="E21" s="473">
        <f t="shared" ref="E21:Q21" si="13">SUM(E22:E28)</f>
        <v>12541.129863</v>
      </c>
      <c r="F21" s="473">
        <f t="shared" si="13"/>
        <v>12863.679181</v>
      </c>
      <c r="G21" s="473">
        <f t="shared" si="13"/>
        <v>13575.679185999998</v>
      </c>
      <c r="H21" s="473">
        <f t="shared" si="13"/>
        <v>12209.182043000001</v>
      </c>
      <c r="I21" s="473">
        <f t="shared" si="13"/>
        <v>12913.786542000002</v>
      </c>
      <c r="J21" s="473">
        <f t="shared" si="13"/>
        <v>13045.400177000001</v>
      </c>
      <c r="K21" s="473">
        <f t="shared" si="13"/>
        <v>13363.306664</v>
      </c>
      <c r="L21" s="473">
        <f t="shared" si="13"/>
        <v>13997.30572</v>
      </c>
      <c r="M21" s="473">
        <f t="shared" si="13"/>
        <v>12413.109417000001</v>
      </c>
      <c r="N21" s="473">
        <f t="shared" si="13"/>
        <v>12710.425177000001</v>
      </c>
      <c r="O21" s="473">
        <f t="shared" si="13"/>
        <v>13296.455884000001</v>
      </c>
      <c r="P21" s="812">
        <f t="shared" si="13"/>
        <v>14569.423120999998</v>
      </c>
      <c r="Q21" s="813">
        <f t="shared" si="13"/>
        <v>13124.906914583336</v>
      </c>
      <c r="R21" s="473">
        <f>SUM(R22:R28)</f>
        <v>22156.645086</v>
      </c>
      <c r="S21" s="473">
        <f>SUM(S22:S28)</f>
        <v>22610.102154000004</v>
      </c>
      <c r="T21" s="473">
        <f>SUM(T22:T28)</f>
        <v>23393.321682999998</v>
      </c>
      <c r="U21" s="473">
        <f>SUM(U22:U28)</f>
        <v>24910.219128999997</v>
      </c>
      <c r="V21" s="473">
        <f>SUM(V22:V28)</f>
        <v>25950.148207999999</v>
      </c>
      <c r="W21" s="473">
        <f t="shared" ref="W21:BS21" si="14">SUM(W22:W28)</f>
        <v>25824.229642999999</v>
      </c>
      <c r="X21" s="473">
        <f t="shared" si="14"/>
        <v>25186.690293</v>
      </c>
      <c r="Y21" s="473">
        <f t="shared" si="14"/>
        <v>26591.989554999996</v>
      </c>
      <c r="Z21" s="473">
        <f t="shared" si="14"/>
        <v>28396.020464999998</v>
      </c>
      <c r="AA21" s="473">
        <f t="shared" si="14"/>
        <v>27999.098217999999</v>
      </c>
      <c r="AB21" s="473">
        <f t="shared" si="14"/>
        <v>28310.542508999999</v>
      </c>
      <c r="AC21" s="812">
        <f t="shared" si="14"/>
        <v>38702.101193000002</v>
      </c>
      <c r="AD21" s="813">
        <f t="shared" si="14"/>
        <v>26669.259011333332</v>
      </c>
      <c r="AE21" s="814">
        <f t="shared" si="14"/>
        <v>30567.698623999997</v>
      </c>
      <c r="AF21" s="473">
        <f t="shared" si="14"/>
        <v>29587.737881000005</v>
      </c>
      <c r="AG21" s="473">
        <f t="shared" si="14"/>
        <v>30844.101260999996</v>
      </c>
      <c r="AH21" s="473">
        <f t="shared" si="14"/>
        <v>30755.137102000004</v>
      </c>
      <c r="AI21" s="473">
        <f t="shared" si="14"/>
        <v>31902.529646999999</v>
      </c>
      <c r="AJ21" s="473">
        <f t="shared" si="14"/>
        <v>32960.979194000007</v>
      </c>
      <c r="AK21" s="473">
        <f t="shared" si="14"/>
        <v>33885.309926000002</v>
      </c>
      <c r="AL21" s="473">
        <f t="shared" si="14"/>
        <v>34611.768867999999</v>
      </c>
      <c r="AM21" s="473">
        <f t="shared" si="14"/>
        <v>37024.076070000003</v>
      </c>
      <c r="AN21" s="473">
        <f t="shared" si="14"/>
        <v>36177.490911000008</v>
      </c>
      <c r="AO21" s="473">
        <f t="shared" si="14"/>
        <v>35987.824934000004</v>
      </c>
      <c r="AP21" s="812">
        <f t="shared" si="14"/>
        <v>43134.470695999997</v>
      </c>
      <c r="AQ21" s="813">
        <f t="shared" si="14"/>
        <v>33953.260426166664</v>
      </c>
      <c r="AR21" s="814">
        <f t="shared" si="14"/>
        <v>407439.12511400005</v>
      </c>
      <c r="AS21" s="814">
        <f t="shared" si="14"/>
        <v>36185.650410826915</v>
      </c>
      <c r="AT21" s="473">
        <f t="shared" si="14"/>
        <v>33644.07468121445</v>
      </c>
      <c r="AU21" s="473">
        <f t="shared" si="14"/>
        <v>34979.728624749441</v>
      </c>
      <c r="AV21" s="473">
        <f t="shared" si="14"/>
        <v>35845.540695961856</v>
      </c>
      <c r="AW21" s="473">
        <f t="shared" si="14"/>
        <v>36868.268194613986</v>
      </c>
      <c r="AX21" s="473">
        <f t="shared" si="14"/>
        <v>37068.470745500075</v>
      </c>
      <c r="AY21" s="473">
        <f t="shared" si="14"/>
        <v>37043.808153126527</v>
      </c>
      <c r="AZ21" s="473">
        <f t="shared" si="14"/>
        <v>37279.713477978221</v>
      </c>
      <c r="BA21" s="473">
        <f t="shared" si="14"/>
        <v>38167.044911760604</v>
      </c>
      <c r="BB21" s="473">
        <f t="shared" si="14"/>
        <v>36167.63752103602</v>
      </c>
      <c r="BC21" s="473">
        <f t="shared" si="14"/>
        <v>36576.778121690899</v>
      </c>
      <c r="BD21" s="812">
        <f t="shared" si="14"/>
        <v>38520.957909570992</v>
      </c>
      <c r="BE21" s="813">
        <f t="shared" si="14"/>
        <v>36528.972787335828</v>
      </c>
      <c r="BF21" s="814">
        <f t="shared" si="14"/>
        <v>32189.357767000001</v>
      </c>
      <c r="BG21" s="473">
        <f t="shared" si="14"/>
        <v>29924.915817000001</v>
      </c>
      <c r="BH21" s="473">
        <f t="shared" si="14"/>
        <v>30261.110865999999</v>
      </c>
      <c r="BI21" s="473">
        <f t="shared" si="14"/>
        <v>32664.294545000004</v>
      </c>
      <c r="BJ21" s="473">
        <f t="shared" si="14"/>
        <v>32383.294872999999</v>
      </c>
      <c r="BK21" s="473">
        <f t="shared" si="14"/>
        <v>0</v>
      </c>
      <c r="BL21" s="473">
        <f t="shared" si="14"/>
        <v>0</v>
      </c>
      <c r="BM21" s="473">
        <f t="shared" si="14"/>
        <v>0</v>
      </c>
      <c r="BN21" s="473">
        <f t="shared" si="14"/>
        <v>0</v>
      </c>
      <c r="BO21" s="473">
        <f t="shared" si="14"/>
        <v>0</v>
      </c>
      <c r="BP21" s="473">
        <f t="shared" si="14"/>
        <v>0</v>
      </c>
      <c r="BQ21" s="812">
        <f t="shared" si="14"/>
        <v>0</v>
      </c>
      <c r="BR21" s="813">
        <f t="shared" si="14"/>
        <v>31484.594773600002</v>
      </c>
      <c r="BS21" s="814">
        <f t="shared" si="14"/>
        <v>157422.97386800003</v>
      </c>
      <c r="BT21" s="474">
        <f t="shared" si="5"/>
        <v>-0.12164860301925406</v>
      </c>
      <c r="BU21" s="475">
        <f t="shared" si="6"/>
        <v>0.30170512653225268</v>
      </c>
      <c r="BV21" s="1549"/>
      <c r="BW21" s="1549"/>
      <c r="BX21" s="1549"/>
      <c r="BY21" s="1549"/>
      <c r="BZ21" s="1549"/>
      <c r="CA21" s="1549"/>
      <c r="CB21" s="1549"/>
      <c r="CD21" s="454"/>
      <c r="CE21" s="454"/>
      <c r="CF21" s="454"/>
      <c r="CG21" s="454"/>
      <c r="CH21" s="454"/>
      <c r="CI21" s="454"/>
      <c r="CJ21" s="454"/>
      <c r="CK21" s="454"/>
      <c r="CL21" s="454"/>
      <c r="CM21" s="454"/>
      <c r="CN21" s="454"/>
    </row>
    <row r="22" spans="1:92" s="481" customFormat="1">
      <c r="A22" s="469">
        <v>16</v>
      </c>
      <c r="B22" s="476">
        <v>1</v>
      </c>
      <c r="C22" s="477" t="s">
        <v>440</v>
      </c>
      <c r="D22" s="477" t="s">
        <v>441</v>
      </c>
      <c r="E22" s="1014">
        <f>INDEX('18 KMP- Tháng'!$E$6:$Q$29,MATCH($A22,'18 KMP- Tháng'!$A$6:$A$29,0),MATCH(E$7,'18 KMP- Tháng'!$E$2:$P$2,0))</f>
        <v>3029.1393939999998</v>
      </c>
      <c r="F22" s="478">
        <f>INDEX('18 KMP- Tháng'!$E$6:$Q$29,MATCH($A22,'18 KMP- Tháng'!$A$6:$A$29,0),MATCH(F$7,'18 KMP- Tháng'!$E$2:$P$2,0))</f>
        <v>3029.1393939999998</v>
      </c>
      <c r="G22" s="478">
        <f>INDEX('18 KMP- Tháng'!$E$6:$Q$29,MATCH($A22,'18 KMP- Tháng'!$A$6:$A$29,0),MATCH(G$7,'18 KMP- Tháng'!$E$2:$P$2,0))</f>
        <v>3029.1393939999998</v>
      </c>
      <c r="H22" s="478">
        <f>INDEX('18 KMP- Tháng'!$E$6:$Q$29,MATCH($A22,'18 KMP- Tháng'!$A$6:$A$29,0),MATCH(H$7,'18 KMP- Tháng'!$E$2:$P$2,0))</f>
        <v>1200</v>
      </c>
      <c r="I22" s="478">
        <f>INDEX('18 KMP- Tháng'!$E$6:$Q$29,MATCH($A22,'18 KMP- Tháng'!$A$6:$A$29,0),MATCH(I$7,'18 KMP- Tháng'!$E$2:$P$2,0))</f>
        <v>1381.636364</v>
      </c>
      <c r="J22" s="478">
        <f>INDEX('18 KMP- Tháng'!$E$6:$Q$29,MATCH($A22,'18 KMP- Tháng'!$A$6:$A$29,0),MATCH(J$7,'18 KMP- Tháng'!$E$2:$P$2,0))</f>
        <v>1317.818182</v>
      </c>
      <c r="K22" s="478">
        <f>INDEX('18 KMP- Tháng'!$E$6:$Q$29,MATCH($A22,'18 KMP- Tháng'!$A$6:$A$29,0),MATCH(K$7,'18 KMP- Tháng'!$E$2:$P$2,0))</f>
        <v>1317.818182</v>
      </c>
      <c r="L22" s="478">
        <f>INDEX('18 KMP- Tháng'!$E$6:$Q$29,MATCH($A22,'18 KMP- Tháng'!$A$6:$A$29,0),MATCH(L$7,'18 KMP- Tháng'!$E$2:$P$2,0))</f>
        <v>1179.4181819999999</v>
      </c>
      <c r="M22" s="478">
        <f>INDEX('18 KMP- Tháng'!$E$6:$Q$29,MATCH($A22,'18 KMP- Tháng'!$A$6:$A$29,0),MATCH(M$7,'18 KMP- Tháng'!$E$2:$P$2,0))</f>
        <v>0</v>
      </c>
      <c r="N22" s="478">
        <f>INDEX('18 KMP- Tháng'!$E$6:$Q$29,MATCH($A22,'18 KMP- Tháng'!$A$6:$A$29,0),MATCH(N$7,'18 KMP- Tháng'!$E$2:$P$2,0))</f>
        <v>79.418182000000002</v>
      </c>
      <c r="O22" s="478">
        <f>INDEX('18 KMP- Tháng'!$E$6:$Q$29,MATCH($A22,'18 KMP- Tháng'!$A$6:$A$29,0),MATCH(O$7,'18 KMP- Tháng'!$E$2:$P$2,0))</f>
        <v>79.418182000000002</v>
      </c>
      <c r="P22" s="815">
        <f>INDEX('18 KMP- Tháng'!$E$6:$Q$29,MATCH($A22,'18 KMP- Tháng'!$A$6:$A$29,0),MATCH(P$7,'18 KMP- Tháng'!$E$2:$P$2,0))</f>
        <v>79.418182000000002</v>
      </c>
      <c r="Q22" s="816">
        <f t="shared" ref="Q22:Q28" si="15">AVERAGE(E22:P22)</f>
        <v>1310.196969833333</v>
      </c>
      <c r="R22" s="478">
        <f>INDEX('18 KMP- Tháng'!$R$6:$AC$24,MATCH($A22,'18 KMP- Tháng'!$A$6:$A$24,0),MATCH(R$7,'18 KMP- Tháng'!$R$2:$AC$2,0))</f>
        <v>5953.6515149999996</v>
      </c>
      <c r="S22" s="478">
        <f>INDEX('18 KMP- Tháng'!$R$6:$AC$24,MATCH($A22,'18 KMP- Tháng'!$A$6:$A$24,0),MATCH(S$7,'18 KMP- Tháng'!$R$2:$AC$2,0))</f>
        <v>7553.6515149999996</v>
      </c>
      <c r="T22" s="478">
        <f>INDEX('18 KMP- Tháng'!$R$6:$AC$24,MATCH($A22,'18 KMP- Tháng'!$A$6:$A$24,0),MATCH(T$7,'18 KMP- Tháng'!$R$2:$AC$2,0))</f>
        <v>7603.6514150000003</v>
      </c>
      <c r="U22" s="478">
        <f>INDEX('18 KMP- Tháng'!$R$6:$AC$24,MATCH($A22,'18 KMP- Tháng'!$A$6:$A$24,0),MATCH(U$7,'18 KMP- Tháng'!$R$2:$AC$2,0))+150</f>
        <v>7639.8333329999996</v>
      </c>
      <c r="V22" s="478">
        <f>INDEX('18 KMP- Tháng'!$R$6:$AC$24,MATCH($A22,'18 KMP- Tháng'!$A$6:$A$24,0),MATCH(V$7,'18 KMP- Tháng'!$R$2:$AC$2,0))-150</f>
        <v>7565.8333329999996</v>
      </c>
      <c r="W22" s="478">
        <f>INDEX('18 KMP- Tháng'!$R$6:$AC$24,MATCH($A22,'18 KMP- Tháng'!$A$6:$A$24,0),MATCH(W$7,'18 KMP- Tháng'!$R$2:$AC$2,0))</f>
        <v>7565.8333329999996</v>
      </c>
      <c r="X22" s="478">
        <f>INDEX('18 KMP- Tháng'!$R$6:$AC$24,MATCH($A22,'18 KMP- Tháng'!$A$6:$A$24,0),MATCH(X$7,'18 KMP- Tháng'!$R$2:$AC$2,0))</f>
        <v>7565.8333329999996</v>
      </c>
      <c r="Y22" s="478">
        <f>INDEX('18 KMP- Tháng'!$R$6:$AC$24,MATCH($A22,'18 KMP- Tháng'!$A$6:$A$24,0),MATCH(Y$7,'18 KMP- Tháng'!$R$2:$AC$2,0))</f>
        <v>7565.8333329999996</v>
      </c>
      <c r="Z22" s="478">
        <f>INDEX('18 KMP- Tháng'!$R$6:$AC$24,MATCH($A22,'18 KMP- Tháng'!$A$6:$A$24,0),MATCH(Z$7,'18 KMP- Tháng'!$R$2:$AC$2,0))</f>
        <v>7565.8333329999996</v>
      </c>
      <c r="AA22" s="478">
        <f>INDEX('18 KMP- Tháng'!$R$6:$AC$24,MATCH($A22,'18 KMP- Tháng'!$A$6:$A$24,0),MATCH(AA$7,'18 KMP- Tháng'!$R$2:$AC$2,0))</f>
        <v>6965.8333329999996</v>
      </c>
      <c r="AB22" s="478">
        <f>INDEX('18 KMP- Tháng'!$R$6:$AC$24,MATCH($A22,'18 KMP- Tháng'!$A$6:$A$24,0),MATCH(AB$7,'18 KMP- Tháng'!$R$2:$AC$2,0))</f>
        <v>6815.8333329999996</v>
      </c>
      <c r="AC22" s="815">
        <f>INDEX('18 KMP- Tháng'!$R$6:$AC$24,MATCH($A22,'18 KMP- Tháng'!$A$6:$A$24,0),MATCH(AC$7,'18 KMP- Tháng'!$R$2:$AC$2,0))</f>
        <v>7115.8333380000004</v>
      </c>
      <c r="AD22" s="816">
        <f t="shared" si="7"/>
        <v>7289.7878705833346</v>
      </c>
      <c r="AE22" s="817">
        <f>INDEX('18 KMP- Tháng'!$AF$6:$AQ$29,MATCH($A22,'18 KMP- Tháng'!$A$6:$A$29,0),MATCH(AE$7,'18 KMP- Tháng'!$AF$2:$AQ$2,0))</f>
        <v>7607.0608030000003</v>
      </c>
      <c r="AF22" s="478">
        <f>INDEX('18 KMP- Tháng'!$AF$6:$AQ$29,MATCH($A22,'18 KMP- Tháng'!$A$6:$A$29,0),MATCH(AF$7,'18 KMP- Tháng'!$AF$2:$AQ$2,0))</f>
        <v>7607.0608030000003</v>
      </c>
      <c r="AG22" s="478">
        <f>INDEX('18 KMP- Tháng'!$AF$6:$AQ$29,MATCH($A22,'18 KMP- Tháng'!$A$6:$A$29,0),MATCH(AG$7,'18 KMP- Tháng'!$AF$2:$AQ$2,0))</f>
        <v>7661.0608030000003</v>
      </c>
      <c r="AH22" s="478">
        <f>INDEX('18 KMP- Tháng'!$AF$6:$AQ$29,MATCH($A22,'18 KMP- Tháng'!$A$6:$A$29,0),MATCH(AH$7,'18 KMP- Tháng'!$AF$2:$AQ$2,0))</f>
        <v>7511.0608030000003</v>
      </c>
      <c r="AI22" s="478">
        <f>INDEX('18 KMP- Tháng'!$AF$6:$AQ$29,MATCH($A22,'18 KMP- Tháng'!$A$6:$A$29,0),MATCH(AI$7,'18 KMP- Tháng'!$AF$2:$AQ$2,0))</f>
        <v>7537.0608030000003</v>
      </c>
      <c r="AJ22" s="478">
        <f>INDEX('18 KMP- Tháng'!$AF$6:$AQ$29,MATCH($A22,'18 KMP- Tháng'!$A$6:$A$29,0),MATCH(AJ$7,'18 KMP- Tháng'!$AF$2:$AQ$2,0))</f>
        <v>8266.7444390000001</v>
      </c>
      <c r="AK22" s="478">
        <f>INDEX('18 KMP- Tháng'!$AF$6:$AQ$29,MATCH($A22,'18 KMP- Tháng'!$A$6:$A$29,0),MATCH(AK$7,'18 KMP- Tháng'!$AF$2:$AQ$2,0))</f>
        <v>8544.6585909999994</v>
      </c>
      <c r="AL22" s="478">
        <f>INDEX('18 KMP- Tháng'!$AF$6:$AQ$29,MATCH($A22,'18 KMP- Tháng'!$A$6:$A$29,0),MATCH(AL$7,'18 KMP- Tháng'!$AF$2:$AQ$2,0))</f>
        <v>8994.6585909999994</v>
      </c>
      <c r="AM22" s="478">
        <f>INDEX('18 KMP- Tháng'!$AF$6:$AQ$29,MATCH($A22,'18 KMP- Tháng'!$A$6:$A$29,0),MATCH(AM$7,'18 KMP- Tháng'!$AF$2:$AQ$2,0))</f>
        <v>9001.4585910000005</v>
      </c>
      <c r="AN22" s="478">
        <f>INDEX('18 KMP- Tháng'!$AF$6:$AQ$29,MATCH($A22,'18 KMP- Tháng'!$A$6:$A$29,0),MATCH(AN$7,'18 KMP- Tháng'!$AF$2:$AQ$2,0))</f>
        <v>9011.6585909999994</v>
      </c>
      <c r="AO22" s="478">
        <f>INDEX('18 KMP- Tháng'!$AF$6:$AQ$29,MATCH($A22,'18 KMP- Tháng'!$A$6:$A$29,0),MATCH(AO$7,'18 KMP- Tháng'!$AF$2:$AQ$2,0))</f>
        <v>9011.6585909999994</v>
      </c>
      <c r="AP22" s="815">
        <f>INDEX('18 KMP- Tháng'!$AF$6:$AQ$29,MATCH($A22,'18 KMP- Tháng'!$A$6:$A$29,0),MATCH(AP$7,'18 KMP- Tháng'!$AF$2:$AQ$2,0))</f>
        <v>8116.6585910000003</v>
      </c>
      <c r="AQ22" s="816">
        <f t="shared" ref="AQ22:AQ28" si="16">SUM(AE22:AP22)/COUNTIFS($AE$29:$AP$29,"&lt;&gt;"&amp;0)</f>
        <v>8239.2333333333336</v>
      </c>
      <c r="AR22" s="817">
        <f t="shared" ref="AR22:AR28" si="17">SUM(AE22:AP22)</f>
        <v>98870.8</v>
      </c>
      <c r="AS22" s="817">
        <f>INDEX('18 KMP- Tháng'!$BH$6:$BS$29,MATCH($A22,'18 KMP- Tháng'!$A$6:$A$29,0),MATCH(AS$7,'18 KMP- Tháng'!$BH$2:$BS$2,0))</f>
        <v>5820</v>
      </c>
      <c r="AT22" s="478">
        <f>INDEX('18 KMP- Tháng'!$BH$6:$BS$29,MATCH($A22,'18 KMP- Tháng'!$A$6:$A$29,0),MATCH(AT$7,'18 KMP- Tháng'!$BH$2:$BS$2,0))</f>
        <v>5820</v>
      </c>
      <c r="AU22" s="478">
        <f>INDEX('18 KMP- Tháng'!$BH$6:$BS$29,MATCH($A22,'18 KMP- Tháng'!$A$6:$A$29,0),MATCH(AU$7,'18 KMP- Tháng'!$BH$2:$BS$2,0))</f>
        <v>5820</v>
      </c>
      <c r="AV22" s="478">
        <f>INDEX('18 KMP- Tháng'!$BH$6:$BS$29,MATCH($A22,'18 KMP- Tháng'!$A$6:$A$29,0),MATCH(AV$7,'18 KMP- Tháng'!$BH$2:$BS$2,0))</f>
        <v>5820</v>
      </c>
      <c r="AW22" s="478">
        <f>INDEX('18 KMP- Tháng'!$BH$6:$BS$29,MATCH($A22,'18 KMP- Tháng'!$A$6:$A$29,0),MATCH(AW$7,'18 KMP- Tháng'!$BH$2:$BS$2,0))</f>
        <v>5820</v>
      </c>
      <c r="AX22" s="478">
        <f>INDEX('18 KMP- Tháng'!$BH$6:$BS$29,MATCH($A22,'18 KMP- Tháng'!$A$6:$A$29,0),MATCH(AX$7,'18 KMP- Tháng'!$BH$2:$BS$2,0))</f>
        <v>5820</v>
      </c>
      <c r="AY22" s="478">
        <f>INDEX('18 KMP- Tháng'!$BH$6:$BS$29,MATCH($A22,'18 KMP- Tháng'!$A$6:$A$29,0),MATCH(AY$7,'18 KMP- Tháng'!$BH$2:$BS$2,0))</f>
        <v>5820</v>
      </c>
      <c r="AZ22" s="478">
        <f>INDEX('18 KMP- Tháng'!$BH$6:$BS$29,MATCH($A22,'18 KMP- Tháng'!$A$6:$A$29,0),MATCH(AZ$7,'18 KMP- Tháng'!$BH$2:$BS$2,0))</f>
        <v>5820</v>
      </c>
      <c r="BA22" s="478">
        <f>INDEX('18 KMP- Tháng'!$BH$6:$BS$29,MATCH($A22,'18 KMP- Tháng'!$A$6:$A$29,0),MATCH(BA$7,'18 KMP- Tháng'!$BH$2:$BS$2,0))</f>
        <v>5820</v>
      </c>
      <c r="BB22" s="478">
        <f>INDEX('18 KMP- Tháng'!$BH$6:$BS$29,MATCH($A22,'18 KMP- Tháng'!$A$6:$A$29,0),MATCH(BB$7,'18 KMP- Tháng'!$BH$2:$BS$2,0))</f>
        <v>5820</v>
      </c>
      <c r="BC22" s="478">
        <f>INDEX('18 KMP- Tháng'!$BH$6:$BS$29,MATCH($A22,'18 KMP- Tháng'!$A$6:$A$29,0),MATCH(BC$7,'18 KMP- Tháng'!$BH$2:$BS$2,0))</f>
        <v>5820</v>
      </c>
      <c r="BD22" s="815">
        <f>INDEX('18 KMP- Tháng'!$BH$6:$BS$29,MATCH($A22,'18 KMP- Tháng'!$A$6:$A$29,0),MATCH(BD$7,'18 KMP- Tháng'!$BH$2:$BS$2,0))</f>
        <v>5820</v>
      </c>
      <c r="BE22" s="816">
        <f t="shared" ref="BE22:BE28" si="18">AVERAGE(AS22:BD22)</f>
        <v>5820</v>
      </c>
      <c r="BF22" s="817">
        <f>INDEX('18 KMP- Tháng'!$AS$6:$BD$29,MATCH($A22,'18 KMP- Tháng'!$A$6:$A$29,0),MATCH(BF$7,'18 KMP- Tháng'!$AS$2:$BD$2,0))</f>
        <v>9336.6666700000005</v>
      </c>
      <c r="BG22" s="478">
        <f>INDEX('18 KMP- Tháng'!$AS$6:$BD$29,MATCH($A22,'18 KMP- Tháng'!$A$6:$A$29,0),MATCH(BG$7,'18 KMP- Tháng'!$AS$2:$BD$2,0))</f>
        <v>9336.6666700000005</v>
      </c>
      <c r="BH22" s="478">
        <f>INDEX('18 KMP- Tháng'!$AS$6:$BD$29,MATCH($A22,'18 KMP- Tháng'!$A$6:$A$29,0),MATCH(BH$7,'18 KMP- Tháng'!$AS$2:$BD$2,0))</f>
        <v>9336.6666700000005</v>
      </c>
      <c r="BI22" s="478">
        <f>INDEX('18 KMP- Tháng'!$AS$6:$BD$29,MATCH($A22,'18 KMP- Tháng'!$A$6:$A$29,0),MATCH(BI$7,'18 KMP- Tháng'!$AS$2:$BD$2,0))</f>
        <v>9336.6666700000005</v>
      </c>
      <c r="BJ22" s="478">
        <f>INDEX('18 KMP- Tháng'!$AS$6:$BD$29,MATCH($A22,'18 KMP- Tháng'!$A$6:$A$29,0),MATCH(BJ$7,'18 KMP- Tháng'!$AS$2:$BD$2,0))</f>
        <v>9336.666663</v>
      </c>
      <c r="BK22" s="478">
        <f>INDEX('18 KMP- Tháng'!$AS$6:$BD$29,MATCH($A22,'18 KMP- Tháng'!$A$6:$A$29,0),MATCH(BK$7,'18 KMP- Tháng'!$AS$2:$BD$2,0))</f>
        <v>0</v>
      </c>
      <c r="BL22" s="478">
        <f>INDEX('18 KMP- Tháng'!$AS$6:$BD$29,MATCH($A22,'18 KMP- Tháng'!$A$6:$A$29,0),MATCH(BL$7,'18 KMP- Tháng'!$AS$2:$BD$2,0))</f>
        <v>0</v>
      </c>
      <c r="BM22" s="478">
        <f>INDEX('18 KMP- Tháng'!$AS$6:$BD$29,MATCH($A22,'18 KMP- Tháng'!$A$6:$A$29,0),MATCH(BM$7,'18 KMP- Tháng'!$AS$2:$BD$2,0))</f>
        <v>0</v>
      </c>
      <c r="BN22" s="478">
        <f>INDEX('18 KMP- Tháng'!$AS$6:$BD$29,MATCH($A22,'18 KMP- Tháng'!$A$6:$A$29,0),MATCH(BN$7,'18 KMP- Tháng'!$AS$2:$BD$2,0))</f>
        <v>0</v>
      </c>
      <c r="BO22" s="478">
        <f>INDEX('18 KMP- Tháng'!$AS$6:$BD$29,MATCH($A22,'18 KMP- Tháng'!$A$6:$A$29,0),MATCH(BO$7,'18 KMP- Tháng'!$AS$2:$BD$2,0))</f>
        <v>0</v>
      </c>
      <c r="BP22" s="478">
        <f>INDEX('18 KMP- Tháng'!$AS$6:$BD$29,MATCH($A22,'18 KMP- Tháng'!$A$6:$A$29,0),MATCH(BP$7,'18 KMP- Tháng'!$AS$2:$BD$2,0))</f>
        <v>0</v>
      </c>
      <c r="BQ22" s="815">
        <f>INDEX('18 KMP- Tháng'!$AS$6:$BD$29,MATCH($A22,'18 KMP- Tháng'!$A$6:$A$29,0),MATCH(BQ$7,'18 KMP- Tháng'!$AS$2:$BD$2,0))</f>
        <v>0</v>
      </c>
      <c r="BR22" s="816">
        <f t="shared" ref="BR22:BR31" si="19">SUM(BF22:BQ22)/COUNTIFS($BF$29:$BQ$29,"&lt;&gt;"&amp;0)</f>
        <v>9336.6666686000008</v>
      </c>
      <c r="BS22" s="817">
        <f t="shared" ref="BS22:BS28" si="20">SUM(BF22:BQ22)</f>
        <v>46683.333343000006</v>
      </c>
      <c r="BT22" s="491">
        <f t="shared" si="5"/>
        <v>0.60423825824742261</v>
      </c>
      <c r="BU22" s="480">
        <f t="shared" si="6"/>
        <v>8.9469793684669924E-2</v>
      </c>
      <c r="BV22" s="1559"/>
      <c r="BW22" s="1559"/>
      <c r="BX22" s="1559"/>
      <c r="BY22" s="1559"/>
      <c r="BZ22" s="1559"/>
      <c r="CA22" s="1559"/>
      <c r="CB22" s="1559"/>
      <c r="CD22" s="454"/>
      <c r="CE22" s="454"/>
      <c r="CF22" s="454"/>
      <c r="CG22" s="454"/>
      <c r="CH22" s="454"/>
      <c r="CI22" s="454"/>
      <c r="CJ22" s="454"/>
      <c r="CK22" s="454"/>
      <c r="CL22" s="454"/>
      <c r="CM22" s="454"/>
      <c r="CN22" s="454"/>
    </row>
    <row r="23" spans="1:92" s="481" customFormat="1">
      <c r="A23" s="469">
        <v>17</v>
      </c>
      <c r="B23" s="482">
        <f t="shared" ref="B23:B28" si="21">B22+1</f>
        <v>2</v>
      </c>
      <c r="C23" s="483" t="s">
        <v>440</v>
      </c>
      <c r="D23" s="483" t="s">
        <v>442</v>
      </c>
      <c r="E23" s="487">
        <f>INDEX('18 KMP- Tháng'!$E$6:$Q$29,MATCH($A23,'18 KMP- Tháng'!$A$6:$A$29,0),MATCH(E$7,'18 KMP- Tháng'!$E$2:$P$2,0))</f>
        <v>6125.5390770000004</v>
      </c>
      <c r="F23" s="484">
        <f>INDEX('18 KMP- Tháng'!$E$6:$Q$29,MATCH($A23,'18 KMP- Tháng'!$A$6:$A$29,0),MATCH(F$7,'18 KMP- Tháng'!$E$2:$P$2,0))</f>
        <v>6126.0910359999998</v>
      </c>
      <c r="G23" s="484">
        <f>INDEX('18 KMP- Tháng'!$E$6:$Q$29,MATCH($A23,'18 KMP- Tháng'!$A$6:$A$29,0),MATCH(G$7,'18 KMP- Tháng'!$E$2:$P$2,0))</f>
        <v>6407.0904010000004</v>
      </c>
      <c r="H23" s="484">
        <f>INDEX('18 KMP- Tháng'!$E$6:$Q$29,MATCH($A23,'18 KMP- Tháng'!$A$6:$A$29,0),MATCH(H$7,'18 KMP- Tháng'!$E$2:$P$2,0))</f>
        <v>7043.8874960000003</v>
      </c>
      <c r="I23" s="484">
        <f>INDEX('18 KMP- Tháng'!$E$6:$Q$29,MATCH($A23,'18 KMP- Tháng'!$A$6:$A$29,0),MATCH(I$7,'18 KMP- Tháng'!$E$2:$P$2,0))</f>
        <v>7372.1250959999998</v>
      </c>
      <c r="J23" s="484">
        <f>INDEX('18 KMP- Tháng'!$E$6:$Q$29,MATCH($A23,'18 KMP- Tháng'!$A$6:$A$29,0),MATCH(J$7,'18 KMP- Tháng'!$E$2:$P$2,0))</f>
        <v>7571.593116</v>
      </c>
      <c r="K23" s="484">
        <f>INDEX('18 KMP- Tháng'!$E$6:$Q$29,MATCH($A23,'18 KMP- Tháng'!$A$6:$A$29,0),MATCH(K$7,'18 KMP- Tháng'!$E$2:$P$2,0))</f>
        <v>7495.9041289999996</v>
      </c>
      <c r="L23" s="484">
        <f>INDEX('18 KMP- Tháng'!$E$6:$Q$29,MATCH($A23,'18 KMP- Tháng'!$A$6:$A$29,0),MATCH(L$7,'18 KMP- Tháng'!$E$2:$P$2,0))</f>
        <v>8307.0938870000009</v>
      </c>
      <c r="M23" s="484">
        <f>INDEX('18 KMP- Tháng'!$E$6:$Q$29,MATCH($A23,'18 KMP- Tháng'!$A$6:$A$29,0),MATCH(M$7,'18 KMP- Tháng'!$E$2:$P$2,0))</f>
        <v>8042.3777319999999</v>
      </c>
      <c r="N23" s="484">
        <f>INDEX('18 KMP- Tháng'!$E$6:$Q$29,MATCH($A23,'18 KMP- Tháng'!$A$6:$A$29,0),MATCH(N$7,'18 KMP- Tháng'!$E$2:$P$2,0))</f>
        <v>7933.8950500000001</v>
      </c>
      <c r="O23" s="484">
        <f>INDEX('18 KMP- Tháng'!$E$6:$Q$29,MATCH($A23,'18 KMP- Tháng'!$A$6:$A$29,0),MATCH(O$7,'18 KMP- Tháng'!$E$2:$P$2,0))</f>
        <v>8291.7686730000005</v>
      </c>
      <c r="P23" s="818">
        <f>INDEX('18 KMP- Tháng'!$E$6:$Q$29,MATCH($A23,'18 KMP- Tháng'!$A$6:$A$29,0),MATCH(P$7,'18 KMP- Tháng'!$E$2:$P$2,0))</f>
        <v>8517.5400150000005</v>
      </c>
      <c r="Q23" s="821">
        <f t="shared" si="15"/>
        <v>7436.2421423333353</v>
      </c>
      <c r="R23" s="484">
        <f>INDEX('18 KMP- Tháng'!$R$6:$AC$24,MATCH($A23,'18 KMP- Tháng'!$A$6:$A$24,0),MATCH(R$7,'18 KMP- Tháng'!$R$2:$AC$2,0))</f>
        <v>9830.8313450000005</v>
      </c>
      <c r="S23" s="484">
        <f>INDEX('18 KMP- Tháng'!$R$6:$AC$24,MATCH($A23,'18 KMP- Tháng'!$A$6:$A$24,0),MATCH(S$7,'18 KMP- Tháng'!$R$2:$AC$2,0))</f>
        <v>8773.2714360000009</v>
      </c>
      <c r="T23" s="484">
        <f>INDEX('18 KMP- Tháng'!$R$6:$AC$24,MATCH($A23,'18 KMP- Tháng'!$A$6:$A$24,0),MATCH(T$7,'18 KMP- Tháng'!$R$2:$AC$2,0))</f>
        <v>9519.9123970000001</v>
      </c>
      <c r="U23" s="484">
        <f>INDEX('18 KMP- Tháng'!$R$6:$AC$24,MATCH($A23,'18 KMP- Tháng'!$A$6:$A$24,0),MATCH(U$7,'18 KMP- Tháng'!$R$2:$AC$2,0))</f>
        <v>10326.124313</v>
      </c>
      <c r="V23" s="484">
        <f>INDEX('18 KMP- Tháng'!$R$6:$AC$24,MATCH($A23,'18 KMP- Tháng'!$A$6:$A$24,0),MATCH(V$7,'18 KMP- Tháng'!$R$2:$AC$2,0))</f>
        <v>10542.358342</v>
      </c>
      <c r="W23" s="484">
        <f>INDEX('18 KMP- Tháng'!$R$6:$AC$24,MATCH($A23,'18 KMP- Tháng'!$A$6:$A$24,0),MATCH(W$7,'18 KMP- Tháng'!$R$2:$AC$2,0))</f>
        <v>10420.118291000001</v>
      </c>
      <c r="X23" s="484">
        <f>INDEX('18 KMP- Tháng'!$R$6:$AC$24,MATCH($A23,'18 KMP- Tháng'!$A$6:$A$24,0),MATCH(X$7,'18 KMP- Tháng'!$R$2:$AC$2,0))</f>
        <v>10367.214110999999</v>
      </c>
      <c r="Y23" s="484">
        <f>INDEX('18 KMP- Tháng'!$R$6:$AC$24,MATCH($A23,'18 KMP- Tháng'!$A$6:$A$24,0),MATCH(Y$7,'18 KMP- Tháng'!$R$2:$AC$2,0))</f>
        <v>10248.121787</v>
      </c>
      <c r="Z23" s="484">
        <f>INDEX('18 KMP- Tháng'!$R$6:$AC$24,MATCH($A23,'18 KMP- Tháng'!$A$6:$A$24,0),MATCH(Z$7,'18 KMP- Tháng'!$R$2:$AC$2,0))</f>
        <v>10990.529123</v>
      </c>
      <c r="AA23" s="484">
        <f>INDEX('18 KMP- Tháng'!$R$6:$AC$24,MATCH($A23,'18 KMP- Tháng'!$A$6:$A$24,0),MATCH(AA$7,'18 KMP- Tháng'!$R$2:$AC$2,0))</f>
        <v>11059.132774</v>
      </c>
      <c r="AB23" s="484">
        <f>INDEX('18 KMP- Tháng'!$R$6:$AC$24,MATCH($A23,'18 KMP- Tháng'!$A$6:$A$24,0),MATCH(AB$7,'18 KMP- Tháng'!$R$2:$AC$2,0))</f>
        <v>11344.443729000001</v>
      </c>
      <c r="AC23" s="818">
        <f>INDEX('18 KMP- Tháng'!$R$6:$AC$24,MATCH($A23,'18 KMP- Tháng'!$A$6:$A$24,0),MATCH(AC$7,'18 KMP- Tháng'!$R$2:$AC$2,0))</f>
        <v>13046.731478</v>
      </c>
      <c r="AD23" s="821">
        <f t="shared" si="7"/>
        <v>10539.0657605</v>
      </c>
      <c r="AE23" s="820">
        <f>INDEX('18 KMP- Tháng'!$AF$6:$AQ$29,MATCH($A23,'18 KMP- Tháng'!$A$6:$A$29,0),MATCH(AE$7,'18 KMP- Tháng'!$AF$2:$AQ$2,0))</f>
        <v>12484.720971999999</v>
      </c>
      <c r="AF23" s="484">
        <f>INDEX('18 KMP- Tháng'!$AF$6:$AQ$29,MATCH($A23,'18 KMP- Tháng'!$A$6:$A$29,0),MATCH(AF$7,'18 KMP- Tháng'!$AF$2:$AQ$2,0))</f>
        <v>12440.263203</v>
      </c>
      <c r="AG23" s="484">
        <f>INDEX('18 KMP- Tháng'!$AF$6:$AQ$29,MATCH($A23,'18 KMP- Tháng'!$A$6:$A$29,0),MATCH(AG$7,'18 KMP- Tháng'!$AF$2:$AQ$2,0))</f>
        <v>12471.463223000001</v>
      </c>
      <c r="AH23" s="484">
        <f>INDEX('18 KMP- Tháng'!$AF$6:$AQ$29,MATCH($A23,'18 KMP- Tháng'!$A$6:$A$29,0),MATCH(AH$7,'18 KMP- Tháng'!$AF$2:$AQ$2,0))</f>
        <v>13751.320948</v>
      </c>
      <c r="AI23" s="484">
        <f>INDEX('18 KMP- Tháng'!$AF$6:$AQ$29,MATCH($A23,'18 KMP- Tháng'!$A$6:$A$29,0),MATCH(AI$7,'18 KMP- Tháng'!$AF$2:$AQ$2,0))</f>
        <v>13836.715722999999</v>
      </c>
      <c r="AJ23" s="484">
        <f>INDEX('18 KMP- Tháng'!$AF$6:$AQ$29,MATCH($A23,'18 KMP- Tháng'!$A$6:$A$29,0),MATCH(AJ$7,'18 KMP- Tháng'!$AF$2:$AQ$2,0))</f>
        <v>14183.474963000001</v>
      </c>
      <c r="AK23" s="484">
        <f>INDEX('18 KMP- Tháng'!$AF$6:$AQ$29,MATCH($A23,'18 KMP- Tháng'!$A$6:$A$29,0),MATCH(AK$7,'18 KMP- Tháng'!$AF$2:$AQ$2,0))</f>
        <v>14703.546302000001</v>
      </c>
      <c r="AL23" s="484">
        <f>INDEX('18 KMP- Tháng'!$AF$6:$AQ$29,MATCH($A23,'18 KMP- Tháng'!$A$6:$A$29,0),MATCH(AL$7,'18 KMP- Tháng'!$AF$2:$AQ$2,0))</f>
        <v>14974.12703</v>
      </c>
      <c r="AM23" s="484">
        <f>INDEX('18 KMP- Tháng'!$AF$6:$AQ$29,MATCH($A23,'18 KMP- Tháng'!$A$6:$A$29,0),MATCH(AM$7,'18 KMP- Tháng'!$AF$2:$AQ$2,0))</f>
        <v>15329.392134</v>
      </c>
      <c r="AN23" s="484">
        <f>INDEX('18 KMP- Tháng'!$AF$6:$AQ$29,MATCH($A23,'18 KMP- Tháng'!$A$6:$A$29,0),MATCH(AN$7,'18 KMP- Tháng'!$AF$2:$AQ$2,0))</f>
        <v>14505.21227</v>
      </c>
      <c r="AO23" s="484">
        <f>INDEX('18 KMP- Tháng'!$AF$6:$AQ$29,MATCH($A23,'18 KMP- Tháng'!$A$6:$A$29,0),MATCH(AO$7,'18 KMP- Tháng'!$AF$2:$AQ$2,0))</f>
        <v>14089.326478000001</v>
      </c>
      <c r="AP23" s="818">
        <f>INDEX('18 KMP- Tháng'!$AF$6:$AQ$29,MATCH($A23,'18 KMP- Tháng'!$A$6:$A$29,0),MATCH(AP$7,'18 KMP- Tháng'!$AF$2:$AQ$2,0))</f>
        <v>20951.962551000001</v>
      </c>
      <c r="AQ23" s="821">
        <f t="shared" si="16"/>
        <v>14476.793816416668</v>
      </c>
      <c r="AR23" s="820">
        <f t="shared" si="17"/>
        <v>173721.52579700001</v>
      </c>
      <c r="AS23" s="820">
        <f>INDEX('18 KMP- Tháng'!$BH$6:$BS$29,MATCH($A23,'18 KMP- Tháng'!$A$6:$A$29,0),MATCH(AS$7,'18 KMP- Tháng'!$BH$2:$BS$2,0))</f>
        <v>15931.069797384615</v>
      </c>
      <c r="AT23" s="484">
        <f>INDEX('18 KMP- Tháng'!$BH$6:$BS$29,MATCH($A23,'18 KMP- Tháng'!$A$6:$A$29,0),MATCH(AT$7,'18 KMP- Tháng'!$BH$2:$BS$2,0))</f>
        <v>15790.248279384619</v>
      </c>
      <c r="AU23" s="484">
        <f>INDEX('18 KMP- Tháng'!$BH$6:$BS$29,MATCH($A23,'18 KMP- Tháng'!$A$6:$A$29,0),MATCH(AU$7,'18 KMP- Tháng'!$BH$2:$BS$2,0))</f>
        <v>15196.810000538462</v>
      </c>
      <c r="AV23" s="484">
        <f>INDEX('18 KMP- Tháng'!$BH$6:$BS$29,MATCH($A23,'18 KMP- Tháng'!$A$6:$A$29,0),MATCH(AV$7,'18 KMP- Tháng'!$BH$2:$BS$2,0))</f>
        <v>16297.499056557692</v>
      </c>
      <c r="AW23" s="484">
        <f>INDEX('18 KMP- Tháng'!$BH$6:$BS$29,MATCH($A23,'18 KMP- Tháng'!$A$6:$A$29,0),MATCH(AW$7,'18 KMP- Tháng'!$BH$2:$BS$2,0))</f>
        <v>15842.84843769231</v>
      </c>
      <c r="AX23" s="484">
        <f>INDEX('18 KMP- Tháng'!$BH$6:$BS$29,MATCH($A23,'18 KMP- Tháng'!$A$6:$A$29,0),MATCH(AX$7,'18 KMP- Tháng'!$BH$2:$BS$2,0))</f>
        <v>16608.384155269232</v>
      </c>
      <c r="AY23" s="484">
        <f>INDEX('18 KMP- Tháng'!$BH$6:$BS$29,MATCH($A23,'18 KMP- Tháng'!$A$6:$A$29,0),MATCH(AY$7,'18 KMP- Tháng'!$BH$2:$BS$2,0))</f>
        <v>16228.669642442308</v>
      </c>
      <c r="AZ23" s="484">
        <f>INDEX('18 KMP- Tháng'!$BH$6:$BS$29,MATCH($A23,'18 KMP- Tháng'!$A$6:$A$29,0),MATCH(AZ$7,'18 KMP- Tháng'!$BH$2:$BS$2,0))</f>
        <v>16424.568209153847</v>
      </c>
      <c r="BA23" s="484">
        <f>INDEX('18 KMP- Tháng'!$BH$6:$BS$29,MATCH($A23,'18 KMP- Tháng'!$A$6:$A$29,0),MATCH(BA$7,'18 KMP- Tháng'!$BH$2:$BS$2,0))</f>
        <v>16603.793978038459</v>
      </c>
      <c r="BB23" s="484">
        <f>INDEX('18 KMP- Tháng'!$BH$6:$BS$29,MATCH($A23,'18 KMP- Tháng'!$A$6:$A$29,0),MATCH(BB$7,'18 KMP- Tháng'!$BH$2:$BS$2,0))</f>
        <v>15861.049816326924</v>
      </c>
      <c r="BC23" s="484">
        <f>INDEX('18 KMP- Tháng'!$BH$6:$BS$29,MATCH($A23,'18 KMP- Tháng'!$A$6:$A$29,0),MATCH(BC$7,'18 KMP- Tháng'!$BH$2:$BS$2,0))</f>
        <v>16586.944001269232</v>
      </c>
      <c r="BD23" s="818">
        <f>INDEX('18 KMP- Tháng'!$BH$6:$BS$29,MATCH($A23,'18 KMP- Tháng'!$A$6:$A$29,0),MATCH(BD$7,'18 KMP- Tháng'!$BH$2:$BS$2,0))</f>
        <v>18480.446209153848</v>
      </c>
      <c r="BE23" s="821">
        <f t="shared" si="18"/>
        <v>16321.027631934297</v>
      </c>
      <c r="BF23" s="820">
        <f>INDEX('18 KMP- Tháng'!$AS$6:$BD$29,MATCH($A23,'18 KMP- Tháng'!$A$6:$A$29,0),MATCH(BF$7,'18 KMP- Tháng'!$AS$2:$BD$2,0))</f>
        <v>14411.695471000001</v>
      </c>
      <c r="BG23" s="484">
        <f>INDEX('18 KMP- Tháng'!$AS$6:$BD$29,MATCH($A23,'18 KMP- Tháng'!$A$6:$A$29,0),MATCH(BG$7,'18 KMP- Tháng'!$AS$2:$BD$2,0))</f>
        <v>12889.941534</v>
      </c>
      <c r="BH23" s="484">
        <f>INDEX('18 KMP- Tháng'!$AS$6:$BD$29,MATCH($A23,'18 KMP- Tháng'!$A$6:$A$29,0),MATCH(BH$7,'18 KMP- Tháng'!$AS$2:$BD$2,0))</f>
        <v>13887.70347</v>
      </c>
      <c r="BI23" s="484">
        <f>INDEX('18 KMP- Tháng'!$AS$6:$BD$29,MATCH($A23,'18 KMP- Tháng'!$A$6:$A$29,0),MATCH(BI$7,'18 KMP- Tháng'!$AS$2:$BD$2,0))</f>
        <v>15549.865876</v>
      </c>
      <c r="BJ23" s="484">
        <f>INDEX('18 KMP- Tháng'!$AS$6:$BD$29,MATCH($A23,'18 KMP- Tháng'!$A$6:$A$29,0),MATCH(BJ$7,'18 KMP- Tháng'!$AS$2:$BD$2,0))</f>
        <v>14649.384491000001</v>
      </c>
      <c r="BK23" s="484">
        <f>INDEX('18 KMP- Tháng'!$AS$6:$BD$29,MATCH($A23,'18 KMP- Tháng'!$A$6:$A$29,0),MATCH(BK$7,'18 KMP- Tháng'!$AS$2:$BD$2,0))</f>
        <v>0</v>
      </c>
      <c r="BL23" s="484">
        <f>INDEX('18 KMP- Tháng'!$AS$6:$BD$29,MATCH($A23,'18 KMP- Tháng'!$A$6:$A$29,0),MATCH(BL$7,'18 KMP- Tháng'!$AS$2:$BD$2,0))</f>
        <v>0</v>
      </c>
      <c r="BM23" s="484">
        <f>INDEX('18 KMP- Tháng'!$AS$6:$BD$29,MATCH($A23,'18 KMP- Tháng'!$A$6:$A$29,0),MATCH(BM$7,'18 KMP- Tháng'!$AS$2:$BD$2,0))</f>
        <v>0</v>
      </c>
      <c r="BN23" s="484">
        <f>INDEX('18 KMP- Tháng'!$AS$6:$BD$29,MATCH($A23,'18 KMP- Tháng'!$A$6:$A$29,0),MATCH(BN$7,'18 KMP- Tháng'!$AS$2:$BD$2,0))</f>
        <v>0</v>
      </c>
      <c r="BO23" s="484">
        <f>INDEX('18 KMP- Tháng'!$AS$6:$BD$29,MATCH($A23,'18 KMP- Tháng'!$A$6:$A$29,0),MATCH(BO$7,'18 KMP- Tháng'!$AS$2:$BD$2,0))</f>
        <v>0</v>
      </c>
      <c r="BP23" s="484">
        <f>INDEX('18 KMP- Tháng'!$AS$6:$BD$29,MATCH($A23,'18 KMP- Tháng'!$A$6:$A$29,0),MATCH(BP$7,'18 KMP- Tháng'!$AS$2:$BD$2,0))</f>
        <v>0</v>
      </c>
      <c r="BQ23" s="818">
        <f>INDEX('18 KMP- Tháng'!$AS$6:$BD$29,MATCH($A23,'18 KMP- Tháng'!$A$6:$A$29,0),MATCH(BQ$7,'18 KMP- Tháng'!$AS$2:$BD$2,0))</f>
        <v>0</v>
      </c>
      <c r="BR23" s="821">
        <f t="shared" si="19"/>
        <v>14277.718168400001</v>
      </c>
      <c r="BS23" s="820">
        <f t="shared" si="20"/>
        <v>71388.590842000005</v>
      </c>
      <c r="BT23" s="491">
        <f t="shared" si="5"/>
        <v>-7.5331399614534833E-2</v>
      </c>
      <c r="BU23" s="485">
        <f t="shared" si="6"/>
        <v>0.13681804697073505</v>
      </c>
      <c r="BV23" s="1552"/>
      <c r="BW23" s="1552"/>
      <c r="BX23" s="1552"/>
      <c r="BY23" s="1546"/>
      <c r="BZ23" s="1546"/>
      <c r="CA23" s="1546"/>
      <c r="CB23" s="1546"/>
      <c r="CC23" s="486"/>
      <c r="CD23" s="454"/>
      <c r="CE23" s="454"/>
      <c r="CF23" s="454"/>
      <c r="CG23" s="454"/>
      <c r="CH23" s="454"/>
      <c r="CI23" s="454"/>
      <c r="CJ23" s="454"/>
      <c r="CK23" s="454"/>
      <c r="CL23" s="454"/>
      <c r="CM23" s="454"/>
      <c r="CN23" s="454"/>
    </row>
    <row r="24" spans="1:92" s="481" customFormat="1">
      <c r="A24" s="469">
        <v>5</v>
      </c>
      <c r="B24" s="482">
        <f t="shared" si="21"/>
        <v>3</v>
      </c>
      <c r="C24" s="483" t="s">
        <v>425</v>
      </c>
      <c r="D24" s="483" t="s">
        <v>443</v>
      </c>
      <c r="E24" s="487">
        <f>INDEX('18 KMP- Tháng'!$E$6:$Q$29,MATCH($A24,'18 KMP- Tháng'!$A$6:$A$29,0),MATCH(E$7,'18 KMP- Tháng'!$E$2:$P$2,0))</f>
        <v>1999.745032</v>
      </c>
      <c r="F24" s="484">
        <f>INDEX('18 KMP- Tháng'!$E$6:$Q$29,MATCH($A24,'18 KMP- Tháng'!$A$6:$A$29,0),MATCH(F$7,'18 KMP- Tháng'!$E$2:$P$2,0))</f>
        <v>2159.0866270000001</v>
      </c>
      <c r="G24" s="484">
        <f>INDEX('18 KMP- Tháng'!$E$6:$Q$29,MATCH($A24,'18 KMP- Tháng'!$A$6:$A$29,0),MATCH(G$7,'18 KMP- Tháng'!$E$2:$P$2,0))</f>
        <v>2355.4122550000002</v>
      </c>
      <c r="H24" s="484">
        <f>INDEX('18 KMP- Tháng'!$E$6:$Q$29,MATCH($A24,'18 KMP- Tháng'!$A$6:$A$29,0),MATCH(H$7,'18 KMP- Tháng'!$E$2:$P$2,0))</f>
        <v>2503.34139</v>
      </c>
      <c r="I24" s="484">
        <f>INDEX('18 KMP- Tháng'!$E$6:$Q$29,MATCH($A24,'18 KMP- Tháng'!$A$6:$A$29,0),MATCH(I$7,'18 KMP- Tháng'!$E$2:$P$2,0))</f>
        <v>2453.5862940000002</v>
      </c>
      <c r="J24" s="484">
        <f>INDEX('18 KMP- Tháng'!$E$6:$Q$29,MATCH($A24,'18 KMP- Tháng'!$A$6:$A$29,0),MATCH(J$7,'18 KMP- Tháng'!$E$2:$P$2,0))</f>
        <v>2496.0810230000002</v>
      </c>
      <c r="K24" s="484">
        <f>INDEX('18 KMP- Tháng'!$E$6:$Q$29,MATCH($A24,'18 KMP- Tháng'!$A$6:$A$29,0),MATCH(K$7,'18 KMP- Tháng'!$E$2:$P$2,0))</f>
        <v>2605.8116279999999</v>
      </c>
      <c r="L24" s="484">
        <f>INDEX('18 KMP- Tháng'!$E$6:$Q$29,MATCH($A24,'18 KMP- Tháng'!$A$6:$A$29,0),MATCH(L$7,'18 KMP- Tháng'!$E$2:$P$2,0))</f>
        <v>2747.3790829999998</v>
      </c>
      <c r="M24" s="484">
        <f>INDEX('18 KMP- Tháng'!$E$6:$Q$29,MATCH($A24,'18 KMP- Tháng'!$A$6:$A$29,0),MATCH(M$7,'18 KMP- Tháng'!$E$2:$P$2,0))</f>
        <v>2849.3270080000002</v>
      </c>
      <c r="N24" s="484">
        <f>INDEX('18 KMP- Tháng'!$E$6:$Q$29,MATCH($A24,'18 KMP- Tháng'!$A$6:$A$29,0),MATCH(N$7,'18 KMP- Tháng'!$E$2:$P$2,0))</f>
        <v>2883.5538980000001</v>
      </c>
      <c r="O24" s="484">
        <f>INDEX('18 KMP- Tháng'!$E$6:$Q$29,MATCH($A24,'18 KMP- Tháng'!$A$6:$A$29,0),MATCH(O$7,'18 KMP- Tháng'!$E$2:$P$2,0))</f>
        <v>2888.0607730000002</v>
      </c>
      <c r="P24" s="818">
        <f>INDEX('18 KMP- Tháng'!$E$6:$Q$29,MATCH($A24,'18 KMP- Tháng'!$A$6:$A$29,0),MATCH(P$7,'18 KMP- Tháng'!$E$2:$P$2,0))</f>
        <v>3035.1713089999998</v>
      </c>
      <c r="Q24" s="821">
        <f t="shared" si="15"/>
        <v>2581.3796933333338</v>
      </c>
      <c r="R24" s="484">
        <f>INDEX('18 KMP- Tháng'!$R$6:$AC$24,MATCH($A24,'18 KMP- Tháng'!$A$6:$A$24,0),MATCH(R$7,'18 KMP- Tháng'!$R$2:$AC$2,0))</f>
        <v>2998.4795089999998</v>
      </c>
      <c r="S24" s="484">
        <f>INDEX('18 KMP- Tháng'!$R$6:$AC$24,MATCH($A24,'18 KMP- Tháng'!$A$6:$A$24,0),MATCH(S$7,'18 KMP- Tháng'!$R$2:$AC$2,0))</f>
        <v>3003.3587619999998</v>
      </c>
      <c r="T24" s="484">
        <f>INDEX('18 KMP- Tháng'!$R$6:$AC$24,MATCH($A24,'18 KMP- Tháng'!$A$6:$A$24,0),MATCH(T$7,'18 KMP- Tháng'!$R$2:$AC$2,0))</f>
        <v>2998.9789329999999</v>
      </c>
      <c r="U24" s="484">
        <f>INDEX('18 KMP- Tháng'!$R$6:$AC$24,MATCH($A24,'18 KMP- Tháng'!$A$6:$A$24,0),MATCH(U$7,'18 KMP- Tháng'!$R$2:$AC$2,0))</f>
        <v>3181.0243989999999</v>
      </c>
      <c r="V24" s="484">
        <f>INDEX('18 KMP- Tháng'!$R$6:$AC$24,MATCH($A24,'18 KMP- Tháng'!$A$6:$A$24,0),MATCH(V$7,'18 KMP- Tháng'!$R$2:$AC$2,0))</f>
        <v>3238.7242780000001</v>
      </c>
      <c r="W24" s="484">
        <f>INDEX('18 KMP- Tháng'!$R$6:$AC$24,MATCH($A24,'18 KMP- Tháng'!$A$6:$A$24,0),MATCH(W$7,'18 KMP- Tháng'!$R$2:$AC$2,0))</f>
        <v>3240.4400230000001</v>
      </c>
      <c r="X24" s="484">
        <f>INDEX('18 KMP- Tháng'!$R$6:$AC$24,MATCH($A24,'18 KMP- Tháng'!$A$6:$A$24,0),MATCH(X$7,'18 KMP- Tháng'!$R$2:$AC$2,0))</f>
        <v>3274.4964810000001</v>
      </c>
      <c r="Y24" s="484">
        <f>INDEX('18 KMP- Tháng'!$R$6:$AC$24,MATCH($A24,'18 KMP- Tháng'!$A$6:$A$24,0),MATCH(Y$7,'18 KMP- Tháng'!$R$2:$AC$2,0))</f>
        <v>3295.429795</v>
      </c>
      <c r="Z24" s="484">
        <f>INDEX('18 KMP- Tháng'!$R$6:$AC$24,MATCH($A24,'18 KMP- Tháng'!$A$6:$A$24,0),MATCH(Z$7,'18 KMP- Tháng'!$R$2:$AC$2,0))</f>
        <v>3434.7116219999998</v>
      </c>
      <c r="AA24" s="484">
        <f>INDEX('18 KMP- Tháng'!$R$6:$AC$24,MATCH($A24,'18 KMP- Tháng'!$A$6:$A$24,0),MATCH(AA$7,'18 KMP- Tháng'!$R$2:$AC$2,0))</f>
        <v>3434.7924050000001</v>
      </c>
      <c r="AB24" s="484">
        <f>INDEX('18 KMP- Tháng'!$R$6:$AC$24,MATCH($A24,'18 KMP- Tháng'!$A$6:$A$24,0),MATCH(AB$7,'18 KMP- Tháng'!$R$2:$AC$2,0))</f>
        <v>3448.9865410000002</v>
      </c>
      <c r="AC24" s="818">
        <f>INDEX('18 KMP- Tháng'!$R$6:$AC$24,MATCH($A24,'18 KMP- Tháng'!$A$6:$A$24,0),MATCH(AC$7,'18 KMP- Tháng'!$R$2:$AC$2,0))</f>
        <v>3762.4606610000001</v>
      </c>
      <c r="AD24" s="821">
        <f t="shared" si="7"/>
        <v>3275.9902840833329</v>
      </c>
      <c r="AE24" s="820">
        <f>INDEX('18 KMP- Tháng'!$AF$6:$AQ$29,MATCH($A24,'18 KMP- Tháng'!$A$6:$A$29,0),MATCH(AE$7,'18 KMP- Tháng'!$AF$2:$AQ$2,0))</f>
        <v>3803.154168</v>
      </c>
      <c r="AF24" s="484">
        <f>INDEX('18 KMP- Tháng'!$AF$6:$AQ$29,MATCH($A24,'18 KMP- Tháng'!$A$6:$A$29,0),MATCH(AF$7,'18 KMP- Tháng'!$AF$2:$AQ$2,0))</f>
        <v>3804.6986139999999</v>
      </c>
      <c r="AG24" s="484">
        <f>INDEX('18 KMP- Tháng'!$AF$6:$AQ$29,MATCH($A24,'18 KMP- Tháng'!$A$6:$A$29,0),MATCH(AG$7,'18 KMP- Tháng'!$AF$2:$AQ$2,0))</f>
        <v>4002.6339750000002</v>
      </c>
      <c r="AH24" s="484">
        <f>INDEX('18 KMP- Tháng'!$AF$6:$AQ$29,MATCH($A24,'18 KMP- Tháng'!$A$6:$A$29,0),MATCH(AH$7,'18 KMP- Tháng'!$AF$2:$AQ$2,0))</f>
        <v>3905.1959280000001</v>
      </c>
      <c r="AI24" s="484">
        <f>INDEX('18 KMP- Tháng'!$AF$6:$AQ$29,MATCH($A24,'18 KMP- Tháng'!$A$6:$A$29,0),MATCH(AI$7,'18 KMP- Tháng'!$AF$2:$AQ$2,0))</f>
        <v>4091.8549859999998</v>
      </c>
      <c r="AJ24" s="484">
        <f>INDEX('18 KMP- Tháng'!$AF$6:$AQ$29,MATCH($A24,'18 KMP- Tháng'!$A$6:$A$29,0),MATCH(AJ$7,'18 KMP- Tháng'!$AF$2:$AQ$2,0))</f>
        <v>4087.4683380000001</v>
      </c>
      <c r="AK24" s="484">
        <f>INDEX('18 KMP- Tháng'!$AF$6:$AQ$29,MATCH($A24,'18 KMP- Tháng'!$A$6:$A$29,0),MATCH(AK$7,'18 KMP- Tháng'!$AF$2:$AQ$2,0))</f>
        <v>4085.457551</v>
      </c>
      <c r="AL24" s="484">
        <f>INDEX('18 KMP- Tháng'!$AF$6:$AQ$29,MATCH($A24,'18 KMP- Tháng'!$A$6:$A$29,0),MATCH(AL$7,'18 KMP- Tháng'!$AF$2:$AQ$2,0))</f>
        <v>4092.9951599999999</v>
      </c>
      <c r="AM24" s="484">
        <f>INDEX('18 KMP- Tháng'!$AF$6:$AQ$29,MATCH($A24,'18 KMP- Tháng'!$A$6:$A$29,0),MATCH(AM$7,'18 KMP- Tháng'!$AF$2:$AQ$2,0))</f>
        <v>4407.5000479999999</v>
      </c>
      <c r="AN24" s="484">
        <f>INDEX('18 KMP- Tháng'!$AF$6:$AQ$29,MATCH($A24,'18 KMP- Tháng'!$A$6:$A$29,0),MATCH(AN$7,'18 KMP- Tháng'!$AF$2:$AQ$2,0))</f>
        <v>4260.8566920000003</v>
      </c>
      <c r="AO24" s="484">
        <f>INDEX('18 KMP- Tháng'!$AF$6:$AQ$29,MATCH($A24,'18 KMP- Tháng'!$A$6:$A$29,0),MATCH(AO$7,'18 KMP- Tháng'!$AF$2:$AQ$2,0))</f>
        <v>4421.9505609999997</v>
      </c>
      <c r="AP24" s="818">
        <f>INDEX('18 KMP- Tháng'!$AF$6:$AQ$29,MATCH($A24,'18 KMP- Tháng'!$A$6:$A$29,0),MATCH(AP$7,'18 KMP- Tháng'!$AF$2:$AQ$2,0))</f>
        <v>4442.3183429999999</v>
      </c>
      <c r="AQ24" s="821">
        <f t="shared" si="16"/>
        <v>4117.1736969999993</v>
      </c>
      <c r="AR24" s="820">
        <f t="shared" si="17"/>
        <v>49406.084363999995</v>
      </c>
      <c r="AS24" s="820">
        <f>INDEX('18 KMP- Tháng'!$BH$6:$BS$29,MATCH($A24,'18 KMP- Tháng'!$A$6:$A$29,0),MATCH(AS$7,'18 KMP- Tháng'!$BH$2:$BS$2,0))</f>
        <v>5303.4900609208144</v>
      </c>
      <c r="AT24" s="484">
        <f>INDEX('18 KMP- Tháng'!$BH$6:$BS$29,MATCH($A24,'18 KMP- Tháng'!$A$6:$A$29,0),MATCH(AT$7,'18 KMP- Tháng'!$BH$2:$BS$2,0))</f>
        <v>5687.8820129208143</v>
      </c>
      <c r="AU24" s="484">
        <f>INDEX('18 KMP- Tháng'!$BH$6:$BS$29,MATCH($A24,'18 KMP- Tháng'!$A$6:$A$29,0),MATCH(AU$7,'18 KMP- Tháng'!$BH$2:$BS$2,0))</f>
        <v>5775.9012329208144</v>
      </c>
      <c r="AV24" s="484">
        <f>INDEX('18 KMP- Tháng'!$BH$6:$BS$29,MATCH($A24,'18 KMP- Tháng'!$A$6:$A$29,0),MATCH(AV$7,'18 KMP- Tháng'!$BH$2:$BS$2,0))</f>
        <v>5810.1415109208147</v>
      </c>
      <c r="AW24" s="484">
        <f>INDEX('18 KMP- Tháng'!$BH$6:$BS$29,MATCH($A24,'18 KMP- Tháng'!$A$6:$A$29,0),MATCH(AW$7,'18 KMP- Tháng'!$BH$2:$BS$2,0))</f>
        <v>5826.0945669208149</v>
      </c>
      <c r="AX24" s="484">
        <f>INDEX('18 KMP- Tháng'!$BH$6:$BS$29,MATCH($A24,'18 KMP- Tháng'!$A$6:$A$29,0),MATCH(AX$7,'18 KMP- Tháng'!$BH$2:$BS$2,0))</f>
        <v>5968.0697049208147</v>
      </c>
      <c r="AY24" s="484">
        <f>INDEX('18 KMP- Tháng'!$BH$6:$BS$29,MATCH($A24,'18 KMP- Tháng'!$A$6:$A$29,0),MATCH(AY$7,'18 KMP- Tháng'!$BH$2:$BS$2,0))</f>
        <v>5968.0697049208147</v>
      </c>
      <c r="AZ24" s="484">
        <f>INDEX('18 KMP- Tháng'!$BH$6:$BS$29,MATCH($A24,'18 KMP- Tháng'!$A$6:$A$29,0),MATCH(AZ$7,'18 KMP- Tháng'!$BH$2:$BS$2,0))</f>
        <v>5968.0697049208147</v>
      </c>
      <c r="BA24" s="484">
        <f>INDEX('18 KMP- Tháng'!$BH$6:$BS$29,MATCH($A24,'18 KMP- Tháng'!$A$6:$A$29,0),MATCH(BA$7,'18 KMP- Tháng'!$BH$2:$BS$2,0))</f>
        <v>5968.0697049208147</v>
      </c>
      <c r="BB24" s="484">
        <f>INDEX('18 KMP- Tháng'!$BH$6:$BS$29,MATCH($A24,'18 KMP- Tháng'!$A$6:$A$29,0),MATCH(BB$7,'18 KMP- Tháng'!$BH$2:$BS$2,0))</f>
        <v>5980.8891379208144</v>
      </c>
      <c r="BC24" s="484">
        <f>INDEX('18 KMP- Tháng'!$BH$6:$BS$29,MATCH($A24,'18 KMP- Tháng'!$A$6:$A$29,0),MATCH(BC$7,'18 KMP- Tháng'!$BH$2:$BS$2,0))</f>
        <v>5980.8891379208144</v>
      </c>
      <c r="BD24" s="818">
        <f>INDEX('18 KMP- Tháng'!$BH$6:$BS$29,MATCH($A24,'18 KMP- Tháng'!$A$6:$A$29,0),MATCH(BD$7,'18 KMP- Tháng'!$BH$2:$BS$2,0))</f>
        <v>5993.1641379208149</v>
      </c>
      <c r="BE24" s="821">
        <f t="shared" si="18"/>
        <v>5852.5608848374823</v>
      </c>
      <c r="BF24" s="820">
        <f>INDEX('18 KMP- Tháng'!$AS$6:$BD$29,MATCH($A24,'18 KMP- Tháng'!$A$6:$A$29,0),MATCH(BF$7,'18 KMP- Tháng'!$AS$2:$BD$2,0))</f>
        <v>2133.9688449999999</v>
      </c>
      <c r="BG24" s="484">
        <f>INDEX('18 KMP- Tháng'!$AS$6:$BD$29,MATCH($A24,'18 KMP- Tháng'!$A$6:$A$29,0),MATCH(BG$7,'18 KMP- Tháng'!$AS$2:$BD$2,0))</f>
        <v>2103.0084879999999</v>
      </c>
      <c r="BH24" s="484">
        <f>INDEX('18 KMP- Tháng'!$AS$6:$BD$29,MATCH($A24,'18 KMP- Tháng'!$A$6:$A$29,0),MATCH(BH$7,'18 KMP- Tháng'!$AS$2:$BD$2,0))</f>
        <v>2118.1115580000001</v>
      </c>
      <c r="BI24" s="484">
        <f>INDEX('18 KMP- Tháng'!$AS$6:$BD$29,MATCH($A24,'18 KMP- Tháng'!$A$6:$A$29,0),MATCH(BI$7,'18 KMP- Tháng'!$AS$2:$BD$2,0))</f>
        <v>2277.961573</v>
      </c>
      <c r="BJ24" s="484">
        <f>INDEX('18 KMP- Tháng'!$AS$6:$BD$29,MATCH($A24,'18 KMP- Tháng'!$A$6:$A$29,0),MATCH(BJ$7,'18 KMP- Tháng'!$AS$2:$BD$2,0))</f>
        <v>2330.9775570000002</v>
      </c>
      <c r="BK24" s="484">
        <f>INDEX('18 KMP- Tháng'!$AS$6:$BD$29,MATCH($A24,'18 KMP- Tháng'!$A$6:$A$29,0),MATCH(BK$7,'18 KMP- Tháng'!$AS$2:$BD$2,0))</f>
        <v>0</v>
      </c>
      <c r="BL24" s="484">
        <f>INDEX('18 KMP- Tháng'!$AS$6:$BD$29,MATCH($A24,'18 KMP- Tháng'!$A$6:$A$29,0),MATCH(BL$7,'18 KMP- Tháng'!$AS$2:$BD$2,0))</f>
        <v>0</v>
      </c>
      <c r="BM24" s="484">
        <f>INDEX('18 KMP- Tháng'!$AS$6:$BD$29,MATCH($A24,'18 KMP- Tháng'!$A$6:$A$29,0),MATCH(BM$7,'18 KMP- Tháng'!$AS$2:$BD$2,0))</f>
        <v>0</v>
      </c>
      <c r="BN24" s="484">
        <f>INDEX('18 KMP- Tháng'!$AS$6:$BD$29,MATCH($A24,'18 KMP- Tháng'!$A$6:$A$29,0),MATCH(BN$7,'18 KMP- Tháng'!$AS$2:$BD$2,0))</f>
        <v>0</v>
      </c>
      <c r="BO24" s="484">
        <f>INDEX('18 KMP- Tháng'!$AS$6:$BD$29,MATCH($A24,'18 KMP- Tháng'!$A$6:$A$29,0),MATCH(BO$7,'18 KMP- Tháng'!$AS$2:$BD$2,0))</f>
        <v>0</v>
      </c>
      <c r="BP24" s="484">
        <f>INDEX('18 KMP- Tháng'!$AS$6:$BD$29,MATCH($A24,'18 KMP- Tháng'!$A$6:$A$29,0),MATCH(BP$7,'18 KMP- Tháng'!$AS$2:$BD$2,0))</f>
        <v>0</v>
      </c>
      <c r="BQ24" s="818">
        <f>INDEX('18 KMP- Tháng'!$AS$6:$BD$29,MATCH($A24,'18 KMP- Tháng'!$A$6:$A$29,0),MATCH(BQ$7,'18 KMP- Tháng'!$AS$2:$BD$2,0))</f>
        <v>0</v>
      </c>
      <c r="BR24" s="821">
        <f t="shared" si="19"/>
        <v>2192.8056041999998</v>
      </c>
      <c r="BS24" s="820">
        <f t="shared" si="20"/>
        <v>10964.028021</v>
      </c>
      <c r="BT24" s="479">
        <f t="shared" si="5"/>
        <v>-0.59990735985736676</v>
      </c>
      <c r="BU24" s="485">
        <f t="shared" si="6"/>
        <v>2.1012838089011474E-2</v>
      </c>
      <c r="BV24" s="1553"/>
      <c r="BW24" s="1553"/>
      <c r="BX24" s="1553"/>
      <c r="BY24" s="1554"/>
      <c r="BZ24" s="1554"/>
      <c r="CA24" s="1554"/>
      <c r="CB24" s="1554"/>
      <c r="CC24" s="486"/>
      <c r="CD24" s="454"/>
      <c r="CE24" s="454"/>
      <c r="CF24" s="454"/>
      <c r="CG24" s="454"/>
      <c r="CH24" s="454"/>
      <c r="CI24" s="454"/>
      <c r="CJ24" s="454"/>
      <c r="CK24" s="454"/>
      <c r="CL24" s="454"/>
      <c r="CM24" s="454"/>
      <c r="CN24" s="454"/>
    </row>
    <row r="25" spans="1:92" s="481" customFormat="1">
      <c r="A25" s="469">
        <v>18</v>
      </c>
      <c r="B25" s="482">
        <f t="shared" si="21"/>
        <v>4</v>
      </c>
      <c r="C25" s="483" t="s">
        <v>440</v>
      </c>
      <c r="D25" s="483" t="s">
        <v>444</v>
      </c>
      <c r="E25" s="484">
        <f>INDEX('18 KMP- Tháng'!$E$6:$Q$29,MATCH($A25,'18 KMP- Tháng'!$A$6:$A$29,0),MATCH(E$7,'18 KMP- Tháng'!$E$2:$P$2,0))</f>
        <v>630.61573399999986</v>
      </c>
      <c r="F25" s="484">
        <f>INDEX('18 KMP- Tháng'!$E$6:$Q$29,MATCH($A25,'18 KMP- Tháng'!$A$6:$A$29,0),MATCH(F$7,'18 KMP- Tháng'!$E$2:$P$2,0))</f>
        <v>854.1576580000002</v>
      </c>
      <c r="G25" s="484">
        <f>INDEX('18 KMP- Tháng'!$E$6:$Q$29,MATCH($A25,'18 KMP- Tháng'!$A$6:$A$29,0),MATCH(G$7,'18 KMP- Tháng'!$E$2:$P$2,0))</f>
        <v>966.39520199999981</v>
      </c>
      <c r="H25" s="484">
        <f>INDEX('18 KMP- Tháng'!$E$6:$Q$29,MATCH($A25,'18 KMP- Tháng'!$A$6:$A$29,0),MATCH(H$7,'18 KMP- Tháng'!$E$2:$P$2,0))</f>
        <v>754.47364200000004</v>
      </c>
      <c r="I25" s="484">
        <f>INDEX('18 KMP- Tháng'!$E$6:$Q$29,MATCH($A25,'18 KMP- Tháng'!$A$6:$A$29,0),MATCH(I$7,'18 KMP- Tháng'!$E$2:$P$2,0))</f>
        <v>658.77374900000007</v>
      </c>
      <c r="J25" s="484">
        <f>INDEX('18 KMP- Tháng'!$E$6:$Q$29,MATCH($A25,'18 KMP- Tháng'!$A$6:$A$29,0),MATCH(J$7,'18 KMP- Tháng'!$E$2:$P$2,0))</f>
        <v>768.27695300000005</v>
      </c>
      <c r="K25" s="484">
        <f>INDEX('18 KMP- Tháng'!$E$6:$Q$29,MATCH($A25,'18 KMP- Tháng'!$A$6:$A$29,0),MATCH(K$7,'18 KMP- Tháng'!$E$2:$P$2,0))</f>
        <v>802.81471999999985</v>
      </c>
      <c r="L25" s="484">
        <f>INDEX('18 KMP- Tháng'!$E$6:$Q$29,MATCH($A25,'18 KMP- Tháng'!$A$6:$A$29,0),MATCH(L$7,'18 KMP- Tháng'!$E$2:$P$2,0))</f>
        <v>656.1743909999999</v>
      </c>
      <c r="M25" s="484">
        <f>INDEX('18 KMP- Tháng'!$E$6:$Q$29,MATCH($A25,'18 KMP- Tháng'!$A$6:$A$29,0),MATCH(M$7,'18 KMP- Tháng'!$E$2:$P$2,0))</f>
        <v>591.34523200000001</v>
      </c>
      <c r="N25" s="484">
        <f>INDEX('18 KMP- Tháng'!$E$6:$Q$29,MATCH($A25,'18 KMP- Tháng'!$A$6:$A$29,0),MATCH(N$7,'18 KMP- Tháng'!$E$2:$P$2,0))</f>
        <v>628.2454120000001</v>
      </c>
      <c r="O25" s="484">
        <f>INDEX('18 KMP- Tháng'!$E$6:$Q$29,MATCH($A25,'18 KMP- Tháng'!$A$6:$A$29,0),MATCH(O$7,'18 KMP- Tháng'!$E$2:$P$2,0))</f>
        <v>639.27243399999986</v>
      </c>
      <c r="P25" s="818">
        <f>INDEX('18 KMP- Tháng'!$E$6:$Q$29,MATCH($A25,'18 KMP- Tháng'!$A$6:$A$29,0),MATCH(P$7,'18 KMP- Tháng'!$E$2:$P$2,0))</f>
        <v>1090.457459</v>
      </c>
      <c r="Q25" s="821">
        <f t="shared" si="15"/>
        <v>753.4168821666666</v>
      </c>
      <c r="R25" s="484">
        <f>INDEX('18 KMP- Tháng'!$R$6:$AC$24,MATCH($A25,'18 KMP- Tháng'!$A$6:$A$24,0),MATCH(R$7,'18 KMP- Tháng'!$R$2:$AC$2,0))</f>
        <v>1658.4109130000002</v>
      </c>
      <c r="S25" s="484">
        <f>INDEX('18 KMP- Tháng'!$R$6:$AC$24,MATCH($A25,'18 KMP- Tháng'!$A$6:$A$24,0),MATCH(S$7,'18 KMP- Tháng'!$R$2:$AC$2,0))</f>
        <v>1378.8071309999998</v>
      </c>
      <c r="T25" s="484">
        <f>INDEX('18 KMP- Tháng'!$R$6:$AC$24,MATCH($A25,'18 KMP- Tháng'!$A$6:$A$24,0),MATCH(T$7,'18 KMP- Tháng'!$R$2:$AC$2,0))</f>
        <v>1151.334644</v>
      </c>
      <c r="U25" s="484">
        <f>INDEX('18 KMP- Tháng'!$R$6:$AC$24,MATCH($A25,'18 KMP- Tháng'!$A$6:$A$24,0),MATCH(U$7,'18 KMP- Tháng'!$R$2:$AC$2,0))</f>
        <v>1337.384814</v>
      </c>
      <c r="V25" s="484">
        <f>INDEX('18 KMP- Tháng'!$R$6:$AC$24,MATCH($A25,'18 KMP- Tháng'!$A$6:$A$24,0),MATCH(V$7,'18 KMP- Tháng'!$R$2:$AC$2,0))</f>
        <v>1902.7088930000002</v>
      </c>
      <c r="W25" s="484">
        <f>INDEX('18 KMP- Tháng'!$R$6:$AC$24,MATCH($A25,'18 KMP- Tháng'!$A$6:$A$24,0),MATCH(W$7,'18 KMP- Tháng'!$R$2:$AC$2,0))</f>
        <v>1863.0131699999999</v>
      </c>
      <c r="X25" s="484">
        <f>INDEX('18 KMP- Tháng'!$R$6:$AC$24,MATCH($A25,'18 KMP- Tháng'!$A$6:$A$24,0),MATCH(X$7,'18 KMP- Tháng'!$R$2:$AC$2,0))</f>
        <v>1570.2129000000007</v>
      </c>
      <c r="Y25" s="484">
        <f>INDEX('18 KMP- Tháng'!$R$6:$AC$24,MATCH($A25,'18 KMP- Tháng'!$A$6:$A$24,0),MATCH(Y$7,'18 KMP- Tháng'!$R$2:$AC$2,0))</f>
        <v>2908.310896</v>
      </c>
      <c r="Z25" s="484">
        <f>INDEX('18 KMP- Tháng'!$R$6:$AC$24,MATCH($A25,'18 KMP- Tháng'!$A$6:$A$24,0),MATCH(Z$7,'18 KMP- Tháng'!$R$2:$AC$2,0))</f>
        <v>3601.9095000000002</v>
      </c>
      <c r="AA25" s="484">
        <f>INDEX('18 KMP- Tháng'!$R$6:$AC$24,MATCH($A25,'18 KMP- Tháng'!$A$6:$A$24,0),MATCH(AA$7,'18 KMP- Tháng'!$R$2:$AC$2,0))</f>
        <v>3859.1731200000004</v>
      </c>
      <c r="AB25" s="484">
        <f>INDEX('18 KMP- Tháng'!$R$6:$AC$24,MATCH($A25,'18 KMP- Tháng'!$A$6:$A$24,0),MATCH(AB$7,'18 KMP- Tháng'!$R$2:$AC$2,0))</f>
        <v>3573.6560359999999</v>
      </c>
      <c r="AC25" s="818">
        <f>INDEX('18 KMP- Tháng'!$R$6:$AC$24,MATCH($A25,'18 KMP- Tháng'!$A$6:$A$24,0),MATCH(AC$7,'18 KMP- Tháng'!$R$2:$AC$2,0))</f>
        <v>11179.558634000005</v>
      </c>
      <c r="AD25" s="821">
        <f t="shared" si="7"/>
        <v>2998.7067209166671</v>
      </c>
      <c r="AE25" s="820">
        <f>INDEX('18 KMP- Tháng'!$AF$6:$AQ$29,MATCH($A25,'18 KMP- Tháng'!$A$6:$A$29,0),MATCH(AE$7,'18 KMP- Tháng'!$AF$2:$AQ$2,0))</f>
        <v>3756.3001390000004</v>
      </c>
      <c r="AF25" s="484">
        <f>INDEX('18 KMP- Tháng'!$AF$6:$AQ$29,MATCH($A25,'18 KMP- Tháng'!$A$6:$A$29,0),MATCH(AF$7,'18 KMP- Tháng'!$AF$2:$AQ$2,0))</f>
        <v>2649.8565070000004</v>
      </c>
      <c r="AG25" s="484">
        <f>INDEX('18 KMP- Tháng'!$AF$6:$AQ$29,MATCH($A25,'18 KMP- Tháng'!$A$6:$A$29,0),MATCH(AG$7,'18 KMP- Tháng'!$AF$2:$AQ$2,0))</f>
        <v>4055.7808199999999</v>
      </c>
      <c r="AH25" s="484">
        <f>INDEX('18 KMP- Tháng'!$AF$6:$AQ$29,MATCH($A25,'18 KMP- Tháng'!$A$6:$A$29,0),MATCH(AH$7,'18 KMP- Tháng'!$AF$2:$AQ$2,0))</f>
        <v>2478.233021</v>
      </c>
      <c r="AI25" s="484">
        <f>INDEX('18 KMP- Tháng'!$AF$6:$AQ$29,MATCH($A25,'18 KMP- Tháng'!$A$6:$A$29,0),MATCH(AI$7,'18 KMP- Tháng'!$AF$2:$AQ$2,0))</f>
        <v>3092.6388239999997</v>
      </c>
      <c r="AJ25" s="484">
        <f>INDEX('18 KMP- Tháng'!$AF$6:$AQ$29,MATCH($A25,'18 KMP- Tháng'!$A$6:$A$29,0),MATCH(AJ$7,'18 KMP- Tháng'!$AF$2:$AQ$2,0))</f>
        <v>2790.8938039999998</v>
      </c>
      <c r="AK25" s="484">
        <f>INDEX('18 KMP- Tháng'!$AF$6:$AQ$29,MATCH($A25,'18 KMP- Tháng'!$A$6:$A$29,0),MATCH(AK$7,'18 KMP- Tháng'!$AF$2:$AQ$2,0))</f>
        <v>3004.5350559999997</v>
      </c>
      <c r="AL25" s="484">
        <f>INDEX('18 KMP- Tháng'!$AF$6:$AQ$29,MATCH($A25,'18 KMP- Tháng'!$A$6:$A$29,0),MATCH(AL$7,'18 KMP- Tháng'!$AF$2:$AQ$2,0))</f>
        <v>3024.5032630000001</v>
      </c>
      <c r="AM25" s="484">
        <f>INDEX('18 KMP- Tháng'!$AF$6:$AQ$29,MATCH($A25,'18 KMP- Tháng'!$A$6:$A$29,0),MATCH(AM$7,'18 KMP- Tháng'!$AF$2:$AQ$2,0))</f>
        <v>4612.0710640000007</v>
      </c>
      <c r="AN25" s="484">
        <f>INDEX('18 KMP- Tháng'!$AF$6:$AQ$29,MATCH($A25,'18 KMP- Tháng'!$A$6:$A$29,0),MATCH(AN$7,'18 KMP- Tháng'!$AF$2:$AQ$2,0))</f>
        <v>4798.4915730000012</v>
      </c>
      <c r="AO25" s="484">
        <f>INDEX('18 KMP- Tháng'!$AF$6:$AQ$29,MATCH($A25,'18 KMP- Tháng'!$A$6:$A$29,0),MATCH(AO$7,'18 KMP- Tháng'!$AF$2:$AQ$2,0))</f>
        <v>5053.5685229999999</v>
      </c>
      <c r="AP25" s="818">
        <f>INDEX('18 KMP- Tháng'!$AF$6:$AQ$29,MATCH($A25,'18 KMP- Tháng'!$A$6:$A$29,0),MATCH(AP$7,'18 KMP- Tháng'!$AF$2:$AQ$2,0))</f>
        <v>6387.3636730000007</v>
      </c>
      <c r="AQ25" s="1380">
        <f t="shared" si="16"/>
        <v>3808.6863555833334</v>
      </c>
      <c r="AR25" s="820">
        <f t="shared" si="17"/>
        <v>45704.236267</v>
      </c>
      <c r="AS25" s="820">
        <f>INDEX('18 KMP- Tháng'!$BH$6:$BS$29,MATCH($A25,'18 KMP- Tháng'!$A$6:$A$29,0),MATCH(AS$7,'18 KMP- Tháng'!$BH$2:$BS$2,0))</f>
        <v>5586.5078673894895</v>
      </c>
      <c r="AT25" s="484">
        <f>INDEX('18 KMP- Tháng'!$BH$6:$BS$29,MATCH($A25,'18 KMP- Tháng'!$A$6:$A$29,0),MATCH(AT$7,'18 KMP- Tháng'!$BH$2:$BS$2,0))</f>
        <v>2556.1730431913147</v>
      </c>
      <c r="AU25" s="484">
        <f>INDEX('18 KMP- Tháng'!$BH$6:$BS$29,MATCH($A25,'18 KMP- Tháng'!$A$6:$A$29,0),MATCH(AU$7,'18 KMP- Tháng'!$BH$2:$BS$2,0))</f>
        <v>3257.808809294716</v>
      </c>
      <c r="AV25" s="484">
        <f>INDEX('18 KMP- Tháng'!$BH$6:$BS$29,MATCH($A25,'18 KMP- Tháng'!$A$6:$A$29,0),MATCH(AV$7,'18 KMP- Tháng'!$BH$2:$BS$2,0))</f>
        <v>3146.5397182601464</v>
      </c>
      <c r="AW25" s="484">
        <f>INDEX('18 KMP- Tháng'!$BH$6:$BS$29,MATCH($A25,'18 KMP- Tháng'!$A$6:$A$29,0),MATCH(AW$7,'18 KMP- Tháng'!$BH$2:$BS$2,0))</f>
        <v>4436.1529066383737</v>
      </c>
      <c r="AX25" s="484">
        <f>INDEX('18 KMP- Tháng'!$BH$6:$BS$29,MATCH($A25,'18 KMP- Tháng'!$A$6:$A$29,0),MATCH(AX$7,'18 KMP- Tháng'!$BH$2:$BS$2,0))</f>
        <v>3247.7263303423015</v>
      </c>
      <c r="AY25" s="484">
        <f>INDEX('18 KMP- Tháng'!$BH$6:$BS$29,MATCH($A25,'18 KMP- Tháng'!$A$6:$A$29,0),MATCH(AY$7,'18 KMP- Tháng'!$BH$2:$BS$2,0))</f>
        <v>3745.6867013041019</v>
      </c>
      <c r="AZ25" s="484">
        <f>INDEX('18 KMP- Tháng'!$BH$6:$BS$29,MATCH($A25,'18 KMP- Tháng'!$A$6:$A$29,0),MATCH(AZ$7,'18 KMP- Tháng'!$BH$2:$BS$2,0))</f>
        <v>3765.1154900052802</v>
      </c>
      <c r="BA25" s="484">
        <f>INDEX('18 KMP- Tháng'!$BH$6:$BS$29,MATCH($A25,'18 KMP- Tháng'!$A$6:$A$29,0),MATCH(BA$7,'18 KMP- Tháng'!$BH$2:$BS$2,0))</f>
        <v>4354.1627094281703</v>
      </c>
      <c r="BB25" s="484">
        <f>INDEX('18 KMP- Tháng'!$BH$6:$BS$29,MATCH($A25,'18 KMP- Tháng'!$A$6:$A$29,0),MATCH(BB$7,'18 KMP- Tháng'!$BH$2:$BS$2,0))</f>
        <v>3239.6357159012318</v>
      </c>
      <c r="BC25" s="484">
        <f>INDEX('18 KMP- Tháng'!$BH$6:$BS$29,MATCH($A25,'18 KMP- Tháng'!$A$6:$A$29,0),MATCH(BC$7,'18 KMP- Tháng'!$BH$2:$BS$2,0))</f>
        <v>3024.6289198740224</v>
      </c>
      <c r="BD25" s="818">
        <f>INDEX('18 KMP- Tháng'!$BH$6:$BS$29,MATCH($A25,'18 KMP- Tháng'!$A$6:$A$29,0),MATCH(BD$7,'18 KMP- Tháng'!$BH$2:$BS$2,0))</f>
        <v>3089.8531112165324</v>
      </c>
      <c r="BE25" s="821">
        <f t="shared" si="18"/>
        <v>3620.8326102371393</v>
      </c>
      <c r="BF25" s="820">
        <f>INDEX('18 KMP- Tháng'!$AS$6:$BD$29,MATCH($A25,'18 KMP- Tháng'!$A$6:$A$29,0),MATCH(BF$7,'18 KMP- Tháng'!$AS$2:$BD$2,0))</f>
        <v>3513.173522</v>
      </c>
      <c r="BG25" s="484">
        <f>INDEX('18 KMP- Tháng'!$AS$6:$BD$29,MATCH($A25,'18 KMP- Tháng'!$A$6:$A$29,0),MATCH(BG$7,'18 KMP- Tháng'!$AS$2:$BD$2,0))</f>
        <v>3218.4780719999999</v>
      </c>
      <c r="BH25" s="484">
        <f>INDEX('18 KMP- Tháng'!$AS$6:$BD$29,MATCH($A25,'18 KMP- Tháng'!$A$6:$A$29,0),MATCH(BH$7,'18 KMP- Tháng'!$AS$2:$BD$2,0))</f>
        <v>2488.6643530000001</v>
      </c>
      <c r="BI25" s="484">
        <f>INDEX('18 KMP- Tháng'!$AS$6:$BD$29,MATCH($A25,'18 KMP- Tháng'!$A$6:$A$29,0),MATCH(BI$7,'18 KMP- Tháng'!$AS$2:$BD$2,0))</f>
        <v>2842.2283769999999</v>
      </c>
      <c r="BJ25" s="484">
        <f>INDEX('18 KMP- Tháng'!$AS$6:$BD$29,MATCH($A25,'18 KMP- Tháng'!$A$6:$A$29,0),MATCH(BJ$7,'18 KMP- Tháng'!$AS$2:$BD$2,0))</f>
        <v>3355.4641259999994</v>
      </c>
      <c r="BK25" s="484">
        <f>INDEX('18 KMP- Tháng'!$AS$6:$BD$29,MATCH($A25,'18 KMP- Tháng'!$A$6:$A$29,0),MATCH(BK$7,'18 KMP- Tháng'!$AS$2:$BD$2,0))</f>
        <v>0</v>
      </c>
      <c r="BL25" s="484">
        <f>INDEX('18 KMP- Tháng'!$AS$6:$BD$29,MATCH($A25,'18 KMP- Tháng'!$A$6:$A$29,0),MATCH(BL$7,'18 KMP- Tháng'!$AS$2:$BD$2,0))</f>
        <v>0</v>
      </c>
      <c r="BM25" s="484">
        <f>INDEX('18 KMP- Tháng'!$AS$6:$BD$29,MATCH($A25,'18 KMP- Tháng'!$A$6:$A$29,0),MATCH(BM$7,'18 KMP- Tháng'!$AS$2:$BD$2,0))</f>
        <v>0</v>
      </c>
      <c r="BN25" s="484">
        <f>INDEX('18 KMP- Tháng'!$AS$6:$BD$29,MATCH($A25,'18 KMP- Tháng'!$A$6:$A$29,0),MATCH(BN$7,'18 KMP- Tháng'!$AS$2:$BD$2,0))</f>
        <v>0</v>
      </c>
      <c r="BO25" s="484">
        <f>INDEX('18 KMP- Tháng'!$AS$6:$BD$29,MATCH($A25,'18 KMP- Tháng'!$A$6:$A$29,0),MATCH(BO$7,'18 KMP- Tháng'!$AS$2:$BD$2,0))</f>
        <v>0</v>
      </c>
      <c r="BP25" s="484">
        <f>INDEX('18 KMP- Tháng'!$AS$6:$BD$29,MATCH($A25,'18 KMP- Tháng'!$A$6:$A$29,0),MATCH(BP$7,'18 KMP- Tháng'!$AS$2:$BD$2,0))</f>
        <v>0</v>
      </c>
      <c r="BQ25" s="818">
        <f>INDEX('18 KMP- Tháng'!$AS$6:$BD$29,MATCH($A25,'18 KMP- Tháng'!$A$6:$A$29,0),MATCH(BQ$7,'18 KMP- Tháng'!$AS$2:$BD$2,0))</f>
        <v>0</v>
      </c>
      <c r="BR25" s="1380">
        <f t="shared" si="19"/>
        <v>3083.6016899999995</v>
      </c>
      <c r="BS25" s="820">
        <f t="shared" si="20"/>
        <v>15418.008449999998</v>
      </c>
      <c r="BT25" s="491">
        <f t="shared" si="5"/>
        <v>-0.24360945246526644</v>
      </c>
      <c r="BU25" s="485">
        <f t="shared" si="6"/>
        <v>2.954900467185341E-2</v>
      </c>
      <c r="BV25" s="1560"/>
      <c r="BW25" s="1560"/>
      <c r="BX25" s="1560"/>
      <c r="BY25" s="1561"/>
      <c r="BZ25" s="1561"/>
      <c r="CA25" s="1561"/>
      <c r="CB25" s="1561"/>
      <c r="CC25" s="486"/>
      <c r="CD25" s="454"/>
      <c r="CE25" s="454"/>
      <c r="CF25" s="454"/>
      <c r="CG25" s="454"/>
      <c r="CH25" s="454"/>
      <c r="CI25" s="454"/>
      <c r="CJ25" s="454"/>
      <c r="CK25" s="454"/>
      <c r="CL25" s="454"/>
      <c r="CM25" s="454"/>
      <c r="CN25" s="454"/>
    </row>
    <row r="26" spans="1:92" s="481" customFormat="1">
      <c r="A26" s="469">
        <v>19</v>
      </c>
      <c r="B26" s="482">
        <f t="shared" si="21"/>
        <v>5</v>
      </c>
      <c r="C26" s="483" t="s">
        <v>440</v>
      </c>
      <c r="D26" s="483" t="s">
        <v>445</v>
      </c>
      <c r="E26" s="484">
        <f>INDEX('18 KMP- Tháng'!$E$6:$Q$29,MATCH($A26,'18 KMP- Tháng'!$A$6:$A$29,0),MATCH(E$7,'18 KMP- Tháng'!$E$2:$P$2,0))</f>
        <v>465.27927</v>
      </c>
      <c r="F26" s="484">
        <f>INDEX('18 KMP- Tháng'!$E$6:$Q$29,MATCH($A26,'18 KMP- Tháng'!$A$6:$A$29,0),MATCH(F$7,'18 KMP- Tháng'!$E$2:$P$2,0))</f>
        <v>498.88963100000001</v>
      </c>
      <c r="G26" s="484">
        <f>INDEX('18 KMP- Tháng'!$E$6:$Q$29,MATCH($A26,'18 KMP- Tháng'!$A$6:$A$29,0),MATCH(G$7,'18 KMP- Tháng'!$E$2:$P$2,0))</f>
        <v>485.24326100000002</v>
      </c>
      <c r="H26" s="484">
        <f>INDEX('18 KMP- Tháng'!$E$6:$Q$29,MATCH($A26,'18 KMP- Tháng'!$A$6:$A$29,0),MATCH(H$7,'18 KMP- Tháng'!$E$2:$P$2,0))</f>
        <v>431.96916599999997</v>
      </c>
      <c r="I26" s="484">
        <f>INDEX('18 KMP- Tháng'!$E$6:$Q$29,MATCH($A26,'18 KMP- Tháng'!$A$6:$A$29,0),MATCH(I$7,'18 KMP- Tháng'!$E$2:$P$2,0))</f>
        <v>578.64694599999996</v>
      </c>
      <c r="J26" s="484">
        <f>INDEX('18 KMP- Tháng'!$E$6:$Q$29,MATCH($A26,'18 KMP- Tháng'!$A$6:$A$29,0),MATCH(J$7,'18 KMP- Tháng'!$E$2:$P$2,0))</f>
        <v>481.06259</v>
      </c>
      <c r="K26" s="484">
        <f>INDEX('18 KMP- Tháng'!$E$6:$Q$29,MATCH($A26,'18 KMP- Tháng'!$A$6:$A$29,0),MATCH(K$7,'18 KMP- Tháng'!$E$2:$P$2,0))</f>
        <v>502.90178500000002</v>
      </c>
      <c r="L26" s="484">
        <f>INDEX('18 KMP- Tháng'!$E$6:$Q$29,MATCH($A26,'18 KMP- Tháng'!$A$6:$A$29,0),MATCH(L$7,'18 KMP- Tháng'!$E$2:$P$2,0))</f>
        <v>554.27070400000002</v>
      </c>
      <c r="M26" s="484">
        <f>INDEX('18 KMP- Tháng'!$E$6:$Q$29,MATCH($A26,'18 KMP- Tháng'!$A$6:$A$29,0),MATCH(M$7,'18 KMP- Tháng'!$E$2:$P$2,0))</f>
        <v>469.50239099999999</v>
      </c>
      <c r="N26" s="484">
        <f>INDEX('18 KMP- Tháng'!$E$6:$Q$29,MATCH($A26,'18 KMP- Tháng'!$A$6:$A$29,0),MATCH(N$7,'18 KMP- Tháng'!$E$2:$P$2,0))</f>
        <v>547.69279300000005</v>
      </c>
      <c r="O26" s="484">
        <f>INDEX('18 KMP- Tháng'!$E$6:$Q$29,MATCH($A26,'18 KMP- Tháng'!$A$6:$A$29,0),MATCH(O$7,'18 KMP- Tháng'!$E$2:$P$2,0))</f>
        <v>615.94742800000006</v>
      </c>
      <c r="P26" s="818">
        <f>INDEX('18 KMP- Tháng'!$E$6:$Q$29,MATCH($A26,'18 KMP- Tháng'!$A$6:$A$29,0),MATCH(P$7,'18 KMP- Tháng'!$E$2:$P$2,0))</f>
        <v>681.05225900000005</v>
      </c>
      <c r="Q26" s="821">
        <f t="shared" si="15"/>
        <v>526.03818533333344</v>
      </c>
      <c r="R26" s="484">
        <f>INDEX('18 KMP- Tháng'!$R$6:$AC$24,MATCH($A26,'18 KMP- Tháng'!$A$6:$A$24,0),MATCH(R$7,'18 KMP- Tháng'!$R$2:$AC$2,0))</f>
        <v>716.08840799999996</v>
      </c>
      <c r="S26" s="484">
        <f>INDEX('18 KMP- Tháng'!$R$6:$AC$24,MATCH($A26,'18 KMP- Tháng'!$A$6:$A$24,0),MATCH(S$7,'18 KMP- Tháng'!$R$2:$AC$2,0))</f>
        <v>691.59377400000005</v>
      </c>
      <c r="T26" s="484">
        <f>INDEX('18 KMP- Tháng'!$R$6:$AC$24,MATCH($A26,'18 KMP- Tháng'!$A$6:$A$24,0),MATCH(T$7,'18 KMP- Tháng'!$R$2:$AC$2,0))</f>
        <v>833.34065199999998</v>
      </c>
      <c r="U26" s="484">
        <f>INDEX('18 KMP- Tháng'!$R$6:$AC$24,MATCH($A26,'18 KMP- Tháng'!$A$6:$A$24,0),MATCH(U$7,'18 KMP- Tháng'!$R$2:$AC$2,0))</f>
        <v>880.05645200000004</v>
      </c>
      <c r="V26" s="484">
        <f>INDEX('18 KMP- Tháng'!$R$6:$AC$24,MATCH($A26,'18 KMP- Tháng'!$A$6:$A$24,0),MATCH(V$7,'18 KMP- Tháng'!$R$2:$AC$2,0))</f>
        <v>962.45493699999997</v>
      </c>
      <c r="W26" s="484">
        <f>INDEX('18 KMP- Tháng'!$R$6:$AC$24,MATCH($A26,'18 KMP- Tháng'!$A$6:$A$24,0),MATCH(W$7,'18 KMP- Tháng'!$R$2:$AC$2,0))</f>
        <v>779.98906199999999</v>
      </c>
      <c r="X26" s="484">
        <f>INDEX('18 KMP- Tháng'!$R$6:$AC$24,MATCH($A26,'18 KMP- Tháng'!$A$6:$A$24,0),MATCH(X$7,'18 KMP- Tháng'!$R$2:$AC$2,0))</f>
        <v>678.94090300000005</v>
      </c>
      <c r="Y26" s="484">
        <f>INDEX('18 KMP- Tháng'!$R$6:$AC$24,MATCH($A26,'18 KMP- Tháng'!$A$6:$A$24,0),MATCH(Y$7,'18 KMP- Tháng'!$R$2:$AC$2,0))</f>
        <v>825.70615199999997</v>
      </c>
      <c r="Z26" s="484">
        <f>INDEX('18 KMP- Tháng'!$R$6:$AC$24,MATCH($A26,'18 KMP- Tháng'!$A$6:$A$24,0),MATCH(Z$7,'18 KMP- Tháng'!$R$2:$AC$2,0))</f>
        <v>1011.891319</v>
      </c>
      <c r="AA26" s="484">
        <f>INDEX('18 KMP- Tháng'!$R$6:$AC$24,MATCH($A26,'18 KMP- Tháng'!$A$6:$A$24,0),MATCH(AA$7,'18 KMP- Tháng'!$R$2:$AC$2,0))</f>
        <v>830.77095499999996</v>
      </c>
      <c r="AB26" s="484">
        <f>INDEX('18 KMP- Tháng'!$R$6:$AC$24,MATCH($A26,'18 KMP- Tháng'!$A$6:$A$24,0),MATCH(AB$7,'18 KMP- Tháng'!$R$2:$AC$2,0))</f>
        <v>1000.806672</v>
      </c>
      <c r="AC26" s="818">
        <f>INDEX('18 KMP- Tháng'!$R$6:$AC$24,MATCH($A26,'18 KMP- Tháng'!$A$6:$A$24,0),MATCH(AC$7,'18 KMP- Tháng'!$R$2:$AC$2,0))</f>
        <v>1080.1792390000001</v>
      </c>
      <c r="AD26" s="821">
        <f t="shared" si="7"/>
        <v>857.65154374999986</v>
      </c>
      <c r="AE26" s="820">
        <f>INDEX('18 KMP- Tháng'!$AF$6:$AQ$29,MATCH($A26,'18 KMP- Tháng'!$A$6:$A$29,0),MATCH(AE$7,'18 KMP- Tháng'!$AF$2:$AQ$2,0))</f>
        <v>846.79768000000001</v>
      </c>
      <c r="AF26" s="484">
        <f>INDEX('18 KMP- Tháng'!$AF$6:$AQ$29,MATCH($A26,'18 KMP- Tháng'!$A$6:$A$29,0),MATCH(AF$7,'18 KMP- Tháng'!$AF$2:$AQ$2,0))</f>
        <v>1000.829428</v>
      </c>
      <c r="AG26" s="484">
        <f>INDEX('18 KMP- Tháng'!$AF$6:$AQ$29,MATCH($A26,'18 KMP- Tháng'!$A$6:$A$29,0),MATCH(AG$7,'18 KMP- Tháng'!$AF$2:$AQ$2,0))</f>
        <v>946.99695599999995</v>
      </c>
      <c r="AH26" s="484">
        <f>INDEX('18 KMP- Tháng'!$AF$6:$AQ$29,MATCH($A26,'18 KMP- Tháng'!$A$6:$A$29,0),MATCH(AH$7,'18 KMP- Tháng'!$AF$2:$AQ$2,0))</f>
        <v>1097.7775140000001</v>
      </c>
      <c r="AI26" s="484">
        <f>INDEX('18 KMP- Tháng'!$AF$6:$AQ$29,MATCH($A26,'18 KMP- Tháng'!$A$6:$A$29,0),MATCH(AI$7,'18 KMP- Tháng'!$AF$2:$AQ$2,0))</f>
        <v>1084.371903</v>
      </c>
      <c r="AJ26" s="484">
        <f>INDEX('18 KMP- Tháng'!$AF$6:$AQ$29,MATCH($A26,'18 KMP- Tháng'!$A$6:$A$29,0),MATCH(AJ$7,'18 KMP- Tháng'!$AF$2:$AQ$2,0))</f>
        <v>891.13647100000003</v>
      </c>
      <c r="AK26" s="484">
        <f>INDEX('18 KMP- Tháng'!$AF$6:$AQ$29,MATCH($A26,'18 KMP- Tháng'!$A$6:$A$29,0),MATCH(AK$7,'18 KMP- Tháng'!$AF$2:$AQ$2,0))</f>
        <v>968.12022300000001</v>
      </c>
      <c r="AL26" s="484">
        <f>INDEX('18 KMP- Tháng'!$AF$6:$AQ$29,MATCH($A26,'18 KMP- Tháng'!$A$6:$A$29,0),MATCH(AL$7,'18 KMP- Tháng'!$AF$2:$AQ$2,0))</f>
        <v>921.39117799999997</v>
      </c>
      <c r="AM26" s="484">
        <f>INDEX('18 KMP- Tháng'!$AF$6:$AQ$29,MATCH($A26,'18 KMP- Tháng'!$A$6:$A$29,0),MATCH(AM$7,'18 KMP- Tháng'!$AF$2:$AQ$2,0))</f>
        <v>942.63703399999997</v>
      </c>
      <c r="AN26" s="484">
        <f>INDEX('18 KMP- Tháng'!$AF$6:$AQ$29,MATCH($A26,'18 KMP- Tháng'!$A$6:$A$29,0),MATCH(AN$7,'18 KMP- Tháng'!$AF$2:$AQ$2,0))</f>
        <v>955.97821499999998</v>
      </c>
      <c r="AO26" s="484">
        <f>INDEX('18 KMP- Tháng'!$AF$6:$AQ$29,MATCH($A26,'18 KMP- Tháng'!$A$6:$A$29,0),MATCH(AO$7,'18 KMP- Tháng'!$AF$2:$AQ$2,0))</f>
        <v>1002.406715</v>
      </c>
      <c r="AP26" s="818">
        <f>INDEX('18 KMP- Tháng'!$AF$6:$AQ$29,MATCH($A26,'18 KMP- Tháng'!$A$6:$A$29,0),MATCH(AP$7,'18 KMP- Tháng'!$AF$2:$AQ$2,0))</f>
        <v>881.78607799999997</v>
      </c>
      <c r="AQ26" s="1380">
        <f t="shared" si="16"/>
        <v>961.68578291666643</v>
      </c>
      <c r="AR26" s="820">
        <f t="shared" si="17"/>
        <v>11540.229394999997</v>
      </c>
      <c r="AS26" s="820">
        <f>INDEX('18 KMP- Tháng'!$BH$6:$BS$29,MATCH($A26,'18 KMP- Tháng'!$A$6:$A$29,0),MATCH(AS$7,'18 KMP- Tháng'!$BH$2:$BS$2,0))</f>
        <v>1097.4625267947374</v>
      </c>
      <c r="AT26" s="484">
        <f>INDEX('18 KMP- Tháng'!$BH$6:$BS$29,MATCH($A26,'18 KMP- Tháng'!$A$6:$A$29,0),MATCH(AT$7,'18 KMP- Tháng'!$BH$2:$BS$2,0))</f>
        <v>684.3883389500387</v>
      </c>
      <c r="AU26" s="484">
        <f>INDEX('18 KMP- Tháng'!$BH$6:$BS$29,MATCH($A26,'18 KMP- Tháng'!$A$6:$A$29,0),MATCH(AU$7,'18 KMP- Tháng'!$BH$2:$BS$2,0))</f>
        <v>909.00912691545204</v>
      </c>
      <c r="AV26" s="484">
        <f>INDEX('18 KMP- Tháng'!$BH$6:$BS$29,MATCH($A26,'18 KMP- Tháng'!$A$6:$A$29,0),MATCH(AV$7,'18 KMP- Tháng'!$BH$2:$BS$2,0))</f>
        <v>950.68150148275629</v>
      </c>
      <c r="AW26" s="484">
        <f>INDEX('18 KMP- Tháng'!$BH$6:$BS$29,MATCH($A26,'18 KMP- Tháng'!$A$6:$A$29,0),MATCH(AW$7,'18 KMP- Tháng'!$BH$2:$BS$2,0))</f>
        <v>787.24237985516299</v>
      </c>
      <c r="AX26" s="484">
        <f>INDEX('18 KMP- Tháng'!$BH$6:$BS$29,MATCH($A26,'18 KMP- Tháng'!$A$6:$A$29,0),MATCH(AX$7,'18 KMP- Tháng'!$BH$2:$BS$2,0))</f>
        <v>842.19632634117897</v>
      </c>
      <c r="AY26" s="484">
        <f>INDEX('18 KMP- Tháng'!$BH$6:$BS$29,MATCH($A26,'18 KMP- Tháng'!$A$6:$A$29,0),MATCH(AY$7,'18 KMP- Tháng'!$BH$2:$BS$2,0))</f>
        <v>822.75043507037333</v>
      </c>
      <c r="AZ26" s="484">
        <f>INDEX('18 KMP- Tháng'!$BH$6:$BS$29,MATCH($A26,'18 KMP- Tháng'!$A$6:$A$29,0),MATCH(AZ$7,'18 KMP- Tháng'!$BH$2:$BS$2,0))</f>
        <v>778.17658718628445</v>
      </c>
      <c r="BA26" s="484">
        <f>INDEX('18 KMP- Tháng'!$BH$6:$BS$29,MATCH($A26,'18 KMP- Tháng'!$A$6:$A$29,0),MATCH(BA$7,'18 KMP- Tháng'!$BH$2:$BS$2,0))</f>
        <v>805.80359646110617</v>
      </c>
      <c r="BB26" s="484">
        <f>INDEX('18 KMP- Tháng'!$BH$6:$BS$29,MATCH($A26,'18 KMP- Tháng'!$A$6:$A$29,0),MATCH(BB$7,'18 KMP- Tháng'!$BH$2:$BS$2,0))</f>
        <v>789.03098314356475</v>
      </c>
      <c r="BC26" s="484">
        <f>INDEX('18 KMP- Tháng'!$BH$6:$BS$29,MATCH($A26,'18 KMP- Tháng'!$A$6:$A$29,0),MATCH(BC$7,'18 KMP- Tháng'!$BH$2:$BS$2,0))</f>
        <v>680.53850176721824</v>
      </c>
      <c r="BD26" s="818">
        <f>INDEX('18 KMP- Tháng'!$BH$6:$BS$29,MATCH($A26,'18 KMP- Tháng'!$A$6:$A$29,0),MATCH(BD$7,'18 KMP- Tháng'!$BH$2:$BS$2,0))</f>
        <v>784.4652000531986</v>
      </c>
      <c r="BE26" s="821">
        <f t="shared" si="18"/>
        <v>827.64545866842263</v>
      </c>
      <c r="BF26" s="820">
        <f>INDEX('18 KMP- Tháng'!$AS$6:$BD$29,MATCH($A26,'18 KMP- Tháng'!$A$6:$A$29,0),MATCH(BF$7,'18 KMP- Tháng'!$AS$2:$BD$2,0))</f>
        <v>600.67994299999998</v>
      </c>
      <c r="BG26" s="484">
        <f>INDEX('18 KMP- Tháng'!$AS$6:$BD$29,MATCH($A26,'18 KMP- Tháng'!$A$6:$A$29,0),MATCH(BG$7,'18 KMP- Tháng'!$AS$2:$BD$2,0))</f>
        <v>520.80578700000001</v>
      </c>
      <c r="BH26" s="484">
        <f>INDEX('18 KMP- Tháng'!$AS$6:$BD$29,MATCH($A26,'18 KMP- Tháng'!$A$6:$A$29,0),MATCH(BH$7,'18 KMP- Tháng'!$AS$2:$BD$2,0))</f>
        <v>606.28655600000002</v>
      </c>
      <c r="BI26" s="484">
        <f>INDEX('18 KMP- Tháng'!$AS$6:$BD$29,MATCH($A26,'18 KMP- Tháng'!$A$6:$A$29,0),MATCH(BI$7,'18 KMP- Tháng'!$AS$2:$BD$2,0))</f>
        <v>576.96160699999996</v>
      </c>
      <c r="BJ26" s="484">
        <f>INDEX('18 KMP- Tháng'!$AS$6:$BD$29,MATCH($A26,'18 KMP- Tháng'!$A$6:$A$29,0),MATCH(BJ$7,'18 KMP- Tháng'!$AS$2:$BD$2,0))</f>
        <v>610.26077499999997</v>
      </c>
      <c r="BK26" s="484">
        <f>INDEX('18 KMP- Tháng'!$AS$6:$BD$29,MATCH($A26,'18 KMP- Tháng'!$A$6:$A$29,0),MATCH(BK$7,'18 KMP- Tháng'!$AS$2:$BD$2,0))</f>
        <v>0</v>
      </c>
      <c r="BL26" s="484">
        <f>INDEX('18 KMP- Tháng'!$AS$6:$BD$29,MATCH($A26,'18 KMP- Tháng'!$A$6:$A$29,0),MATCH(BL$7,'18 KMP- Tháng'!$AS$2:$BD$2,0))</f>
        <v>0</v>
      </c>
      <c r="BM26" s="484">
        <f>INDEX('18 KMP- Tháng'!$AS$6:$BD$29,MATCH($A26,'18 KMP- Tháng'!$A$6:$A$29,0),MATCH(BM$7,'18 KMP- Tháng'!$AS$2:$BD$2,0))</f>
        <v>0</v>
      </c>
      <c r="BN26" s="484">
        <f>INDEX('18 KMP- Tháng'!$AS$6:$BD$29,MATCH($A26,'18 KMP- Tháng'!$A$6:$A$29,0),MATCH(BN$7,'18 KMP- Tháng'!$AS$2:$BD$2,0))</f>
        <v>0</v>
      </c>
      <c r="BO26" s="484">
        <f>INDEX('18 KMP- Tháng'!$AS$6:$BD$29,MATCH($A26,'18 KMP- Tháng'!$A$6:$A$29,0),MATCH(BO$7,'18 KMP- Tháng'!$AS$2:$BD$2,0))</f>
        <v>0</v>
      </c>
      <c r="BP26" s="484">
        <f>INDEX('18 KMP- Tháng'!$AS$6:$BD$29,MATCH($A26,'18 KMP- Tháng'!$A$6:$A$29,0),MATCH(BP$7,'18 KMP- Tháng'!$AS$2:$BD$2,0))</f>
        <v>0</v>
      </c>
      <c r="BQ26" s="818">
        <f>INDEX('18 KMP- Tháng'!$AS$6:$BD$29,MATCH($A26,'18 KMP- Tháng'!$A$6:$A$29,0),MATCH(BQ$7,'18 KMP- Tháng'!$AS$2:$BD$2,0))</f>
        <v>0</v>
      </c>
      <c r="BR26" s="1380">
        <f t="shared" si="19"/>
        <v>582.99893359999987</v>
      </c>
      <c r="BS26" s="820">
        <f t="shared" si="20"/>
        <v>2914.9946679999994</v>
      </c>
      <c r="BT26" s="491">
        <f t="shared" si="5"/>
        <v>-0.22481209013128101</v>
      </c>
      <c r="BU26" s="485">
        <f t="shared" si="6"/>
        <v>5.586661295620173E-3</v>
      </c>
      <c r="BV26" s="1562"/>
      <c r="BW26" s="1562"/>
      <c r="BX26" s="1562"/>
      <c r="BY26" s="1546"/>
      <c r="BZ26" s="1546"/>
      <c r="CA26" s="1546"/>
      <c r="CB26" s="1546"/>
      <c r="CC26" s="486"/>
      <c r="CD26" s="454"/>
      <c r="CE26" s="454"/>
      <c r="CF26" s="454"/>
      <c r="CG26" s="454"/>
      <c r="CH26" s="454"/>
      <c r="CI26" s="454"/>
      <c r="CJ26" s="454"/>
      <c r="CK26" s="454"/>
      <c r="CL26" s="454"/>
      <c r="CM26" s="454"/>
      <c r="CN26" s="454"/>
    </row>
    <row r="27" spans="1:92" s="481" customFormat="1">
      <c r="A27" s="469">
        <v>20</v>
      </c>
      <c r="B27" s="482">
        <f t="shared" si="21"/>
        <v>6</v>
      </c>
      <c r="C27" s="483" t="s">
        <v>440</v>
      </c>
      <c r="D27" s="483" t="s">
        <v>446</v>
      </c>
      <c r="E27" s="484">
        <f>INDEX('18 KMP- Tháng'!$E$6:$Q$29,MATCH($A27,'18 KMP- Tháng'!$A$6:$A$29,0),MATCH(E$7,'18 KMP- Tháng'!$E$2:$P$2,0))</f>
        <v>246.48996799999998</v>
      </c>
      <c r="F27" s="484">
        <f>INDEX('18 KMP- Tháng'!$E$6:$Q$29,MATCH($A27,'18 KMP- Tháng'!$A$6:$A$29,0),MATCH(F$7,'18 KMP- Tháng'!$E$2:$P$2,0))</f>
        <v>196.31483499999999</v>
      </c>
      <c r="G27" s="484">
        <f>INDEX('18 KMP- Tháng'!$E$6:$Q$29,MATCH($A27,'18 KMP- Tháng'!$A$6:$A$29,0),MATCH(G$7,'18 KMP- Tháng'!$E$2:$P$2,0))</f>
        <v>283.67628499999995</v>
      </c>
      <c r="H27" s="484">
        <f>INDEX('18 KMP- Tháng'!$E$6:$Q$29,MATCH($A27,'18 KMP- Tháng'!$A$6:$A$29,0),MATCH(H$7,'18 KMP- Tháng'!$E$2:$P$2,0))</f>
        <v>199.32285299999998</v>
      </c>
      <c r="I27" s="484">
        <f>INDEX('18 KMP- Tháng'!$E$6:$Q$29,MATCH($A27,'18 KMP- Tháng'!$A$6:$A$29,0),MATCH(I$7,'18 KMP- Tháng'!$E$2:$P$2,0))</f>
        <v>400.21661099999994</v>
      </c>
      <c r="J27" s="484">
        <f>INDEX('18 KMP- Tháng'!$E$6:$Q$29,MATCH($A27,'18 KMP- Tháng'!$A$6:$A$29,0),MATCH(J$7,'18 KMP- Tháng'!$E$2:$P$2,0))</f>
        <v>382.31868700000001</v>
      </c>
      <c r="K27" s="484">
        <f>INDEX('18 KMP- Tháng'!$E$6:$Q$29,MATCH($A27,'18 KMP- Tháng'!$A$6:$A$29,0),MATCH(K$7,'18 KMP- Tháng'!$E$2:$P$2,0))</f>
        <v>546.65978099999995</v>
      </c>
      <c r="L27" s="484">
        <f>INDEX('18 KMP- Tháng'!$E$6:$Q$29,MATCH($A27,'18 KMP- Tháng'!$A$6:$A$29,0),MATCH(L$7,'18 KMP- Tháng'!$E$2:$P$2,0))</f>
        <v>459.12409699999995</v>
      </c>
      <c r="M27" s="484">
        <f>INDEX('18 KMP- Tháng'!$E$6:$Q$29,MATCH($A27,'18 KMP- Tháng'!$A$6:$A$29,0),MATCH(M$7,'18 KMP- Tháng'!$E$2:$P$2,0))</f>
        <v>351.15703000000002</v>
      </c>
      <c r="N27" s="484">
        <f>INDEX('18 KMP- Tháng'!$E$6:$Q$29,MATCH($A27,'18 KMP- Tháng'!$A$6:$A$29,0),MATCH(N$7,'18 KMP- Tháng'!$E$2:$P$2,0))</f>
        <v>507.62330700000001</v>
      </c>
      <c r="O27" s="484">
        <f>INDEX('18 KMP- Tháng'!$E$6:$Q$29,MATCH($A27,'18 KMP- Tháng'!$A$6:$A$29,0),MATCH(O$7,'18 KMP- Tháng'!$E$2:$P$2,0))</f>
        <v>624.38641399999995</v>
      </c>
      <c r="P27" s="818">
        <f>INDEX('18 KMP- Tháng'!$E$6:$Q$29,MATCH($A27,'18 KMP- Tháng'!$A$6:$A$29,0),MATCH(P$7,'18 KMP- Tháng'!$E$2:$P$2,0))</f>
        <v>848.89990699999998</v>
      </c>
      <c r="Q27" s="821">
        <f t="shared" si="15"/>
        <v>420.51581458333322</v>
      </c>
      <c r="R27" s="484">
        <f>INDEX('18 KMP- Tháng'!$R$6:$AC$24,MATCH($A27,'18 KMP- Tháng'!$A$6:$A$24,0),MATCH(R$7,'18 KMP- Tháng'!$R$2:$AC$2,0))</f>
        <v>538.72162100000003</v>
      </c>
      <c r="S27" s="484">
        <f>INDEX('18 KMP- Tháng'!$R$6:$AC$24,MATCH($A27,'18 KMP- Tháng'!$A$6:$A$24,0),MATCH(S$7,'18 KMP- Tháng'!$R$2:$AC$2,0))</f>
        <v>645.51002000000005</v>
      </c>
      <c r="T27" s="484">
        <f>INDEX('18 KMP- Tháng'!$R$6:$AC$24,MATCH($A27,'18 KMP- Tháng'!$A$6:$A$24,0),MATCH(T$7,'18 KMP- Tháng'!$R$2:$AC$2,0))</f>
        <v>698.78772200000003</v>
      </c>
      <c r="U27" s="484">
        <f>INDEX('18 KMP- Tháng'!$R$6:$AC$24,MATCH($A27,'18 KMP- Tháng'!$A$6:$A$24,0),MATCH(U$7,'18 KMP- Tháng'!$R$2:$AC$2,0))</f>
        <v>640.0876760000001</v>
      </c>
      <c r="V27" s="484">
        <f>INDEX('18 KMP- Tháng'!$R$6:$AC$24,MATCH($A27,'18 KMP- Tháng'!$A$6:$A$24,0),MATCH(V$7,'18 KMP- Tháng'!$R$2:$AC$2,0))</f>
        <v>763.75839600000006</v>
      </c>
      <c r="W27" s="484">
        <f>INDEX('18 KMP- Tháng'!$R$6:$AC$24,MATCH($A27,'18 KMP- Tháng'!$A$6:$A$24,0),MATCH(W$7,'18 KMP- Tháng'!$R$2:$AC$2,0))</f>
        <v>839.77968399999997</v>
      </c>
      <c r="X27" s="484">
        <f>INDEX('18 KMP- Tháng'!$R$6:$AC$24,MATCH($A27,'18 KMP- Tháng'!$A$6:$A$24,0),MATCH(X$7,'18 KMP- Tháng'!$R$2:$AC$2,0))</f>
        <v>569.16955900000005</v>
      </c>
      <c r="Y27" s="484">
        <f>INDEX('18 KMP- Tháng'!$R$6:$AC$24,MATCH($A27,'18 KMP- Tháng'!$A$6:$A$24,0),MATCH(Y$7,'18 KMP- Tháng'!$R$2:$AC$2,0))</f>
        <v>809.00254699999994</v>
      </c>
      <c r="Z27" s="484">
        <f>INDEX('18 KMP- Tháng'!$R$6:$AC$24,MATCH($A27,'18 KMP- Tháng'!$A$6:$A$24,0),MATCH(Z$7,'18 KMP- Tháng'!$R$2:$AC$2,0))</f>
        <v>931.70146299999999</v>
      </c>
      <c r="AA27" s="484">
        <f>INDEX('18 KMP- Tháng'!$R$6:$AC$24,MATCH($A27,'18 KMP- Tháng'!$A$6:$A$24,0),MATCH(AA$7,'18 KMP- Tháng'!$R$2:$AC$2,0))</f>
        <v>1009.2301160000001</v>
      </c>
      <c r="AB27" s="484">
        <f>INDEX('18 KMP- Tháng'!$R$6:$AC$24,MATCH($A27,'18 KMP- Tháng'!$A$6:$A$24,0),MATCH(AB$7,'18 KMP- Tháng'!$R$2:$AC$2,0))</f>
        <v>1237.657117</v>
      </c>
      <c r="AC27" s="818">
        <f>INDEX('18 KMP- Tháng'!$R$6:$AC$24,MATCH($A27,'18 KMP- Tháng'!$A$6:$A$24,0),MATCH(AC$7,'18 KMP- Tháng'!$R$2:$AC$2,0))</f>
        <v>1484.7749200000003</v>
      </c>
      <c r="AD27" s="821">
        <f t="shared" si="7"/>
        <v>847.34840341666677</v>
      </c>
      <c r="AE27" s="820">
        <f>INDEX('18 KMP- Tháng'!$AF$6:$AQ$29,MATCH($A27,'18 KMP- Tháng'!$A$6:$A$29,0),MATCH(AE$7,'18 KMP- Tháng'!$AF$2:$AQ$2,0))</f>
        <v>954.84058600000003</v>
      </c>
      <c r="AF27" s="484">
        <f>INDEX('18 KMP- Tháng'!$AF$6:$AQ$29,MATCH($A27,'18 KMP- Tháng'!$A$6:$A$29,0),MATCH(AF$7,'18 KMP- Tháng'!$AF$2:$AQ$2,0))</f>
        <v>1156.6500449999999</v>
      </c>
      <c r="AG27" s="484">
        <f>INDEX('18 KMP- Tháng'!$AF$6:$AQ$29,MATCH($A27,'18 KMP- Tháng'!$A$6:$A$29,0),MATCH(AG$7,'18 KMP- Tháng'!$AF$2:$AQ$2,0))</f>
        <v>1032.198695</v>
      </c>
      <c r="AH27" s="484">
        <f>INDEX('18 KMP- Tháng'!$AF$6:$AQ$29,MATCH($A27,'18 KMP- Tháng'!$A$6:$A$29,0),MATCH(AH$7,'18 KMP- Tháng'!$AF$2:$AQ$2,0))</f>
        <v>1123.1554360000002</v>
      </c>
      <c r="AI27" s="484">
        <f>INDEX('18 KMP- Tháng'!$AF$6:$AQ$29,MATCH($A27,'18 KMP- Tháng'!$A$6:$A$29,0),MATCH(AI$7,'18 KMP- Tháng'!$AF$2:$AQ$2,0))</f>
        <v>1070.7569490000001</v>
      </c>
      <c r="AJ27" s="484">
        <f>INDEX('18 KMP- Tháng'!$AF$6:$AQ$29,MATCH($A27,'18 KMP- Tháng'!$A$6:$A$29,0),MATCH(AJ$7,'18 KMP- Tháng'!$AF$2:$AQ$2,0))</f>
        <v>1292.3613570000002</v>
      </c>
      <c r="AK27" s="484">
        <f>INDEX('18 KMP- Tháng'!$AF$6:$AQ$29,MATCH($A27,'18 KMP- Tháng'!$A$6:$A$29,0),MATCH(AK$7,'18 KMP- Tháng'!$AF$2:$AQ$2,0))</f>
        <v>1336.968877</v>
      </c>
      <c r="AL27" s="484">
        <f>INDEX('18 KMP- Tháng'!$AF$6:$AQ$29,MATCH($A27,'18 KMP- Tháng'!$A$6:$A$29,0),MATCH(AL$7,'18 KMP- Tháng'!$AF$2:$AQ$2,0))</f>
        <v>1300.5327359999999</v>
      </c>
      <c r="AM27" s="484">
        <f>INDEX('18 KMP- Tháng'!$AF$6:$AQ$29,MATCH($A27,'18 KMP- Tháng'!$A$6:$A$29,0),MATCH(AM$7,'18 KMP- Tháng'!$AF$2:$AQ$2,0))</f>
        <v>1135.2528440000001</v>
      </c>
      <c r="AN27" s="484">
        <f>INDEX('18 KMP- Tháng'!$AF$6:$AQ$29,MATCH($A27,'18 KMP- Tháng'!$A$6:$A$29,0),MATCH(AN$7,'18 KMP- Tháng'!$AF$2:$AQ$2,0))</f>
        <v>1276.4911440000001</v>
      </c>
      <c r="AO27" s="484">
        <f>INDEX('18 KMP- Tháng'!$AF$6:$AQ$29,MATCH($A27,'18 KMP- Tháng'!$A$6:$A$29,0),MATCH(AO$7,'18 KMP- Tháng'!$AF$2:$AQ$2,0))</f>
        <v>1152.781774</v>
      </c>
      <c r="AP27" s="818">
        <f>INDEX('18 KMP- Tháng'!$AF$6:$AQ$29,MATCH($A27,'18 KMP- Tháng'!$A$6:$A$29,0),MATCH(AP$7,'18 KMP- Tháng'!$AF$2:$AQ$2,0))</f>
        <v>1098.2780640000001</v>
      </c>
      <c r="AQ27" s="1380">
        <f t="shared" si="16"/>
        <v>1160.8557089166666</v>
      </c>
      <c r="AR27" s="820">
        <f t="shared" si="17"/>
        <v>13930.268506999999</v>
      </c>
      <c r="AS27" s="820">
        <f>INDEX('18 KMP- Tháng'!$BH$6:$BS$29,MATCH($A27,'18 KMP- Tháng'!$A$6:$A$29,0),MATCH(AS$7,'18 KMP- Tháng'!$BH$2:$BS$2,0))</f>
        <v>1006.3909672479249</v>
      </c>
      <c r="AT27" s="484">
        <f>INDEX('18 KMP- Tháng'!$BH$6:$BS$29,MATCH($A27,'18 KMP- Tháng'!$A$6:$A$29,0),MATCH(AT$7,'18 KMP- Tháng'!$BH$2:$BS$2,0))</f>
        <v>790.98151514487347</v>
      </c>
      <c r="AU27" s="484">
        <f>INDEX('18 KMP- Tháng'!$BH$6:$BS$29,MATCH($A27,'18 KMP- Tháng'!$A$6:$A$29,0),MATCH(AU$7,'18 KMP- Tháng'!$BH$2:$BS$2,0))</f>
        <v>1265.3543462268537</v>
      </c>
      <c r="AV27" s="484">
        <f>INDEX('18 KMP- Tháng'!$BH$6:$BS$29,MATCH($A27,'18 KMP- Tháng'!$A$6:$A$29,0),MATCH(AV$7,'18 KMP- Tháng'!$BH$2:$BS$2,0))</f>
        <v>1161.7049307954319</v>
      </c>
      <c r="AW27" s="484">
        <f>INDEX('18 KMP- Tháng'!$BH$6:$BS$29,MATCH($A27,'18 KMP- Tháng'!$A$6:$A$29,0),MATCH(AW$7,'18 KMP- Tháng'!$BH$2:$BS$2,0))</f>
        <v>1171.3660458101872</v>
      </c>
      <c r="AX27" s="484">
        <f>INDEX('18 KMP- Tháng'!$BH$6:$BS$29,MATCH($A27,'18 KMP- Tháng'!$A$6:$A$29,0),MATCH(AX$7,'18 KMP- Tháng'!$BH$2:$BS$2,0))</f>
        <v>1498.3283359620987</v>
      </c>
      <c r="AY27" s="484">
        <f>INDEX('18 KMP- Tháng'!$BH$6:$BS$29,MATCH($A27,'18 KMP- Tháng'!$A$6:$A$29,0),MATCH(AY$7,'18 KMP- Tháng'!$BH$2:$BS$2,0))</f>
        <v>1319.012510734022</v>
      </c>
      <c r="AZ27" s="484">
        <f>INDEX('18 KMP- Tháng'!$BH$6:$BS$29,MATCH($A27,'18 KMP- Tháng'!$A$6:$A$29,0),MATCH(AZ$7,'18 KMP- Tháng'!$BH$2:$BS$2,0))</f>
        <v>1202.2024329840224</v>
      </c>
      <c r="BA27" s="484">
        <f>INDEX('18 KMP- Tháng'!$BH$6:$BS$29,MATCH($A27,'18 KMP- Tháng'!$A$6:$A$29,0),MATCH(BA$7,'18 KMP- Tháng'!$BH$2:$BS$2,0))</f>
        <v>1366.8730393972839</v>
      </c>
      <c r="BB27" s="484">
        <f>INDEX('18 KMP- Tháng'!$BH$6:$BS$29,MATCH($A27,'18 KMP- Tháng'!$A$6:$A$29,0),MATCH(BB$7,'18 KMP- Tháng'!$BH$2:$BS$2,0))</f>
        <v>1222.2986830673553</v>
      </c>
      <c r="BC27" s="484">
        <f>INDEX('18 KMP- Tháng'!$BH$6:$BS$29,MATCH($A27,'18 KMP- Tháng'!$A$6:$A$29,0),MATCH(BC$7,'18 KMP- Tháng'!$BH$2:$BS$2,0))</f>
        <v>1221.7830999389505</v>
      </c>
      <c r="BD27" s="818">
        <f>INDEX('18 KMP- Tháng'!$BH$6:$BS$29,MATCH($A27,'18 KMP- Tháng'!$A$6:$A$29,0),MATCH(BD$7,'18 KMP- Tháng'!$BH$2:$BS$2,0))</f>
        <v>1250.6741891923555</v>
      </c>
      <c r="BE27" s="821">
        <f t="shared" si="18"/>
        <v>1206.4141747084466</v>
      </c>
      <c r="BF27" s="820">
        <f>INDEX('18 KMP- Tháng'!$AS$6:$BD$29,MATCH($A27,'18 KMP- Tháng'!$A$6:$A$29,0),MATCH(BF$7,'18 KMP- Tháng'!$AS$2:$BD$2,0))</f>
        <v>953.05825100000004</v>
      </c>
      <c r="BG27" s="484">
        <f>INDEX('18 KMP- Tháng'!$AS$6:$BD$29,MATCH($A27,'18 KMP- Tháng'!$A$6:$A$29,0),MATCH(BG$7,'18 KMP- Tháng'!$AS$2:$BD$2,0))</f>
        <v>699.73584800000003</v>
      </c>
      <c r="BH27" s="484">
        <f>INDEX('18 KMP- Tháng'!$AS$6:$BD$29,MATCH($A27,'18 KMP- Tháng'!$A$6:$A$29,0),MATCH(BH$7,'18 KMP- Tháng'!$AS$2:$BD$2,0))</f>
        <v>863.95969500000012</v>
      </c>
      <c r="BI27" s="484">
        <f>INDEX('18 KMP- Tháng'!$AS$6:$BD$29,MATCH($A27,'18 KMP- Tháng'!$A$6:$A$29,0),MATCH(BI$7,'18 KMP- Tháng'!$AS$2:$BD$2,0))</f>
        <v>1018.525967</v>
      </c>
      <c r="BJ27" s="484">
        <f>INDEX('18 KMP- Tháng'!$AS$6:$BD$29,MATCH($A27,'18 KMP- Tháng'!$A$6:$A$29,0),MATCH(BJ$7,'18 KMP- Tháng'!$AS$2:$BD$2,0))</f>
        <v>1261.7044699999999</v>
      </c>
      <c r="BK27" s="484">
        <f>INDEX('18 KMP- Tháng'!$AS$6:$BD$29,MATCH($A27,'18 KMP- Tháng'!$A$6:$A$29,0),MATCH(BK$7,'18 KMP- Tháng'!$AS$2:$BD$2,0))</f>
        <v>0</v>
      </c>
      <c r="BL27" s="484">
        <f>INDEX('18 KMP- Tháng'!$AS$6:$BD$29,MATCH($A27,'18 KMP- Tháng'!$A$6:$A$29,0),MATCH(BL$7,'18 KMP- Tháng'!$AS$2:$BD$2,0))</f>
        <v>0</v>
      </c>
      <c r="BM27" s="484">
        <f>INDEX('18 KMP- Tháng'!$AS$6:$BD$29,MATCH($A27,'18 KMP- Tháng'!$A$6:$A$29,0),MATCH(BM$7,'18 KMP- Tháng'!$AS$2:$BD$2,0))</f>
        <v>0</v>
      </c>
      <c r="BN27" s="484">
        <f>INDEX('18 KMP- Tháng'!$AS$6:$BD$29,MATCH($A27,'18 KMP- Tháng'!$A$6:$A$29,0),MATCH(BN$7,'18 KMP- Tháng'!$AS$2:$BD$2,0))</f>
        <v>0</v>
      </c>
      <c r="BO27" s="484">
        <f>INDEX('18 KMP- Tháng'!$AS$6:$BD$29,MATCH($A27,'18 KMP- Tháng'!$A$6:$A$29,0),MATCH(BO$7,'18 KMP- Tháng'!$AS$2:$BD$2,0))</f>
        <v>0</v>
      </c>
      <c r="BP27" s="484">
        <f>INDEX('18 KMP- Tháng'!$AS$6:$BD$29,MATCH($A27,'18 KMP- Tháng'!$A$6:$A$29,0),MATCH(BP$7,'18 KMP- Tháng'!$AS$2:$BD$2,0))</f>
        <v>0</v>
      </c>
      <c r="BQ27" s="818">
        <f>INDEX('18 KMP- Tháng'!$AS$6:$BD$29,MATCH($A27,'18 KMP- Tháng'!$A$6:$A$29,0),MATCH(BQ$7,'18 KMP- Tháng'!$AS$2:$BD$2,0))</f>
        <v>0</v>
      </c>
      <c r="BR27" s="1380">
        <f t="shared" si="19"/>
        <v>959.39684620000003</v>
      </c>
      <c r="BS27" s="820">
        <f t="shared" si="20"/>
        <v>4796.9842310000004</v>
      </c>
      <c r="BT27" s="491">
        <f t="shared" si="5"/>
        <v>7.7122283433893823E-2</v>
      </c>
      <c r="BU27" s="485">
        <f t="shared" si="6"/>
        <v>9.1935420785572448E-3</v>
      </c>
      <c r="BV27" s="1563"/>
      <c r="BW27" s="1563"/>
      <c r="BX27" s="1563"/>
      <c r="BY27" s="1546"/>
      <c r="BZ27" s="1546"/>
      <c r="CA27" s="1546"/>
      <c r="CB27" s="1546"/>
      <c r="CC27" s="486"/>
      <c r="CD27" s="454"/>
      <c r="CE27" s="454"/>
      <c r="CF27" s="454"/>
      <c r="CG27" s="454"/>
      <c r="CH27" s="454"/>
      <c r="CI27" s="454"/>
      <c r="CJ27" s="454"/>
      <c r="CK27" s="454"/>
      <c r="CL27" s="454"/>
      <c r="CM27" s="454"/>
      <c r="CN27" s="454"/>
    </row>
    <row r="28" spans="1:92" s="481" customFormat="1">
      <c r="A28" s="469">
        <v>21</v>
      </c>
      <c r="B28" s="482">
        <f t="shared" si="21"/>
        <v>7</v>
      </c>
      <c r="C28" s="488" t="s">
        <v>440</v>
      </c>
      <c r="D28" s="488" t="s">
        <v>447</v>
      </c>
      <c r="E28" s="484">
        <f>INDEX('18 KMP- Tháng'!$E$6:$Q$29,MATCH($A28,'18 KMP- Tháng'!$A$6:$A$29,0),MATCH(E$7,'18 KMP- Tháng'!$E$2:$P$2,0))</f>
        <v>44.321387999999999</v>
      </c>
      <c r="F28" s="484">
        <f>INDEX('18 KMP- Tháng'!$E$6:$Q$29,MATCH($A28,'18 KMP- Tháng'!$A$6:$A$29,0),MATCH(F$7,'18 KMP- Tháng'!$E$2:$P$2,0))</f>
        <v>0</v>
      </c>
      <c r="G28" s="484">
        <f>INDEX('18 KMP- Tháng'!$E$6:$Q$29,MATCH($A28,'18 KMP- Tháng'!$A$6:$A$29,0),MATCH(G$7,'18 KMP- Tháng'!$E$2:$P$2,0))</f>
        <v>48.722388000000002</v>
      </c>
      <c r="H28" s="484">
        <f>INDEX('18 KMP- Tháng'!$E$6:$Q$29,MATCH($A28,'18 KMP- Tháng'!$A$6:$A$29,0),MATCH(H$7,'18 KMP- Tháng'!$E$2:$P$2,0))</f>
        <v>76.187495999999996</v>
      </c>
      <c r="I28" s="484">
        <f>INDEX('18 KMP- Tháng'!$E$6:$Q$29,MATCH($A28,'18 KMP- Tháng'!$A$6:$A$29,0),MATCH(I$7,'18 KMP- Tháng'!$E$2:$P$2,0))</f>
        <v>68.801481999999993</v>
      </c>
      <c r="J28" s="484">
        <f>INDEX('18 KMP- Tháng'!$E$6:$Q$29,MATCH($A28,'18 KMP- Tháng'!$A$6:$A$29,0),MATCH(J$7,'18 KMP- Tháng'!$E$2:$P$2,0))</f>
        <v>28.249625999999999</v>
      </c>
      <c r="K28" s="484">
        <f>INDEX('18 KMP- Tháng'!$E$6:$Q$29,MATCH($A28,'18 KMP- Tháng'!$A$6:$A$29,0),MATCH(K$7,'18 KMP- Tháng'!$E$2:$P$2,0))</f>
        <v>91.396439000000001</v>
      </c>
      <c r="L28" s="484">
        <f>INDEX('18 KMP- Tháng'!$E$6:$Q$29,MATCH($A28,'18 KMP- Tháng'!$A$6:$A$29,0),MATCH(L$7,'18 KMP- Tháng'!$E$2:$P$2,0))</f>
        <v>93.845376000000002</v>
      </c>
      <c r="M28" s="484">
        <f>INDEX('18 KMP- Tháng'!$E$6:$Q$29,MATCH($A28,'18 KMP- Tháng'!$A$6:$A$29,0),MATCH(M$7,'18 KMP- Tháng'!$E$2:$P$2,0))</f>
        <v>109.400024</v>
      </c>
      <c r="N28" s="484">
        <f>INDEX('18 KMP- Tháng'!$E$6:$Q$29,MATCH($A28,'18 KMP- Tháng'!$A$6:$A$29,0),MATCH(N$7,'18 KMP- Tháng'!$E$2:$P$2,0))</f>
        <v>129.99653499999999</v>
      </c>
      <c r="O28" s="484">
        <f>INDEX('18 KMP- Tháng'!$E$6:$Q$29,MATCH($A28,'18 KMP- Tháng'!$A$6:$A$29,0),MATCH(O$7,'18 KMP- Tháng'!$E$2:$P$2,0))</f>
        <v>157.60198</v>
      </c>
      <c r="P28" s="818">
        <f>INDEX('18 KMP- Tháng'!$E$6:$Q$29,MATCH($A28,'18 KMP- Tháng'!$A$6:$A$29,0),MATCH(P$7,'18 KMP- Tháng'!$E$2:$P$2,0))</f>
        <v>316.88398999999998</v>
      </c>
      <c r="Q28" s="826">
        <f t="shared" si="15"/>
        <v>97.117227</v>
      </c>
      <c r="R28" s="484">
        <f>INDEX('18 KMP- Tháng'!$R$6:$AC$24,MATCH($A28,'18 KMP- Tháng'!$A$6:$A$24,0),MATCH(R$7,'18 KMP- Tháng'!$R$2:$AC$2,0))</f>
        <v>460.46177499999999</v>
      </c>
      <c r="S28" s="484">
        <f>INDEX('18 KMP- Tháng'!$R$6:$AC$24,MATCH($A28,'18 KMP- Tháng'!$A$6:$A$24,0),MATCH(S$7,'18 KMP- Tháng'!$R$2:$AC$2,0))</f>
        <v>563.90951600000005</v>
      </c>
      <c r="T28" s="484">
        <f>INDEX('18 KMP- Tháng'!$R$6:$AC$24,MATCH($A28,'18 KMP- Tháng'!$A$6:$A$24,0),MATCH(T$7,'18 KMP- Tháng'!$R$2:$AC$2,0))</f>
        <v>587.31592000000001</v>
      </c>
      <c r="U28" s="484">
        <f>INDEX('18 KMP- Tháng'!$R$6:$AC$24,MATCH($A28,'18 KMP- Tháng'!$A$6:$A$24,0),MATCH(U$7,'18 KMP- Tháng'!$R$2:$AC$2,0))</f>
        <v>905.70814199999995</v>
      </c>
      <c r="V28" s="484">
        <f>INDEX('18 KMP- Tháng'!$R$6:$AC$24,MATCH($A28,'18 KMP- Tháng'!$A$6:$A$24,0),MATCH(V$7,'18 KMP- Tháng'!$R$2:$AC$2,0))</f>
        <v>974.31002899999999</v>
      </c>
      <c r="W28" s="484">
        <f>INDEX('18 KMP- Tháng'!$R$6:$AC$24,MATCH($A28,'18 KMP- Tháng'!$A$6:$A$24,0),MATCH(W$7,'18 KMP- Tháng'!$R$2:$AC$2,0))</f>
        <v>1115.0560800000001</v>
      </c>
      <c r="X28" s="484">
        <f>INDEX('18 KMP- Tháng'!$R$6:$AC$24,MATCH($A28,'18 KMP- Tháng'!$A$6:$A$24,0),MATCH(X$7,'18 KMP- Tháng'!$R$2:$AC$2,0))</f>
        <v>1160.8230060000001</v>
      </c>
      <c r="Y28" s="484">
        <f>INDEX('18 KMP- Tháng'!$R$6:$AC$24,MATCH($A28,'18 KMP- Tháng'!$A$6:$A$24,0),MATCH(Y$7,'18 KMP- Tháng'!$R$2:$AC$2,0))</f>
        <v>939.58504500000004</v>
      </c>
      <c r="Z28" s="484">
        <f>INDEX('18 KMP- Tháng'!$R$6:$AC$24,MATCH($A28,'18 KMP- Tháng'!$A$6:$A$24,0),MATCH(Z$7,'18 KMP- Tháng'!$R$2:$AC$2,0))</f>
        <v>859.44410500000004</v>
      </c>
      <c r="AA28" s="484">
        <f>INDEX('18 KMP- Tháng'!$R$6:$AC$24,MATCH($A28,'18 KMP- Tháng'!$A$6:$A$24,0),MATCH(AA$7,'18 KMP- Tháng'!$R$2:$AC$2,0))</f>
        <v>840.16551500000003</v>
      </c>
      <c r="AB28" s="484">
        <f>INDEX('18 KMP- Tháng'!$R$6:$AC$24,MATCH($A28,'18 KMP- Tháng'!$A$6:$A$24,0),MATCH(AB$7,'18 KMP- Tháng'!$R$2:$AC$2,0))</f>
        <v>889.15908100000001</v>
      </c>
      <c r="AC28" s="818">
        <f>INDEX('18 KMP- Tháng'!$R$6:$AC$24,MATCH($A28,'18 KMP- Tháng'!$A$6:$A$24,0),MATCH(AC$7,'18 KMP- Tháng'!$R$2:$AC$2,0))</f>
        <v>1032.562923</v>
      </c>
      <c r="AD28" s="826">
        <f t="shared" si="7"/>
        <v>860.70842808333339</v>
      </c>
      <c r="AE28" s="827">
        <f>INDEX('18 KMP- Tháng'!$AF$6:$AQ$29,MATCH($A28,'18 KMP- Tháng'!$A$6:$A$29,0),MATCH(AE$7,'18 KMP- Tháng'!$AF$2:$AQ$2,0))</f>
        <v>1114.8242760000001</v>
      </c>
      <c r="AF28" s="489">
        <f>INDEX('18 KMP- Tháng'!$AF$6:$AQ$29,MATCH($A28,'18 KMP- Tháng'!$A$6:$A$29,0),MATCH(AF$7,'18 KMP- Tháng'!$AF$2:$AQ$2,0))</f>
        <v>928.37928099999999</v>
      </c>
      <c r="AG28" s="489">
        <f>INDEX('18 KMP- Tháng'!$AF$6:$AQ$29,MATCH($A28,'18 KMP- Tháng'!$A$6:$A$29,0),MATCH(AG$7,'18 KMP- Tháng'!$AF$2:$AQ$2,0))</f>
        <v>673.96678899999995</v>
      </c>
      <c r="AH28" s="489">
        <f>INDEX('18 KMP- Tháng'!$AF$6:$AQ$29,MATCH($A28,'18 KMP- Tháng'!$A$6:$A$29,0),MATCH(AH$7,'18 KMP- Tháng'!$AF$2:$AQ$2,0))</f>
        <v>888.39345200000002</v>
      </c>
      <c r="AI28" s="489">
        <f>INDEX('18 KMP- Tháng'!$AF$6:$AQ$29,MATCH($A28,'18 KMP- Tháng'!$A$6:$A$29,0),MATCH(AI$7,'18 KMP- Tháng'!$AF$2:$AQ$2,0))</f>
        <v>1189.130459</v>
      </c>
      <c r="AJ28" s="489">
        <f>INDEX('18 KMP- Tháng'!$AF$6:$AQ$29,MATCH($A28,'18 KMP- Tháng'!$A$6:$A$29,0),MATCH(AJ$7,'18 KMP- Tháng'!$AF$2:$AQ$2,0))</f>
        <v>1448.8998220000001</v>
      </c>
      <c r="AK28" s="489">
        <f>INDEX('18 KMP- Tháng'!$AF$6:$AQ$29,MATCH($A28,'18 KMP- Tháng'!$A$6:$A$29,0),MATCH(AK$7,'18 KMP- Tháng'!$AF$2:$AQ$2,0))</f>
        <v>1242.023326</v>
      </c>
      <c r="AL28" s="489">
        <f>INDEX('18 KMP- Tháng'!$AF$6:$AQ$29,MATCH($A28,'18 KMP- Tháng'!$A$6:$A$29,0),MATCH(AL$7,'18 KMP- Tháng'!$AF$2:$AQ$2,0))</f>
        <v>1303.5609099999999</v>
      </c>
      <c r="AM28" s="489">
        <f>INDEX('18 KMP- Tháng'!$AF$6:$AQ$29,MATCH($A28,'18 KMP- Tháng'!$A$6:$A$29,0),MATCH(AM$7,'18 KMP- Tháng'!$AF$2:$AQ$2,0))</f>
        <v>1595.764355</v>
      </c>
      <c r="AN28" s="489">
        <f>INDEX('18 KMP- Tháng'!$AF$6:$AQ$29,MATCH($A28,'18 KMP- Tháng'!$A$6:$A$29,0),MATCH(AN$7,'18 KMP- Tháng'!$AF$2:$AQ$2,0))</f>
        <v>1368.802426</v>
      </c>
      <c r="AO28" s="489">
        <f>INDEX('18 KMP- Tháng'!$AF$6:$AQ$29,MATCH($A28,'18 KMP- Tháng'!$A$6:$A$29,0),MATCH(AO$7,'18 KMP- Tháng'!$AF$2:$AQ$2,0))</f>
        <v>1256.132292</v>
      </c>
      <c r="AP28" s="825">
        <f>INDEX('18 KMP- Tháng'!$AF$6:$AQ$29,MATCH($A28,'18 KMP- Tháng'!$A$6:$A$29,0),MATCH(AP$7,'18 KMP- Tháng'!$AF$2:$AQ$2,0))</f>
        <v>1256.103396</v>
      </c>
      <c r="AQ28" s="826">
        <f t="shared" si="16"/>
        <v>1188.8317320000001</v>
      </c>
      <c r="AR28" s="827">
        <f t="shared" si="17"/>
        <v>14265.980784000001</v>
      </c>
      <c r="AS28" s="827">
        <f>INDEX('18 KMP- Tháng'!$BH$6:$BS$29,MATCH($A28,'18 KMP- Tháng'!$A$6:$A$29,0),MATCH(AS$7,'18 KMP- Tháng'!$BH$2:$BS$2,0))</f>
        <v>1440.7291910893346</v>
      </c>
      <c r="AT28" s="489">
        <f>INDEX('18 KMP- Tháng'!$BH$6:$BS$29,MATCH($A28,'18 KMP- Tháng'!$A$6:$A$29,0),MATCH(AT$7,'18 KMP- Tháng'!$BH$2:$BS$2,0))</f>
        <v>2314.4014916227866</v>
      </c>
      <c r="AU28" s="489">
        <f>INDEX('18 KMP- Tháng'!$BH$6:$BS$29,MATCH($A28,'18 KMP- Tháng'!$A$6:$A$29,0),MATCH(AU$7,'18 KMP- Tháng'!$BH$2:$BS$2,0))</f>
        <v>2754.8451088531456</v>
      </c>
      <c r="AV28" s="489">
        <f>INDEX('18 KMP- Tháng'!$BH$6:$BS$29,MATCH($A28,'18 KMP- Tháng'!$A$6:$A$29,0),MATCH(AV$7,'18 KMP- Tháng'!$BH$2:$BS$2,0))</f>
        <v>2658.9739779450151</v>
      </c>
      <c r="AW28" s="489">
        <f>INDEX('18 KMP- Tháng'!$BH$6:$BS$29,MATCH($A28,'18 KMP- Tháng'!$A$6:$A$29,0),MATCH(AW$7,'18 KMP- Tháng'!$BH$2:$BS$2,0))</f>
        <v>2984.5638576971396</v>
      </c>
      <c r="AX28" s="489">
        <f>INDEX('18 KMP- Tháng'!$BH$6:$BS$29,MATCH($A28,'18 KMP- Tháng'!$A$6:$A$29,0),MATCH(AX$7,'18 KMP- Tháng'!$BH$2:$BS$2,0))</f>
        <v>3083.7658926644508</v>
      </c>
      <c r="AY28" s="489">
        <f>INDEX('18 KMP- Tháng'!$BH$6:$BS$29,MATCH($A28,'18 KMP- Tháng'!$A$6:$A$29,0),MATCH(AY$7,'18 KMP- Tháng'!$BH$2:$BS$2,0))</f>
        <v>3139.6191586549103</v>
      </c>
      <c r="AZ28" s="489">
        <f>INDEX('18 KMP- Tháng'!$BH$6:$BS$29,MATCH($A28,'18 KMP- Tháng'!$A$6:$A$29,0),MATCH(AZ$7,'18 KMP- Tháng'!$BH$2:$BS$2,0))</f>
        <v>3321.5810537279758</v>
      </c>
      <c r="BA28" s="489">
        <f>INDEX('18 KMP- Tháng'!$BH$6:$BS$29,MATCH($A28,'18 KMP- Tháng'!$A$6:$A$29,0),MATCH(BA$7,'18 KMP- Tháng'!$BH$2:$BS$2,0))</f>
        <v>3248.3418835147654</v>
      </c>
      <c r="BB28" s="489">
        <f>INDEX('18 KMP- Tháng'!$BH$6:$BS$29,MATCH($A28,'18 KMP- Tháng'!$A$6:$A$29,0),MATCH(BB$7,'18 KMP- Tháng'!$BH$2:$BS$2,0))</f>
        <v>3254.7331846761322</v>
      </c>
      <c r="BC28" s="489">
        <f>INDEX('18 KMP- Tháng'!$BH$6:$BS$29,MATCH($A28,'18 KMP- Tháng'!$A$6:$A$29,0),MATCH(BC$7,'18 KMP- Tháng'!$BH$2:$BS$2,0))</f>
        <v>3261.9944609206568</v>
      </c>
      <c r="BD28" s="825">
        <f>INDEX('18 KMP- Tháng'!$BH$6:$BS$29,MATCH($A28,'18 KMP- Tháng'!$A$6:$A$29,0),MATCH(BD$7,'18 KMP- Tháng'!$BH$2:$BS$2,0))</f>
        <v>3102.3550620342407</v>
      </c>
      <c r="BE28" s="826">
        <f t="shared" si="18"/>
        <v>2880.4920269500467</v>
      </c>
      <c r="BF28" s="827">
        <f>INDEX('18 KMP- Tháng'!$AS$6:$BD$29,MATCH($A28,'18 KMP- Tháng'!$A$6:$A$29,0),MATCH(BF$7,'18 KMP- Tháng'!$AS$2:$BD$2,0))</f>
        <v>1240.115065</v>
      </c>
      <c r="BG28" s="489">
        <f>INDEX('18 KMP- Tháng'!$AS$6:$BD$29,MATCH($A28,'18 KMP- Tháng'!$A$6:$A$29,0),MATCH(BG$7,'18 KMP- Tháng'!$AS$2:$BD$2,0))</f>
        <v>1156.2794180000001</v>
      </c>
      <c r="BH28" s="489">
        <f>INDEX('18 KMP- Tháng'!$AS$6:$BD$29,MATCH($A28,'18 KMP- Tháng'!$A$6:$A$29,0),MATCH(BH$7,'18 KMP- Tháng'!$AS$2:$BD$2,0))</f>
        <v>959.71856400000001</v>
      </c>
      <c r="BI28" s="489">
        <f>INDEX('18 KMP- Tháng'!$AS$6:$BD$29,MATCH($A28,'18 KMP- Tháng'!$A$6:$A$29,0),MATCH(BI$7,'18 KMP- Tháng'!$AS$2:$BD$2,0))</f>
        <v>1062.0844750000001</v>
      </c>
      <c r="BJ28" s="489">
        <f>INDEX('18 KMP- Tháng'!$AS$6:$BD$29,MATCH($A28,'18 KMP- Tháng'!$A$6:$A$29,0),MATCH(BJ$7,'18 KMP- Tháng'!$AS$2:$BD$2,0))</f>
        <v>838.83679099999995</v>
      </c>
      <c r="BK28" s="489">
        <f>INDEX('18 KMP- Tháng'!$AS$6:$BD$29,MATCH($A28,'18 KMP- Tháng'!$A$6:$A$29,0),MATCH(BK$7,'18 KMP- Tháng'!$AS$2:$BD$2,0))</f>
        <v>0</v>
      </c>
      <c r="BL28" s="489">
        <f>INDEX('18 KMP- Tháng'!$AS$6:$BD$29,MATCH($A28,'18 KMP- Tháng'!$A$6:$A$29,0),MATCH(BL$7,'18 KMP- Tháng'!$AS$2:$BD$2,0))</f>
        <v>0</v>
      </c>
      <c r="BM28" s="489">
        <f>INDEX('18 KMP- Tháng'!$AS$6:$BD$29,MATCH($A28,'18 KMP- Tháng'!$A$6:$A$29,0),MATCH(BM$7,'18 KMP- Tháng'!$AS$2:$BD$2,0))</f>
        <v>0</v>
      </c>
      <c r="BN28" s="489">
        <f>INDEX('18 KMP- Tháng'!$AS$6:$BD$29,MATCH($A28,'18 KMP- Tháng'!$A$6:$A$29,0),MATCH(BN$7,'18 KMP- Tháng'!$AS$2:$BD$2,0))</f>
        <v>0</v>
      </c>
      <c r="BO28" s="489">
        <f>INDEX('18 KMP- Tháng'!$AS$6:$BD$29,MATCH($A28,'18 KMP- Tháng'!$A$6:$A$29,0),MATCH(BO$7,'18 KMP- Tháng'!$AS$2:$BD$2,0))</f>
        <v>0</v>
      </c>
      <c r="BP28" s="489">
        <f>INDEX('18 KMP- Tháng'!$AS$6:$BD$29,MATCH($A28,'18 KMP- Tháng'!$A$6:$A$29,0),MATCH(BP$7,'18 KMP- Tháng'!$AS$2:$BD$2,0))</f>
        <v>0</v>
      </c>
      <c r="BQ28" s="825">
        <f>INDEX('18 KMP- Tháng'!$AS$6:$BD$29,MATCH($A28,'18 KMP- Tháng'!$A$6:$A$29,0),MATCH(BQ$7,'18 KMP- Tháng'!$AS$2:$BD$2,0))</f>
        <v>0</v>
      </c>
      <c r="BR28" s="826">
        <f t="shared" si="19"/>
        <v>1051.4068626000001</v>
      </c>
      <c r="BS28" s="827">
        <f t="shared" si="20"/>
        <v>5257.0343130000001</v>
      </c>
      <c r="BT28" s="492">
        <f t="shared" si="5"/>
        <v>-0.71894158376385409</v>
      </c>
      <c r="BU28" s="490">
        <f t="shared" si="6"/>
        <v>1.0075239741805351E-2</v>
      </c>
      <c r="BV28" s="1558"/>
      <c r="BW28" s="1558"/>
      <c r="BX28" s="1558"/>
      <c r="BY28" s="1558"/>
      <c r="BZ28" s="1558"/>
      <c r="CA28" s="1558"/>
      <c r="CB28" s="1558"/>
      <c r="CD28" s="454"/>
      <c r="CE28" s="454"/>
      <c r="CF28" s="454"/>
      <c r="CG28" s="454"/>
      <c r="CH28" s="454"/>
      <c r="CI28" s="454"/>
      <c r="CJ28" s="454"/>
      <c r="CK28" s="454"/>
      <c r="CL28" s="454"/>
      <c r="CM28" s="454"/>
      <c r="CN28" s="454"/>
    </row>
    <row r="29" spans="1:92" s="497" customFormat="1">
      <c r="A29" s="469">
        <v>22</v>
      </c>
      <c r="B29" s="493" t="s">
        <v>524</v>
      </c>
      <c r="C29" s="493"/>
      <c r="D29" s="493"/>
      <c r="E29" s="494">
        <f t="shared" ref="E29:BP29" si="22">E9+E21</f>
        <v>34440.911711089284</v>
      </c>
      <c r="F29" s="494">
        <f t="shared" si="22"/>
        <v>46317.090426292285</v>
      </c>
      <c r="G29" s="494">
        <f t="shared" si="22"/>
        <v>55997.13712304928</v>
      </c>
      <c r="H29" s="494">
        <f t="shared" si="22"/>
        <v>48947.483193914282</v>
      </c>
      <c r="I29" s="494">
        <f t="shared" si="22"/>
        <v>58599.450388103287</v>
      </c>
      <c r="J29" s="494">
        <f t="shared" si="22"/>
        <v>52071.093139714292</v>
      </c>
      <c r="K29" s="494">
        <f t="shared" si="22"/>
        <v>60035.26051921428</v>
      </c>
      <c r="L29" s="494">
        <f t="shared" si="22"/>
        <v>62421.991991500006</v>
      </c>
      <c r="M29" s="494">
        <f t="shared" si="22"/>
        <v>55229.418362559998</v>
      </c>
      <c r="N29" s="494">
        <f t="shared" si="22"/>
        <v>62472.462763999996</v>
      </c>
      <c r="O29" s="494">
        <f t="shared" si="22"/>
        <v>51056.575212999996</v>
      </c>
      <c r="P29" s="828">
        <f t="shared" si="22"/>
        <v>96361.762473917581</v>
      </c>
      <c r="Q29" s="829">
        <f t="shared" si="22"/>
        <v>56995.886442196206</v>
      </c>
      <c r="R29" s="494">
        <f t="shared" si="22"/>
        <v>115057.39110293402</v>
      </c>
      <c r="S29" s="494">
        <f t="shared" si="22"/>
        <v>84852.291090643092</v>
      </c>
      <c r="T29" s="494">
        <f t="shared" si="22"/>
        <v>125486.35049797817</v>
      </c>
      <c r="U29" s="494">
        <f t="shared" si="22"/>
        <v>124157.41692212663</v>
      </c>
      <c r="V29" s="494">
        <f t="shared" si="22"/>
        <v>118510.2757148743</v>
      </c>
      <c r="W29" s="494">
        <f t="shared" si="22"/>
        <v>98715.67990018813</v>
      </c>
      <c r="X29" s="494">
        <f t="shared" si="22"/>
        <v>65791.312933293535</v>
      </c>
      <c r="Y29" s="494">
        <f t="shared" si="22"/>
        <v>74011.500762084703</v>
      </c>
      <c r="Z29" s="494">
        <f t="shared" si="22"/>
        <v>90283.612402125276</v>
      </c>
      <c r="AA29" s="494">
        <f t="shared" si="22"/>
        <v>118837.42090925849</v>
      </c>
      <c r="AB29" s="494">
        <f t="shared" si="22"/>
        <v>126733.40044871607</v>
      </c>
      <c r="AC29" s="828">
        <f t="shared" si="22"/>
        <v>108399.86693067968</v>
      </c>
      <c r="AD29" s="829">
        <f t="shared" si="22"/>
        <v>104236.37663457516</v>
      </c>
      <c r="AE29" s="830">
        <f t="shared" si="22"/>
        <v>70761.580371729928</v>
      </c>
      <c r="AF29" s="494">
        <f t="shared" si="22"/>
        <v>93339.63043673028</v>
      </c>
      <c r="AG29" s="494">
        <f t="shared" si="22"/>
        <v>135744.15186534991</v>
      </c>
      <c r="AH29" s="494">
        <f t="shared" si="22"/>
        <v>123953.31853651283</v>
      </c>
      <c r="AI29" s="494">
        <f t="shared" si="22"/>
        <v>141373.92062789982</v>
      </c>
      <c r="AJ29" s="494">
        <f t="shared" si="22"/>
        <v>129422.85189499869</v>
      </c>
      <c r="AK29" s="494">
        <f t="shared" si="22"/>
        <v>140987.36823394359</v>
      </c>
      <c r="AL29" s="494">
        <f t="shared" si="22"/>
        <v>142202.12603338982</v>
      </c>
      <c r="AM29" s="494">
        <f t="shared" si="22"/>
        <v>142427.61196251021</v>
      </c>
      <c r="AN29" s="494">
        <f t="shared" si="22"/>
        <v>108201.27177808291</v>
      </c>
      <c r="AO29" s="494">
        <f t="shared" si="22"/>
        <v>86134.210565524016</v>
      </c>
      <c r="AP29" s="828">
        <f t="shared" si="22"/>
        <v>118851.93601718271</v>
      </c>
      <c r="AQ29" s="829">
        <f t="shared" si="22"/>
        <v>119449.99819365455</v>
      </c>
      <c r="AR29" s="830">
        <f t="shared" si="22"/>
        <v>1433399.9783238547</v>
      </c>
      <c r="AS29" s="830">
        <f t="shared" si="22"/>
        <v>115929.03398458035</v>
      </c>
      <c r="AT29" s="494">
        <f t="shared" si="22"/>
        <v>99481.317255880625</v>
      </c>
      <c r="AU29" s="494">
        <f t="shared" si="22"/>
        <v>118461.37521106302</v>
      </c>
      <c r="AV29" s="494">
        <f t="shared" si="22"/>
        <v>119581.09253569103</v>
      </c>
      <c r="AW29" s="494">
        <f t="shared" si="22"/>
        <v>120366.59328966835</v>
      </c>
      <c r="AX29" s="494">
        <f t="shared" si="22"/>
        <v>122382.80119797474</v>
      </c>
      <c r="AY29" s="494">
        <f t="shared" si="22"/>
        <v>124504.83761923685</v>
      </c>
      <c r="AZ29" s="494">
        <f t="shared" si="22"/>
        <v>125587.52413853171</v>
      </c>
      <c r="BA29" s="494">
        <f t="shared" si="22"/>
        <v>126150.25911621883</v>
      </c>
      <c r="BB29" s="494">
        <f t="shared" si="22"/>
        <v>124866.40303081283</v>
      </c>
      <c r="BC29" s="494">
        <f t="shared" si="22"/>
        <v>124017.505136539</v>
      </c>
      <c r="BD29" s="828">
        <f t="shared" si="22"/>
        <v>126913.86604754637</v>
      </c>
      <c r="BE29" s="829">
        <f t="shared" si="22"/>
        <v>120686.88404697864</v>
      </c>
      <c r="BF29" s="830">
        <f t="shared" si="22"/>
        <v>95139.895070348604</v>
      </c>
      <c r="BG29" s="494">
        <f t="shared" si="22"/>
        <v>67773.241644026304</v>
      </c>
      <c r="BH29" s="494">
        <f t="shared" si="22"/>
        <v>122634.61018828402</v>
      </c>
      <c r="BI29" s="494">
        <f t="shared" si="22"/>
        <v>123559.2847404505</v>
      </c>
      <c r="BJ29" s="494">
        <f t="shared" si="22"/>
        <v>112670.55854036831</v>
      </c>
      <c r="BK29" s="494">
        <f t="shared" si="22"/>
        <v>0</v>
      </c>
      <c r="BL29" s="494">
        <f t="shared" si="22"/>
        <v>0</v>
      </c>
      <c r="BM29" s="494">
        <f t="shared" si="22"/>
        <v>0</v>
      </c>
      <c r="BN29" s="494">
        <f t="shared" si="22"/>
        <v>0</v>
      </c>
      <c r="BO29" s="494">
        <f t="shared" si="22"/>
        <v>0</v>
      </c>
      <c r="BP29" s="494">
        <f t="shared" si="22"/>
        <v>0</v>
      </c>
      <c r="BQ29" s="828">
        <f t="shared" ref="BQ29:BS29" si="23">BQ9+BQ21</f>
        <v>0</v>
      </c>
      <c r="BR29" s="829">
        <f t="shared" si="23"/>
        <v>104355.51803669555</v>
      </c>
      <c r="BS29" s="830">
        <f t="shared" si="23"/>
        <v>521777.59018347773</v>
      </c>
      <c r="BT29" s="495">
        <f t="shared" si="5"/>
        <v>-6.3938294995016909E-2</v>
      </c>
      <c r="BU29" s="496">
        <f>BU21+BU9</f>
        <v>1</v>
      </c>
      <c r="BV29" s="1556"/>
      <c r="BW29" s="1556"/>
      <c r="BX29" s="1556"/>
      <c r="BY29" s="1556"/>
      <c r="BZ29" s="1556"/>
      <c r="CA29" s="1556"/>
      <c r="CB29" s="1556"/>
      <c r="CD29" s="454"/>
      <c r="CE29" s="454"/>
      <c r="CF29" s="454"/>
      <c r="CG29" s="454"/>
      <c r="CH29" s="454"/>
      <c r="CI29" s="454"/>
      <c r="CJ29" s="454"/>
      <c r="CK29" s="454"/>
      <c r="CL29" s="454"/>
      <c r="CM29" s="454"/>
      <c r="CN29" s="454"/>
    </row>
    <row r="30" spans="1:92" s="497" customFormat="1">
      <c r="A30" s="831">
        <v>27</v>
      </c>
      <c r="B30" s="493" t="s">
        <v>737</v>
      </c>
      <c r="C30" s="493"/>
      <c r="D30" s="493"/>
      <c r="E30" s="832">
        <f t="shared" ref="E30:Q30" si="24">E29-E22-E24</f>
        <v>29412.027285089287</v>
      </c>
      <c r="F30" s="832">
        <f t="shared" si="24"/>
        <v>41128.86440529229</v>
      </c>
      <c r="G30" s="832">
        <f t="shared" si="24"/>
        <v>50612.58547404928</v>
      </c>
      <c r="H30" s="832">
        <f t="shared" si="24"/>
        <v>45244.141803914281</v>
      </c>
      <c r="I30" s="832">
        <f t="shared" si="24"/>
        <v>54764.227730103288</v>
      </c>
      <c r="J30" s="832">
        <f t="shared" si="24"/>
        <v>48257.193934714291</v>
      </c>
      <c r="K30" s="832">
        <f t="shared" si="24"/>
        <v>56111.630709214274</v>
      </c>
      <c r="L30" s="832">
        <f t="shared" si="24"/>
        <v>58495.194726500005</v>
      </c>
      <c r="M30" s="832">
        <f t="shared" si="24"/>
        <v>52380.091354559998</v>
      </c>
      <c r="N30" s="832">
        <f t="shared" si="24"/>
        <v>59509.490683999997</v>
      </c>
      <c r="O30" s="832">
        <f t="shared" si="24"/>
        <v>48089.096257999998</v>
      </c>
      <c r="P30" s="833">
        <f t="shared" si="24"/>
        <v>93247.172982917589</v>
      </c>
      <c r="Q30" s="829">
        <f t="shared" si="24"/>
        <v>53104.309779029536</v>
      </c>
      <c r="R30" s="832">
        <f>R29-R22-R24</f>
        <v>106105.26007893402</v>
      </c>
      <c r="S30" s="832">
        <f t="shared" ref="S30:BS30" si="25">S29-S22-S24</f>
        <v>74295.280813643083</v>
      </c>
      <c r="T30" s="832">
        <f t="shared" si="25"/>
        <v>114883.72014997817</v>
      </c>
      <c r="U30" s="832">
        <f t="shared" si="25"/>
        <v>113336.55919012663</v>
      </c>
      <c r="V30" s="832">
        <f t="shared" si="25"/>
        <v>107705.7181038743</v>
      </c>
      <c r="W30" s="832">
        <f t="shared" si="25"/>
        <v>87909.406544188125</v>
      </c>
      <c r="X30" s="832">
        <f t="shared" si="25"/>
        <v>54950.983119293531</v>
      </c>
      <c r="Y30" s="832">
        <f t="shared" si="25"/>
        <v>63150.237634084697</v>
      </c>
      <c r="Z30" s="832">
        <f t="shared" si="25"/>
        <v>79283.067447125271</v>
      </c>
      <c r="AA30" s="832">
        <f t="shared" si="25"/>
        <v>108436.79517125849</v>
      </c>
      <c r="AB30" s="832">
        <f t="shared" si="25"/>
        <v>116468.58057471606</v>
      </c>
      <c r="AC30" s="833">
        <f t="shared" si="25"/>
        <v>97521.572931679679</v>
      </c>
      <c r="AD30" s="829">
        <f t="shared" si="25"/>
        <v>93670.598479908498</v>
      </c>
      <c r="AE30" s="830">
        <f t="shared" si="25"/>
        <v>59351.365400729926</v>
      </c>
      <c r="AF30" s="494">
        <f t="shared" si="25"/>
        <v>81927.871019730286</v>
      </c>
      <c r="AG30" s="494">
        <f t="shared" si="25"/>
        <v>124080.4570873499</v>
      </c>
      <c r="AH30" s="494">
        <f t="shared" si="25"/>
        <v>112537.06180551283</v>
      </c>
      <c r="AI30" s="494">
        <f t="shared" si="25"/>
        <v>129745.00483889981</v>
      </c>
      <c r="AJ30" s="494">
        <f t="shared" si="25"/>
        <v>117068.63911799868</v>
      </c>
      <c r="AK30" s="494">
        <f t="shared" si="25"/>
        <v>128357.25209194358</v>
      </c>
      <c r="AL30" s="494">
        <f t="shared" si="25"/>
        <v>129114.4722823898</v>
      </c>
      <c r="AM30" s="494">
        <f t="shared" si="25"/>
        <v>129018.65332351021</v>
      </c>
      <c r="AN30" s="494">
        <f t="shared" si="25"/>
        <v>94928.756495082911</v>
      </c>
      <c r="AO30" s="494">
        <f t="shared" si="25"/>
        <v>72700.601413524011</v>
      </c>
      <c r="AP30" s="828">
        <f t="shared" si="25"/>
        <v>106292.95908318271</v>
      </c>
      <c r="AQ30" s="829">
        <f t="shared" si="25"/>
        <v>107093.59116332121</v>
      </c>
      <c r="AR30" s="830">
        <f t="shared" si="25"/>
        <v>1285123.0939598547</v>
      </c>
      <c r="AS30" s="830">
        <f t="shared" si="25"/>
        <v>104805.54392365954</v>
      </c>
      <c r="AT30" s="494">
        <f t="shared" si="25"/>
        <v>87973.435242959808</v>
      </c>
      <c r="AU30" s="494">
        <f t="shared" si="25"/>
        <v>106865.4739781422</v>
      </c>
      <c r="AV30" s="494">
        <f t="shared" si="25"/>
        <v>107950.95102477021</v>
      </c>
      <c r="AW30" s="494">
        <f t="shared" si="25"/>
        <v>108720.49872274754</v>
      </c>
      <c r="AX30" s="494">
        <f t="shared" si="25"/>
        <v>110594.73149305393</v>
      </c>
      <c r="AY30" s="494">
        <f t="shared" si="25"/>
        <v>112716.76791431603</v>
      </c>
      <c r="AZ30" s="494">
        <f t="shared" si="25"/>
        <v>113799.4544336109</v>
      </c>
      <c r="BA30" s="494">
        <f t="shared" si="25"/>
        <v>114362.18941129802</v>
      </c>
      <c r="BB30" s="494">
        <f t="shared" si="25"/>
        <v>113065.51389289202</v>
      </c>
      <c r="BC30" s="494">
        <f t="shared" si="25"/>
        <v>112216.61599861819</v>
      </c>
      <c r="BD30" s="828">
        <f t="shared" si="25"/>
        <v>115100.70190962555</v>
      </c>
      <c r="BE30" s="829">
        <f t="shared" si="25"/>
        <v>109014.32316214115</v>
      </c>
      <c r="BF30" s="830">
        <f t="shared" si="25"/>
        <v>83669.259555348603</v>
      </c>
      <c r="BG30" s="494">
        <f t="shared" si="25"/>
        <v>56333.566486026306</v>
      </c>
      <c r="BH30" s="494">
        <f t="shared" si="25"/>
        <v>111179.83196028401</v>
      </c>
      <c r="BI30" s="494">
        <f t="shared" si="25"/>
        <v>111944.6564974505</v>
      </c>
      <c r="BJ30" s="494">
        <f t="shared" si="25"/>
        <v>101002.91432036831</v>
      </c>
      <c r="BK30" s="494">
        <f t="shared" si="25"/>
        <v>0</v>
      </c>
      <c r="BL30" s="494">
        <f t="shared" si="25"/>
        <v>0</v>
      </c>
      <c r="BM30" s="494">
        <f t="shared" si="25"/>
        <v>0</v>
      </c>
      <c r="BN30" s="494">
        <f t="shared" si="25"/>
        <v>0</v>
      </c>
      <c r="BO30" s="494">
        <f t="shared" si="25"/>
        <v>0</v>
      </c>
      <c r="BP30" s="494">
        <f t="shared" si="25"/>
        <v>0</v>
      </c>
      <c r="BQ30" s="828">
        <f t="shared" si="25"/>
        <v>0</v>
      </c>
      <c r="BR30" s="829">
        <f t="shared" si="25"/>
        <v>92826.045763895556</v>
      </c>
      <c r="BS30" s="830">
        <f t="shared" si="25"/>
        <v>464130.22881947772</v>
      </c>
      <c r="BT30" s="495">
        <f t="shared" si="5"/>
        <v>-7.098555003928142E-2</v>
      </c>
      <c r="BU30" s="496"/>
      <c r="BV30" s="834"/>
      <c r="BW30" s="835"/>
      <c r="BX30" s="835"/>
      <c r="BY30" s="835"/>
      <c r="BZ30" s="835"/>
      <c r="CA30" s="835"/>
      <c r="CB30" s="836"/>
      <c r="CD30" s="454"/>
      <c r="CE30" s="454"/>
      <c r="CF30" s="454"/>
      <c r="CG30" s="454"/>
      <c r="CH30" s="454"/>
      <c r="CI30" s="454"/>
      <c r="CJ30" s="454"/>
      <c r="CK30" s="454"/>
      <c r="CL30" s="454"/>
      <c r="CM30" s="454"/>
      <c r="CN30" s="454"/>
    </row>
    <row r="31" spans="1:92" s="497" customFormat="1">
      <c r="A31" s="498">
        <v>23</v>
      </c>
      <c r="B31" s="499" t="s">
        <v>525</v>
      </c>
      <c r="C31" s="499"/>
      <c r="D31" s="499"/>
      <c r="E31" s="500">
        <f>INDEX('18 KMP- Tháng'!$E$6:$Q$29,MATCH($A31,'18 KMP- Tháng'!$A$6:$A$29,0),MATCH(E$7,'18 KMP- Tháng'!$E$2:$P$2,0))</f>
        <v>841.88200000000006</v>
      </c>
      <c r="F31" s="500">
        <f>INDEX('18 KMP- Tháng'!$E$6:$Q$29,MATCH($A31,'18 KMP- Tháng'!$A$6:$A$29,0),MATCH(F$7,'18 KMP- Tháng'!$E$2:$P$2,0))</f>
        <v>1307.212</v>
      </c>
      <c r="G31" s="500">
        <f>INDEX('18 KMP- Tháng'!$E$6:$Q$29,MATCH($A31,'18 KMP- Tháng'!$A$6:$A$29,0),MATCH(G$7,'18 KMP- Tháng'!$E$2:$P$2,0))</f>
        <v>1683.5150000000001</v>
      </c>
      <c r="H31" s="500">
        <f>INDEX('18 KMP- Tháng'!$E$6:$Q$29,MATCH($A31,'18 KMP- Tháng'!$A$6:$A$29,0),MATCH(H$7,'18 KMP- Tháng'!$E$2:$P$2,0))</f>
        <v>1492.932</v>
      </c>
      <c r="I31" s="500">
        <f>INDEX('18 KMP- Tháng'!$E$6:$Q$29,MATCH($A31,'18 KMP- Tháng'!$A$6:$A$29,0),MATCH(I$7,'18 KMP- Tháng'!$E$2:$P$2,0))</f>
        <v>1899.635</v>
      </c>
      <c r="J31" s="500">
        <f>INDEX('18 KMP- Tháng'!$E$6:$Q$29,MATCH($A31,'18 KMP- Tháng'!$A$6:$A$29,0),MATCH(J$7,'18 KMP- Tháng'!$E$2:$P$2,0))</f>
        <v>1515.6790000000001</v>
      </c>
      <c r="K31" s="500">
        <f>INDEX('18 KMP- Tháng'!$E$6:$Q$29,MATCH($A31,'18 KMP- Tháng'!$A$6:$A$29,0),MATCH(K$7,'18 KMP- Tháng'!$E$2:$P$2,0))</f>
        <v>2178.2570000000001</v>
      </c>
      <c r="L31" s="500">
        <f>INDEX('18 KMP- Tháng'!$E$6:$Q$29,MATCH($A31,'18 KMP- Tháng'!$A$6:$A$29,0),MATCH(L$7,'18 KMP- Tháng'!$E$2:$P$2,0))</f>
        <v>2374.6089999999999</v>
      </c>
      <c r="M31" s="500">
        <f>INDEX('18 KMP- Tháng'!$E$6:$Q$29,MATCH($A31,'18 KMP- Tháng'!$A$6:$A$29,0),MATCH(M$7,'18 KMP- Tháng'!$E$2:$P$2,0))</f>
        <v>2017.2435</v>
      </c>
      <c r="N31" s="500">
        <f>INDEX('18 KMP- Tháng'!$E$6:$Q$29,MATCH($A31,'18 KMP- Tháng'!$A$6:$A$29,0),MATCH(N$7,'18 KMP- Tháng'!$E$2:$P$2,0))</f>
        <v>2500.7439999999997</v>
      </c>
      <c r="O31" s="500">
        <f>INDEX('18 KMP- Tháng'!$E$6:$Q$29,MATCH($A31,'18 KMP- Tháng'!$A$6:$A$29,0),MATCH(O$7,'18 KMP- Tháng'!$E$2:$P$2,0))</f>
        <v>1739.5754999999999</v>
      </c>
      <c r="P31" s="837">
        <f>INDEX('18 KMP- Tháng'!$E$6:$Q$29,MATCH($A31,'18 KMP- Tháng'!$A$6:$A$29,0),MATCH(P$7,'18 KMP- Tháng'!$E$2:$P$2,0))</f>
        <v>3906.0309999999995</v>
      </c>
      <c r="Q31" s="838">
        <f t="shared" ref="Q31" si="26">AVERAGE(E31:P31)</f>
        <v>1954.7762499999999</v>
      </c>
      <c r="R31" s="500">
        <f>INDEX('18 KMP- Tháng'!$R$6:$AC$28,MATCH($A31,'18 KMP- Tháng'!$A$6:$A$28,0),MATCH(R$7,'18 KMP- Tháng'!$R$2:$AC$2,0))</f>
        <v>4748.3130000000001</v>
      </c>
      <c r="S31" s="500">
        <f>INDEX('18 KMP- Tháng'!$R$6:$AC$28,MATCH($A31,'18 KMP- Tháng'!$A$6:$A$28,0),MATCH(S$7,'18 KMP- Tháng'!$R$2:$AC$2,0))</f>
        <v>2926.5019999999995</v>
      </c>
      <c r="T31" s="1015">
        <f>INDEX('18 KMP- Tháng'!$R$6:$AC$28,MATCH($A31,'18 KMP- Tháng'!$A$6:$A$28,0),MATCH(T$7,'18 KMP- Tháng'!$R$2:$AC$2,0))</f>
        <v>4896.4380000000001</v>
      </c>
      <c r="U31" s="1263">
        <f>INDEX('18 KMP- Tháng'!$R$6:$AC$28,MATCH($A31,'18 KMP- Tháng'!$A$6:$A$28,0),MATCH(U$7,'18 KMP- Tháng'!$R$2:$AC$2,0))</f>
        <v>4526.3689999999997</v>
      </c>
      <c r="V31" s="1015">
        <f>INDEX('18 KMP- Tháng'!$R$6:$AC$28,MATCH($A31,'18 KMP- Tháng'!$A$6:$A$28,0),MATCH(V$7,'18 KMP- Tháng'!$R$2:$AC$2,0))</f>
        <v>4417.8749999999991</v>
      </c>
      <c r="W31" s="1263">
        <f>INDEX('18 KMP- Tháng'!$R$6:$AC$28,MATCH($A31,'18 KMP- Tháng'!$A$6:$A$28,0),MATCH(W$7,'18 KMP- Tháng'!$R$2:$AC$2,0))</f>
        <v>3495.0745000000011</v>
      </c>
      <c r="X31" s="1015">
        <f>INDEX('18 KMP- Tháng'!$R$6:$AC$28,MATCH($A31,'18 KMP- Tháng'!$A$6:$A$28,0),MATCH(X$7,'18 KMP- Tháng'!$R$2:$AC$2,0))</f>
        <v>1866.424</v>
      </c>
      <c r="Y31" s="1015">
        <f>INDEX('18 KMP- Tháng'!$R$6:$AC$28,MATCH($A31,'18 KMP- Tháng'!$A$6:$A$28,0),MATCH(Y$7,'18 KMP- Tháng'!$R$2:$AC$2,0))</f>
        <v>2192.5824999999995</v>
      </c>
      <c r="Z31" s="1015">
        <f>INDEX('18 KMP- Tháng'!$R$6:$AC$28,MATCH($A31,'18 KMP- Tháng'!$A$6:$A$28,0),MATCH(Z$7,'18 KMP- Tháng'!$R$2:$AC$2,0))</f>
        <v>2799.3996999999999</v>
      </c>
      <c r="AA31" s="1015">
        <f>INDEX('18 KMP- Tháng'!$R$6:$AC$28,MATCH($A31,'18 KMP- Tháng'!$A$6:$A$28,0),MATCH(AA$7,'18 KMP- Tháng'!$R$2:$AC$2,0))</f>
        <v>4293.2714999999989</v>
      </c>
      <c r="AB31" s="1015">
        <f>INDEX('18 KMP- Tháng'!$R$6:$AC$28,MATCH($A31,'18 KMP- Tháng'!$A$6:$A$28,0),MATCH(AB$7,'18 KMP- Tháng'!$R$2:$AC$2,0))</f>
        <v>4775.3970000000008</v>
      </c>
      <c r="AC31" s="1016">
        <f>INDEX('18 KMP- Tháng'!$R$6:$AC$28,MATCH($A31,'18 KMP- Tháng'!$A$6:$A$28,0),MATCH(AC$7,'18 KMP- Tháng'!$R$2:$AC$2,0))</f>
        <v>3318.6420999999996</v>
      </c>
      <c r="AD31" s="1017">
        <f t="shared" si="7"/>
        <v>3688.0240250000002</v>
      </c>
      <c r="AE31" s="842">
        <f>INDEX('18 KMP- Tháng'!$AF$6:$AQ$29,MATCH($A31,'18 KMP- Tháng'!$A$6:$A$29,0),MATCH(AE$7,'18 KMP- Tháng'!$AF$2:$AQ$2,0))</f>
        <v>1839.7309999999998</v>
      </c>
      <c r="AF31" s="501">
        <f>INDEX('18 KMP- Tháng'!$AF$6:$AQ$29,MATCH($A31,'18 KMP- Tháng'!$A$6:$A$29,0),MATCH(AF$7,'18 KMP- Tháng'!$AF$2:$AQ$2,0))</f>
        <v>2957.2660000000001</v>
      </c>
      <c r="AG31" s="501">
        <f>INDEX('18 KMP- Tháng'!$AF$6:$AQ$29,MATCH($A31,'18 KMP- Tháng'!$A$6:$A$29,0),MATCH(AG$7,'18 KMP- Tháng'!$AF$2:$AQ$2,0))</f>
        <v>4821.92</v>
      </c>
      <c r="AH31" s="501">
        <f>INDEX('18 KMP- Tháng'!$AF$6:$AQ$29,MATCH($A31,'18 KMP- Tháng'!$A$6:$A$29,0),MATCH(AH$7,'18 KMP- Tháng'!$AF$2:$AQ$2,0))</f>
        <v>4088.2489999999993</v>
      </c>
      <c r="AI31" s="501">
        <f>INDEX('18 KMP- Tháng'!$AF$6:$AQ$29,MATCH($A31,'18 KMP- Tháng'!$A$6:$A$29,0),MATCH(AI$7,'18 KMP- Tháng'!$AF$2:$AQ$2,0))</f>
        <v>4828.9710000000005</v>
      </c>
      <c r="AJ31" s="501">
        <f>INDEX('18 KMP- Tháng'!$AF$6:$AQ$29,MATCH($A31,'18 KMP- Tháng'!$A$6:$A$29,0),MATCH(AJ$7,'18 KMP- Tháng'!$AF$2:$AQ$2,0))</f>
        <v>4232.4530000000004</v>
      </c>
      <c r="AK31" s="501">
        <f>INDEX('18 KMP- Tháng'!$AF$6:$AQ$29,MATCH($A31,'18 KMP- Tháng'!$A$6:$A$29,0),MATCH(AK$7,'18 KMP- Tháng'!$AF$2:$AQ$2,0))</f>
        <v>4561.6410000000005</v>
      </c>
      <c r="AL31" s="501">
        <f>INDEX('18 KMP- Tháng'!$AF$6:$AQ$29,MATCH($A31,'18 KMP- Tháng'!$A$6:$A$29,0),MATCH(AL$7,'18 KMP- Tháng'!$AF$2:$AQ$2,0))</f>
        <v>4570.5645000000004</v>
      </c>
      <c r="AM31" s="501">
        <f>INDEX('18 KMP- Tháng'!$AF$6:$AQ$29,MATCH($A31,'18 KMP- Tháng'!$A$6:$A$29,0),MATCH(AM$7,'18 KMP- Tháng'!$AF$2:$AQ$2,0))</f>
        <v>4555.5080000000007</v>
      </c>
      <c r="AN31" s="501">
        <f>INDEX('18 KMP- Tháng'!$AF$6:$AQ$29,MATCH($A31,'18 KMP- Tháng'!$A$6:$A$29,0),MATCH(AN$7,'18 KMP- Tháng'!$AF$2:$AQ$2,0))</f>
        <v>3173.9179999999997</v>
      </c>
      <c r="AO31" s="501">
        <f>INDEX('18 KMP- Tháng'!$AF$6:$AQ$29,MATCH($A31,'18 KMP- Tháng'!$A$6:$A$29,0),MATCH(AO$7,'18 KMP- Tháng'!$AF$2:$AQ$2,0))</f>
        <v>2323.2630000000004</v>
      </c>
      <c r="AP31" s="843">
        <f>INDEX('18 KMP- Tháng'!$AF$6:$AQ$29,MATCH($A31,'18 KMP- Tháng'!$A$6:$A$29,0),MATCH(AP$7,'18 KMP- Tháng'!$AF$2:$AQ$2,0))</f>
        <v>3552.8617999999997</v>
      </c>
      <c r="AQ31" s="841">
        <f>SUM(AE31:AP31)/COUNTIFS($AE$29:$AP$29,"&lt;&gt;"&amp;0)</f>
        <v>3792.1955249999996</v>
      </c>
      <c r="AR31" s="842">
        <f>SUM(AE31:AP31)</f>
        <v>45506.346299999997</v>
      </c>
      <c r="AS31" s="839">
        <f>INDEX('18 KMP- Tháng'!$BH$6:$BS$30,MATCH($A31,'18 KMP- Tháng'!$A$6:$A$29,0),MATCH(AS$7,'18 KMP- Tháng'!$BH$2:$BS$2,0))</f>
        <v>3955</v>
      </c>
      <c r="AT31" s="502">
        <f>INDEX('18 KMP- Tháng'!$BH$6:$BS$30,MATCH($A31,'18 KMP- Tháng'!$A$6:$A$29,0),MATCH(AT$7,'18 KMP- Tháng'!$BH$2:$BS$2,0))</f>
        <v>3245</v>
      </c>
      <c r="AU31" s="502">
        <f>INDEX('18 KMP- Tháng'!$BH$6:$BS$30,MATCH($A31,'18 KMP- Tháng'!$A$6:$A$29,0),MATCH(AU$7,'18 KMP- Tháng'!$BH$2:$BS$2,0))</f>
        <v>4145</v>
      </c>
      <c r="AV31" s="502">
        <f>INDEX('18 KMP- Tháng'!$BH$6:$BS$30,MATCH($A31,'18 KMP- Tháng'!$A$6:$A$29,0),MATCH(AV$7,'18 KMP- Tháng'!$BH$2:$BS$2,0))</f>
        <v>4155</v>
      </c>
      <c r="AW31" s="502">
        <f>INDEX('18 KMP- Tháng'!$BH$6:$BS$30,MATCH($A31,'18 KMP- Tháng'!$A$6:$A$29,0),MATCH(AW$7,'18 KMP- Tháng'!$BH$2:$BS$2,0))</f>
        <v>4145</v>
      </c>
      <c r="AX31" s="502">
        <f>INDEX('18 KMP- Tháng'!$BH$6:$BS$30,MATCH($A31,'18 KMP- Tháng'!$A$6:$A$29,0),MATCH(AX$7,'18 KMP- Tháng'!$BH$2:$BS$2,0))</f>
        <v>4230</v>
      </c>
      <c r="AY31" s="502">
        <f>INDEX('18 KMP- Tháng'!$BH$6:$BS$30,MATCH($A31,'18 KMP- Tháng'!$A$6:$A$29,0),MATCH(AY$7,'18 KMP- Tháng'!$BH$2:$BS$2,0))</f>
        <v>4330</v>
      </c>
      <c r="AZ31" s="502">
        <f>INDEX('18 KMP- Tháng'!$BH$6:$BS$30,MATCH($A31,'18 KMP- Tháng'!$A$6:$A$29,0),MATCH(AZ$7,'18 KMP- Tháng'!$BH$2:$BS$2,0))</f>
        <v>4370</v>
      </c>
      <c r="BA31" s="502">
        <f>INDEX('18 KMP- Tháng'!$BH$6:$BS$30,MATCH($A31,'18 KMP- Tháng'!$A$6:$A$29,0),MATCH(BA$7,'18 KMP- Tháng'!$BH$2:$BS$2,0))</f>
        <v>4355</v>
      </c>
      <c r="BB31" s="502">
        <f>INDEX('18 KMP- Tháng'!$BH$6:$BS$30,MATCH($A31,'18 KMP- Tháng'!$A$6:$A$29,0),MATCH(BB$7,'18 KMP- Tháng'!$BH$2:$BS$2,0))</f>
        <v>4380</v>
      </c>
      <c r="BC31" s="502">
        <f>INDEX('18 KMP- Tháng'!$BH$6:$BS$30,MATCH($A31,'18 KMP- Tháng'!$A$6:$A$29,0),MATCH(BC$7,'18 KMP- Tháng'!$BH$2:$BS$2,0))</f>
        <v>4320</v>
      </c>
      <c r="BD31" s="840">
        <f>INDEX('18 KMP- Tháng'!$BH$6:$BS$30,MATCH($A31,'18 KMP- Tháng'!$A$6:$A$29,0),MATCH(BD$7,'18 KMP- Tháng'!$BH$2:$BS$2,0))</f>
        <v>4370</v>
      </c>
      <c r="BE31" s="841">
        <f>AVERAGE(AS31:BD31)</f>
        <v>4166.666666666667</v>
      </c>
      <c r="BF31" s="842">
        <f>INDEX('18 KMP- Tháng'!$AS$6:$BD$29,MATCH($A31,'18 KMP- Tháng'!$A$6:$A$29,0),MATCH(BF$7,'18 KMP- Tháng'!$AS$2:$BD$2,0))</f>
        <v>2868.56925</v>
      </c>
      <c r="BG31" s="501">
        <f>INDEX('18 KMP- Tháng'!$AS$6:$BD$29,MATCH($A31,'18 KMP- Tháng'!$A$6:$A$29,0),MATCH(BG$7,'18 KMP- Tháng'!$AS$2:$BD$2,0))</f>
        <v>1811.1000000000001</v>
      </c>
      <c r="BH31" s="501">
        <f>INDEX('18 KMP- Tháng'!$AS$6:$BD$29,MATCH($A31,'18 KMP- Tháng'!$A$6:$A$29,0),MATCH(BH$7,'18 KMP- Tháng'!$AS$2:$BD$2,0))</f>
        <v>4279.4889999999996</v>
      </c>
      <c r="BI31" s="501">
        <f>INDEX('18 KMP- Tháng'!$AS$6:$BD$29,MATCH($A31,'18 KMP- Tháng'!$A$6:$A$29,0),MATCH(BI$7,'18 KMP- Tháng'!$AS$2:$BD$2,0))</f>
        <v>4370.2853999999998</v>
      </c>
      <c r="BJ31" s="501">
        <f>INDEX('18 KMP- Tháng'!$AS$6:$BD$29,MATCH($A31,'18 KMP- Tháng'!$A$6:$A$29,0),MATCH(BJ$7,'18 KMP- Tháng'!$AS$2:$BD$2,0))</f>
        <v>3592.6819999999998</v>
      </c>
      <c r="BK31" s="501">
        <f>INDEX('18 KMP- Tháng'!$AS$6:$BD$29,MATCH($A31,'18 KMP- Tháng'!$A$6:$A$29,0),MATCH(BK$7,'18 KMP- Tháng'!$AS$2:$BD$2,0))</f>
        <v>0</v>
      </c>
      <c r="BL31" s="501">
        <f>INDEX('18 KMP- Tháng'!$AS$6:$BD$29,MATCH($A31,'18 KMP- Tháng'!$A$6:$A$29,0),MATCH(BL$7,'18 KMP- Tháng'!$AS$2:$BD$2,0))</f>
        <v>0</v>
      </c>
      <c r="BM31" s="501">
        <f>INDEX('18 KMP- Tháng'!$AS$6:$BD$29,MATCH($A31,'18 KMP- Tháng'!$A$6:$A$29,0),MATCH(BM$7,'18 KMP- Tháng'!$AS$2:$BD$2,0))</f>
        <v>0</v>
      </c>
      <c r="BN31" s="501">
        <f>INDEX('18 KMP- Tháng'!$AS$6:$BD$29,MATCH($A31,'18 KMP- Tháng'!$A$6:$A$29,0),MATCH(BN$7,'18 KMP- Tháng'!$AS$2:$BD$2,0))</f>
        <v>0</v>
      </c>
      <c r="BO31" s="501">
        <f>INDEX('18 KMP- Tháng'!$AS$6:$BD$29,MATCH($A31,'18 KMP- Tháng'!$A$6:$A$29,0),MATCH(BO$7,'18 KMP- Tháng'!$AS$2:$BD$2,0))</f>
        <v>0</v>
      </c>
      <c r="BP31" s="501">
        <f>INDEX('18 KMP- Tháng'!$AS$6:$BD$29,MATCH($A31,'18 KMP- Tháng'!$A$6:$A$29,0),MATCH(BP$7,'18 KMP- Tháng'!$AS$2:$BD$2,0))</f>
        <v>0</v>
      </c>
      <c r="BQ31" s="843">
        <f>INDEX('18 KMP- Tháng'!$AS$6:$BD$29,MATCH($A31,'18 KMP- Tháng'!$A$6:$A$29,0),MATCH(BQ$7,'18 KMP- Tháng'!$AS$2:$BD$2,0))</f>
        <v>0</v>
      </c>
      <c r="BR31" s="841">
        <f t="shared" si="19"/>
        <v>3384.4251300000005</v>
      </c>
      <c r="BS31" s="842">
        <f>SUM(BF31:BQ31)</f>
        <v>16922.125650000002</v>
      </c>
      <c r="BT31" s="503">
        <f t="shared" si="5"/>
        <v>-0.13324921592279859</v>
      </c>
      <c r="BU31" s="501"/>
      <c r="BV31" s="1556"/>
      <c r="BW31" s="1556"/>
      <c r="BX31" s="1556"/>
      <c r="BY31" s="1556"/>
      <c r="BZ31" s="1556"/>
      <c r="CA31" s="1556"/>
      <c r="CB31" s="1556"/>
      <c r="CC31" s="481"/>
      <c r="CD31" s="454"/>
      <c r="CE31" s="454"/>
      <c r="CF31" s="454"/>
      <c r="CG31" s="454"/>
      <c r="CH31" s="454"/>
      <c r="CI31" s="454"/>
      <c r="CJ31" s="454"/>
      <c r="CK31" s="454"/>
      <c r="CL31" s="454"/>
      <c r="CM31" s="454"/>
      <c r="CN31" s="454"/>
    </row>
    <row r="32" spans="1:92" s="497" customFormat="1">
      <c r="A32" s="469">
        <v>24</v>
      </c>
      <c r="B32" s="1555" t="s">
        <v>526</v>
      </c>
      <c r="C32" s="1555"/>
      <c r="D32" s="1555"/>
      <c r="E32" s="504"/>
      <c r="F32" s="504"/>
      <c r="G32" s="504"/>
      <c r="H32" s="504"/>
      <c r="I32" s="504"/>
      <c r="J32" s="504"/>
      <c r="K32" s="504"/>
      <c r="L32" s="504"/>
      <c r="M32" s="504"/>
      <c r="N32" s="504"/>
      <c r="O32" s="504"/>
      <c r="P32" s="844"/>
      <c r="Q32" s="1018"/>
      <c r="R32" s="1019"/>
      <c r="S32" s="1019"/>
      <c r="T32" s="1019"/>
      <c r="U32" s="1019"/>
      <c r="V32" s="1019"/>
      <c r="W32" s="1019"/>
      <c r="X32" s="1019"/>
      <c r="Y32" s="1019"/>
      <c r="Z32" s="1019"/>
      <c r="AA32" s="1019"/>
      <c r="AB32" s="1019"/>
      <c r="AC32" s="1020"/>
      <c r="AD32" s="1018"/>
      <c r="AE32" s="1021"/>
      <c r="AF32" s="1019"/>
      <c r="AG32" s="1019"/>
      <c r="AH32" s="1019"/>
      <c r="AI32" s="1019"/>
      <c r="AJ32" s="1019"/>
      <c r="AK32" s="1019"/>
      <c r="AL32" s="1019"/>
      <c r="AM32" s="1019"/>
      <c r="AN32" s="1019"/>
      <c r="AO32" s="1019"/>
      <c r="AP32" s="1020"/>
      <c r="AQ32" s="1018"/>
      <c r="AR32" s="1021"/>
      <c r="AS32" s="1474"/>
      <c r="AT32" s="1019"/>
      <c r="AU32" s="1019"/>
      <c r="AV32" s="1019"/>
      <c r="AW32" s="1019"/>
      <c r="AX32" s="1019"/>
      <c r="AY32" s="1019"/>
      <c r="AZ32" s="1019"/>
      <c r="BA32" s="1019"/>
      <c r="BB32" s="1019"/>
      <c r="BC32" s="1019"/>
      <c r="BD32" s="1020"/>
      <c r="BE32" s="1018"/>
      <c r="BF32" s="1021"/>
      <c r="BG32" s="1019"/>
      <c r="BH32" s="1019"/>
      <c r="BI32" s="1019"/>
      <c r="BJ32" s="1019"/>
      <c r="BK32" s="1019"/>
      <c r="BL32" s="1019"/>
      <c r="BM32" s="1019"/>
      <c r="BN32" s="1019"/>
      <c r="BO32" s="1019"/>
      <c r="BP32" s="1019"/>
      <c r="BQ32" s="1020"/>
      <c r="BR32" s="1018"/>
      <c r="BS32" s="1021"/>
      <c r="BT32" s="1022"/>
      <c r="BU32" s="1022"/>
      <c r="BV32" s="1556"/>
      <c r="BW32" s="1556"/>
      <c r="BX32" s="1556"/>
      <c r="BY32" s="1556"/>
      <c r="BZ32" s="1556"/>
      <c r="CA32" s="1556"/>
      <c r="CB32" s="1556"/>
      <c r="CC32" s="481"/>
      <c r="CD32" s="454"/>
      <c r="CE32" s="454"/>
      <c r="CF32" s="454"/>
      <c r="CG32" s="454"/>
      <c r="CH32" s="454"/>
      <c r="CI32" s="454"/>
      <c r="CJ32" s="454"/>
      <c r="CK32" s="454"/>
      <c r="CL32" s="454"/>
      <c r="CM32" s="454"/>
      <c r="CN32" s="454"/>
    </row>
    <row r="33" spans="1:92" s="497" customFormat="1">
      <c r="A33" s="469">
        <v>25</v>
      </c>
      <c r="B33" s="1555" t="s">
        <v>527</v>
      </c>
      <c r="C33" s="1555"/>
      <c r="D33" s="1555"/>
      <c r="E33" s="504"/>
      <c r="F33" s="504"/>
      <c r="G33" s="504"/>
      <c r="H33" s="504"/>
      <c r="I33" s="504"/>
      <c r="J33" s="504"/>
      <c r="K33" s="504"/>
      <c r="L33" s="504"/>
      <c r="M33" s="504"/>
      <c r="N33" s="504"/>
      <c r="O33" s="504"/>
      <c r="P33" s="844"/>
      <c r="Q33" s="1018"/>
      <c r="R33" s="1019"/>
      <c r="S33" s="1019"/>
      <c r="T33" s="1019"/>
      <c r="U33" s="1019"/>
      <c r="V33" s="1019"/>
      <c r="W33" s="1019"/>
      <c r="X33" s="1019"/>
      <c r="Y33" s="1019"/>
      <c r="Z33" s="1019"/>
      <c r="AA33" s="1019"/>
      <c r="AB33" s="1019"/>
      <c r="AC33" s="1020"/>
      <c r="AD33" s="1018"/>
      <c r="AE33" s="1021"/>
      <c r="AF33" s="1019"/>
      <c r="AG33" s="1019"/>
      <c r="AH33" s="1019"/>
      <c r="AI33" s="1019"/>
      <c r="AJ33" s="1019"/>
      <c r="AK33" s="1019"/>
      <c r="AL33" s="1019"/>
      <c r="AM33" s="1019"/>
      <c r="AN33" s="1019"/>
      <c r="AO33" s="1019"/>
      <c r="AP33" s="1020"/>
      <c r="AQ33" s="1018"/>
      <c r="AR33" s="1021"/>
      <c r="AS33" s="1474"/>
      <c r="AT33" s="1019"/>
      <c r="AU33" s="1019"/>
      <c r="AV33" s="1019"/>
      <c r="AW33" s="1019"/>
      <c r="AX33" s="1019"/>
      <c r="AY33" s="1019"/>
      <c r="AZ33" s="1019"/>
      <c r="BA33" s="1019"/>
      <c r="BB33" s="1019"/>
      <c r="BC33" s="1019"/>
      <c r="BD33" s="1020"/>
      <c r="BE33" s="1018"/>
      <c r="BF33" s="1021"/>
      <c r="BG33" s="1019"/>
      <c r="BH33" s="1019"/>
      <c r="BI33" s="1019"/>
      <c r="BJ33" s="1019"/>
      <c r="BK33" s="1019"/>
      <c r="BL33" s="1019"/>
      <c r="BM33" s="1019"/>
      <c r="BN33" s="1019"/>
      <c r="BO33" s="1019"/>
      <c r="BP33" s="1019"/>
      <c r="BQ33" s="1020"/>
      <c r="BR33" s="1018"/>
      <c r="BS33" s="1021"/>
      <c r="BT33" s="1022"/>
      <c r="BU33" s="1022"/>
      <c r="BV33" s="1556"/>
      <c r="BW33" s="1556"/>
      <c r="BX33" s="1556"/>
      <c r="BY33" s="1556"/>
      <c r="BZ33" s="1556"/>
      <c r="CA33" s="1556"/>
      <c r="CB33" s="1556"/>
      <c r="CC33" s="481"/>
      <c r="CD33" s="454"/>
      <c r="CE33" s="454"/>
      <c r="CF33" s="454"/>
      <c r="CG33" s="454"/>
      <c r="CH33" s="454"/>
      <c r="CI33" s="454"/>
      <c r="CJ33" s="454"/>
      <c r="CK33" s="454"/>
      <c r="CL33" s="454"/>
      <c r="CM33" s="454"/>
      <c r="CN33" s="454"/>
    </row>
    <row r="34" spans="1:92" s="471" customFormat="1" ht="16.5" thickBot="1">
      <c r="A34" s="469">
        <v>26</v>
      </c>
      <c r="B34" s="471" t="s">
        <v>528</v>
      </c>
      <c r="E34" s="500">
        <f>INDEX('18 KMP- Tháng'!$E$6:$Q$29,MATCH($A34,'18 KMP- Tháng'!$A$6:$A$29,0),MATCH(E$7,'18 KMP- Tháng'!$E$2:$P$2,0))</f>
        <v>0</v>
      </c>
      <c r="F34" s="500">
        <f>INDEX('18 KMP- Tháng'!$E$6:$Q$29,MATCH($A34,'18 KMP- Tháng'!$A$6:$A$29,0),MATCH(F$7,'18 KMP- Tháng'!$E$2:$P$2,0))</f>
        <v>0</v>
      </c>
      <c r="G34" s="500">
        <f>INDEX('18 KMP- Tháng'!$E$6:$Q$29,MATCH($A34,'18 KMP- Tháng'!$A$6:$A$29,0),MATCH(G$7,'18 KMP- Tháng'!$E$2:$P$2,0))</f>
        <v>0</v>
      </c>
      <c r="H34" s="500">
        <f>INDEX('18 KMP- Tháng'!$E$6:$Q$29,MATCH($A34,'18 KMP- Tháng'!$A$6:$A$29,0),MATCH(H$7,'18 KMP- Tháng'!$E$2:$P$2,0))</f>
        <v>0</v>
      </c>
      <c r="I34" s="500">
        <f>INDEX('18 KMP- Tháng'!$E$6:$Q$29,MATCH($A34,'18 KMP- Tháng'!$A$6:$A$29,0),MATCH(I$7,'18 KMP- Tháng'!$E$2:$P$2,0))</f>
        <v>0</v>
      </c>
      <c r="J34" s="500">
        <f>INDEX('18 KMP- Tháng'!$E$6:$Q$29,MATCH($A34,'18 KMP- Tháng'!$A$6:$A$29,0),MATCH(J$7,'18 KMP- Tháng'!$E$2:$P$2,0))</f>
        <v>0</v>
      </c>
      <c r="K34" s="500">
        <f>INDEX('18 KMP- Tháng'!$E$6:$Q$29,MATCH($A34,'18 KMP- Tháng'!$A$6:$A$29,0),MATCH(K$7,'18 KMP- Tháng'!$E$2:$P$2,0))</f>
        <v>0</v>
      </c>
      <c r="L34" s="500">
        <f>INDEX('18 KMP- Tháng'!$E$6:$Q$29,MATCH($A34,'18 KMP- Tháng'!$A$6:$A$29,0),MATCH(L$7,'18 KMP- Tháng'!$E$2:$P$2,0))</f>
        <v>0</v>
      </c>
      <c r="M34" s="500">
        <f>INDEX('18 KMP- Tháng'!$E$6:$Q$29,MATCH($A34,'18 KMP- Tháng'!$A$6:$A$29,0),MATCH(M$7,'18 KMP- Tháng'!$E$2:$P$2,0))</f>
        <v>0</v>
      </c>
      <c r="N34" s="500">
        <f>INDEX('18 KMP- Tháng'!$E$6:$Q$29,MATCH($A34,'18 KMP- Tháng'!$A$6:$A$29,0),MATCH(N$7,'18 KMP- Tháng'!$E$2:$P$2,0))</f>
        <v>0</v>
      </c>
      <c r="O34" s="500">
        <f>INDEX('18 KMP- Tháng'!$E$6:$Q$29,MATCH($A34,'18 KMP- Tháng'!$A$6:$A$29,0),MATCH(O$7,'18 KMP- Tháng'!$E$2:$P$2,0))</f>
        <v>0</v>
      </c>
      <c r="P34" s="837">
        <f>INDEX('18 KMP- Tháng'!$E$6:$Q$29,MATCH($A34,'18 KMP- Tháng'!$A$6:$A$29,0),MATCH(P$7,'18 KMP- Tháng'!$E$2:$P$2,0))</f>
        <v>0</v>
      </c>
      <c r="Q34" s="845">
        <f t="shared" ref="Q34" si="27">AVERAGE(E34:P34)</f>
        <v>0</v>
      </c>
      <c r="R34" s="500">
        <f>INDEX('18 KMP- Tháng'!$R$6:$AC$29,MATCH($A34,'18 KMP- Tháng'!$A$6:$A$29,0),MATCH(R$7,'18 KMP- Tháng'!$R$2:$AC$2,0))</f>
        <v>1539.6058633333323</v>
      </c>
      <c r="S34" s="500">
        <f>INDEX('18 KMP- Tháng'!$R$6:$AC$29,MATCH($A34,'18 KMP- Tháng'!$A$6:$A$29,0),MATCH(S$7,'18 KMP- Tháng'!$R$2:$AC$2,0))</f>
        <v>3139.6058633333323</v>
      </c>
      <c r="T34" s="500">
        <f>INDEX('18 KMP- Tháng'!$R$6:$AC$29,MATCH($A34,'18 KMP- Tháng'!$A$6:$A$29,0),MATCH(T$7,'18 KMP- Tháng'!$R$2:$AC$2,0))</f>
        <v>-60.394216666667489</v>
      </c>
      <c r="U34" s="500">
        <f>INDEX('18 KMP- Tháng'!$R$6:$AC$29,MATCH($A34,'18 KMP- Tháng'!$A$6:$A$29,0),MATCH(U$7,'18 KMP- Tháng'!$R$2:$AC$2,0))</f>
        <v>1539.6058633333323</v>
      </c>
      <c r="V34" s="500">
        <f>INDEX('18 KMP- Tháng'!$R$6:$AC$29,MATCH($A34,'18 KMP- Tháng'!$A$6:$A$29,0),MATCH(V$7,'18 KMP- Tháng'!$R$2:$AC$2,0))</f>
        <v>1539.6058633333323</v>
      </c>
      <c r="W34" s="500">
        <f>INDEX('18 KMP- Tháng'!$R$6:$AC$29,MATCH($A34,'18 KMP- Tháng'!$A$6:$A$29,0),MATCH(W$7,'18 KMP- Tháng'!$R$2:$AC$2,0))</f>
        <v>1539.6058633333323</v>
      </c>
      <c r="X34" s="500">
        <f>INDEX('18 KMP- Tháng'!$R$6:$AC$29,MATCH($A34,'18 KMP- Tháng'!$A$6:$A$29,0),MATCH(X$7,'18 KMP- Tháng'!$R$2:$AC$2,0))</f>
        <v>1539.6058633333323</v>
      </c>
      <c r="Y34" s="500">
        <f>INDEX('18 KMP- Tháng'!$R$6:$AC$29,MATCH($A34,'18 KMP- Tháng'!$A$6:$A$29,0),MATCH(Y$7,'18 KMP- Tháng'!$R$2:$AC$2,0))</f>
        <v>1539.6058633333323</v>
      </c>
      <c r="Z34" s="500">
        <f>INDEX('18 KMP- Tháng'!$R$6:$AC$29,MATCH($A34,'18 KMP- Tháng'!$A$6:$A$29,0),MATCH(Z$7,'18 KMP- Tháng'!$R$2:$AC$2,0))</f>
        <v>1539.6058633333323</v>
      </c>
      <c r="AA34" s="500">
        <f>INDEX('18 KMP- Tháng'!$R$6:$AC$29,MATCH($A34,'18 KMP- Tháng'!$A$6:$A$29,0),MATCH(AA$7,'18 KMP- Tháng'!$R$2:$AC$2,0))</f>
        <v>1539.6058633333323</v>
      </c>
      <c r="AB34" s="500">
        <f>INDEX('18 KMP- Tháng'!$R$6:$AC$29,MATCH($A34,'18 KMP- Tháng'!$A$6:$A$29,0),MATCH(AB$7,'18 KMP- Tháng'!$R$2:$AC$2,0))</f>
        <v>1539.6058633333323</v>
      </c>
      <c r="AC34" s="837">
        <f>INDEX('18 KMP- Tháng'!$R$6:$AC$29,MATCH($A34,'18 KMP- Tháng'!$A$6:$A$29,0),MATCH(AC$7,'18 KMP- Tháng'!$R$2:$AC$2,0))</f>
        <v>5666.6666713333307</v>
      </c>
      <c r="AD34" s="845">
        <f t="shared" ref="AD34" si="28">AVERAGE(R34:AC34)</f>
        <v>1883.5275906666654</v>
      </c>
      <c r="AE34" s="846">
        <f>INDEX('18 KMP- Tháng'!$AF$6:$AQ$29,MATCH($A34,'18 KMP- Tháng'!$A$6:$A$29,0),MATCH(AE$7,'18 KMP- Tháng'!$AF$2:$AQ$2,0))</f>
        <v>2190</v>
      </c>
      <c r="AF34" s="500">
        <f>INDEX('18 KMP- Tháng'!$AF$6:$AQ$29,MATCH($A34,'18 KMP- Tháng'!$A$6:$A$29,0),MATCH(AF$7,'18 KMP- Tháng'!$AF$2:$AQ$2,0))</f>
        <v>2310</v>
      </c>
      <c r="AG34" s="500">
        <f>INDEX('18 KMP- Tháng'!$AF$6:$AQ$29,MATCH($A34,'18 KMP- Tháng'!$A$6:$A$29,0),MATCH(AG$7,'18 KMP- Tháng'!$AF$2:$AQ$2,0))</f>
        <v>2250</v>
      </c>
      <c r="AH34" s="500">
        <f>INDEX('18 KMP- Tháng'!$AF$6:$AQ$29,MATCH($A34,'18 KMP- Tháng'!$A$6:$A$29,0),MATCH(AH$7,'18 KMP- Tháng'!$AF$2:$AQ$2,0))</f>
        <v>2100</v>
      </c>
      <c r="AI34" s="500">
        <f>INDEX('18 KMP- Tháng'!$AF$6:$AQ$29,MATCH($A34,'18 KMP- Tháng'!$A$6:$A$29,0),MATCH(AI$7,'18 KMP- Tháng'!$AF$2:$AQ$2,0))</f>
        <v>2100</v>
      </c>
      <c r="AJ34" s="500">
        <f>INDEX('18 KMP- Tháng'!$AF$6:$AQ$29,MATCH($A34,'18 KMP- Tháng'!$A$6:$A$29,0),MATCH(AJ$7,'18 KMP- Tháng'!$AF$2:$AQ$2,0))</f>
        <v>2767.9919239999999</v>
      </c>
      <c r="AK34" s="500">
        <f>INDEX('18 KMP- Tháng'!$AF$6:$AQ$29,MATCH($A34,'18 KMP- Tháng'!$A$6:$A$29,0),MATCH(AK$7,'18 KMP- Tháng'!$AF$2:$AQ$2,0))</f>
        <v>3045.9060760000002</v>
      </c>
      <c r="AL34" s="500">
        <f>INDEX('18 KMP- Tháng'!$AF$6:$AQ$29,MATCH($A34,'18 KMP- Tháng'!$A$6:$A$29,0),MATCH(AL$7,'18 KMP- Tháng'!$AF$2:$AQ$2,0))</f>
        <v>3495.9060760000002</v>
      </c>
      <c r="AM34" s="500">
        <f>INDEX('18 KMP- Tháng'!$AF$6:$AQ$29,MATCH($A34,'18 KMP- Tháng'!$A$6:$A$29,0),MATCH(AM$7,'18 KMP- Tháng'!$AF$2:$AQ$2,0))</f>
        <v>3495.9060760000002</v>
      </c>
      <c r="AN34" s="500">
        <f>INDEX('18 KMP- Tháng'!$AF$6:$AQ$29,MATCH($A34,'18 KMP- Tháng'!$A$6:$A$29,0),MATCH(AN$7,'18 KMP- Tháng'!$AF$2:$AQ$2,0))</f>
        <v>3495.9060760000002</v>
      </c>
      <c r="AO34" s="500">
        <f>INDEX('18 KMP- Tháng'!$AF$6:$AQ$29,MATCH($A34,'18 KMP- Tháng'!$A$6:$A$29,0),MATCH(AO$7,'18 KMP- Tháng'!$AF$2:$AQ$2,0))</f>
        <v>3495.9060760000002</v>
      </c>
      <c r="AP34" s="837">
        <f>INDEX('18 KMP- Tháng'!$AF$6:$AQ$29,MATCH($A34,'18 KMP- Tháng'!$A$6:$A$29,0),MATCH(AP$7,'18 KMP- Tháng'!$AF$2:$AQ$2,0))</f>
        <v>2655.9060760000002</v>
      </c>
      <c r="AQ34" s="845"/>
      <c r="AR34" s="839">
        <f>SUM(AE34:AP34)</f>
        <v>33403.428379999998</v>
      </c>
      <c r="AS34" s="846">
        <f>INDEX('18 KMP- Tháng'!$BH$6:$BS$29,MATCH($A34,'18 KMP- Tháng'!$A$6:$A$29,0),MATCH(AS$7,'18 KMP- Tháng'!$BH$2:$BS$2,0))</f>
        <v>0</v>
      </c>
      <c r="AT34" s="847">
        <f>INDEX('18 KMP- Tháng'!$BH$6:$BS$29,MATCH($A34,'18 KMP- Tháng'!$A$6:$A$29,0),MATCH(AT$7,'18 KMP- Tháng'!$BH$2:$BS$2,0))</f>
        <v>0</v>
      </c>
      <c r="AU34" s="847">
        <f>INDEX('18 KMP- Tháng'!$BH$6:$BS$29,MATCH($A34,'18 KMP- Tháng'!$A$6:$A$29,0),MATCH(AU$7,'18 KMP- Tháng'!$BH$2:$BS$2,0))</f>
        <v>0</v>
      </c>
      <c r="AV34" s="847">
        <f>INDEX('18 KMP- Tháng'!$BH$6:$BS$29,MATCH($A34,'18 KMP- Tháng'!$A$6:$A$29,0),MATCH(AV$7,'18 KMP- Tháng'!$BH$2:$BS$2,0))</f>
        <v>0</v>
      </c>
      <c r="AW34" s="847">
        <f>INDEX('18 KMP- Tháng'!$BH$6:$BS$29,MATCH($A34,'18 KMP- Tháng'!$A$6:$A$29,0),MATCH(AW$7,'18 KMP- Tháng'!$BH$2:$BS$2,0))</f>
        <v>0</v>
      </c>
      <c r="AX34" s="847">
        <f>INDEX('18 KMP- Tháng'!$BH$6:$BS$29,MATCH($A34,'18 KMP- Tháng'!$A$6:$A$29,0),MATCH(AX$7,'18 KMP- Tháng'!$BH$2:$BS$2,0))</f>
        <v>0</v>
      </c>
      <c r="AY34" s="847">
        <f>INDEX('18 KMP- Tháng'!$BH$6:$BS$29,MATCH($A34,'18 KMP- Tháng'!$A$6:$A$29,0),MATCH(AY$7,'18 KMP- Tháng'!$BH$2:$BS$2,0))</f>
        <v>0</v>
      </c>
      <c r="AZ34" s="847">
        <f>INDEX('18 KMP- Tháng'!$BH$6:$BS$29,MATCH($A34,'18 KMP- Tháng'!$A$6:$A$29,0),MATCH(AZ$7,'18 KMP- Tháng'!$BH$2:$BS$2,0))</f>
        <v>0</v>
      </c>
      <c r="BA34" s="847">
        <f>INDEX('18 KMP- Tháng'!$BH$6:$BS$29,MATCH($A34,'18 KMP- Tháng'!$A$6:$A$29,0),MATCH(BA$7,'18 KMP- Tháng'!$BH$2:$BS$2,0))</f>
        <v>0</v>
      </c>
      <c r="BB34" s="847">
        <f>INDEX('18 KMP- Tháng'!$BH$6:$BS$29,MATCH($A34,'18 KMP- Tháng'!$A$6:$A$29,0),MATCH(BB$7,'18 KMP- Tháng'!$BH$2:$BS$2,0))</f>
        <v>0</v>
      </c>
      <c r="BC34" s="847">
        <f>INDEX('18 KMP- Tháng'!$BH$6:$BS$29,MATCH($A34,'18 KMP- Tháng'!$A$6:$A$29,0),MATCH(BC$7,'18 KMP- Tháng'!$BH$2:$BS$2,0))</f>
        <v>0</v>
      </c>
      <c r="BD34" s="848">
        <f>INDEX('18 KMP- Tháng'!$BH$6:$BS$29,MATCH($A34,'18 KMP- Tháng'!$A$6:$A$29,0),MATCH(BD$7,'18 KMP- Tháng'!$BH$2:$BS$2,0))</f>
        <v>0</v>
      </c>
      <c r="BE34" s="849">
        <f>AVERAGE(AS34:BD34)</f>
        <v>0</v>
      </c>
      <c r="BF34" s="846">
        <f>INDEX('18 KMP- Tháng'!$AS$6:$BD$29,MATCH($A34,'18 KMP- Tháng'!$A$6:$A$29,0),MATCH(BF$7,'18 KMP- Tháng'!$AS$2:$BD$2,0))</f>
        <v>0</v>
      </c>
      <c r="BG34" s="500">
        <f>INDEX('18 KMP- Tháng'!$AS$6:$BD$29,MATCH($A34,'18 KMP- Tháng'!$A$6:$A$29,0),MATCH(BG$7,'18 KMP- Tháng'!$AS$2:$BD$2,0))</f>
        <v>0</v>
      </c>
      <c r="BH34" s="500">
        <f>INDEX('18 KMP- Tháng'!$AS$6:$BD$29,MATCH($A34,'18 KMP- Tháng'!$A$6:$A$29,0),MATCH(BH$7,'18 KMP- Tháng'!$AS$2:$BD$2,0))</f>
        <v>0</v>
      </c>
      <c r="BI34" s="500">
        <f>INDEX('18 KMP- Tháng'!$AS$6:$BD$29,MATCH($A34,'18 KMP- Tháng'!$A$6:$A$29,0),MATCH(BI$7,'18 KMP- Tháng'!$AS$2:$BD$2,0))</f>
        <v>0</v>
      </c>
      <c r="BJ34" s="500">
        <f>INDEX('18 KMP- Tháng'!$AS$6:$BD$29,MATCH($A34,'18 KMP- Tháng'!$A$6:$A$29,0),MATCH(BJ$7,'18 KMP- Tháng'!$AS$2:$BD$2,0))</f>
        <v>0</v>
      </c>
      <c r="BK34" s="500">
        <f>INDEX('18 KMP- Tháng'!$AS$6:$BD$29,MATCH($A34,'18 KMP- Tháng'!$A$6:$A$29,0),MATCH(BK$7,'18 KMP- Tháng'!$AS$2:$BD$2,0))</f>
        <v>0</v>
      </c>
      <c r="BL34" s="500">
        <f>INDEX('18 KMP- Tháng'!$AS$6:$BD$29,MATCH($A34,'18 KMP- Tháng'!$A$6:$A$29,0),MATCH(BL$7,'18 KMP- Tháng'!$AS$2:$BD$2,0))</f>
        <v>0</v>
      </c>
      <c r="BM34" s="500">
        <f>INDEX('18 KMP- Tháng'!$AS$6:$BD$29,MATCH($A34,'18 KMP- Tháng'!$A$6:$A$29,0),MATCH(BM$7,'18 KMP- Tháng'!$AS$2:$BD$2,0))</f>
        <v>0</v>
      </c>
      <c r="BN34" s="500">
        <f>INDEX('18 KMP- Tháng'!$AS$6:$BD$29,MATCH($A34,'18 KMP- Tháng'!$A$6:$A$29,0),MATCH(BN$7,'18 KMP- Tháng'!$AS$2:$BD$2,0))</f>
        <v>0</v>
      </c>
      <c r="BO34" s="500">
        <f>INDEX('18 KMP- Tháng'!$AS$6:$BD$29,MATCH($A34,'18 KMP- Tháng'!$A$6:$A$29,0),MATCH(BO$7,'18 KMP- Tháng'!$AS$2:$BD$2,0))</f>
        <v>0</v>
      </c>
      <c r="BP34" s="500">
        <f>INDEX('18 KMP- Tháng'!$AS$6:$BD$29,MATCH($A34,'18 KMP- Tháng'!$A$6:$A$29,0),MATCH(BP$7,'18 KMP- Tháng'!$AS$2:$BD$2,0))</f>
        <v>0</v>
      </c>
      <c r="BQ34" s="837">
        <f>INDEX('18 KMP- Tháng'!$AS$6:$BD$29,MATCH($A34,'18 KMP- Tháng'!$A$6:$A$29,0),MATCH(BQ$7,'18 KMP- Tháng'!$AS$2:$BD$2,0))</f>
        <v>0</v>
      </c>
      <c r="BR34" s="845">
        <f t="shared" ref="BR34" si="29">SUM(BF34:BQ34)/COUNTIFS($BF$29:$BQ$29,"&lt;&gt;"&amp;0)</f>
        <v>0</v>
      </c>
      <c r="BS34" s="839">
        <f>SUM(BF34:BQ34)</f>
        <v>0</v>
      </c>
      <c r="BT34" s="505"/>
      <c r="BU34" s="506"/>
      <c r="BV34" s="1556"/>
      <c r="BW34" s="1556"/>
      <c r="BX34" s="1556"/>
      <c r="BY34" s="1556"/>
      <c r="BZ34" s="1556"/>
      <c r="CA34" s="1556"/>
      <c r="CB34" s="1556"/>
      <c r="CC34" s="481"/>
      <c r="CD34" s="454"/>
      <c r="CE34" s="454"/>
      <c r="CF34" s="454"/>
      <c r="CG34" s="454"/>
      <c r="CH34" s="454"/>
      <c r="CI34" s="454"/>
      <c r="CJ34" s="454"/>
      <c r="CK34" s="454"/>
      <c r="CL34" s="454"/>
      <c r="CM34" s="454"/>
      <c r="CN34" s="454"/>
    </row>
    <row r="35" spans="1:92" s="507" customFormat="1" ht="16.5" thickTop="1">
      <c r="D35" s="508"/>
      <c r="E35" s="508"/>
      <c r="F35" s="508"/>
      <c r="G35" s="508"/>
      <c r="H35" s="508"/>
      <c r="I35" s="508"/>
      <c r="J35" s="509"/>
      <c r="K35" s="509"/>
      <c r="L35" s="509"/>
      <c r="M35" s="509"/>
      <c r="N35" s="509"/>
      <c r="O35" s="509"/>
      <c r="P35" s="509"/>
      <c r="Q35" s="509"/>
      <c r="R35" s="1023"/>
      <c r="S35" s="508"/>
      <c r="T35" s="508"/>
      <c r="U35" s="508"/>
      <c r="V35" s="508"/>
      <c r="W35" s="508"/>
      <c r="X35" s="508"/>
      <c r="Y35" s="508"/>
      <c r="Z35" s="508"/>
      <c r="AA35" s="508"/>
      <c r="AB35" s="508"/>
      <c r="AC35" s="508"/>
      <c r="AD35" s="1024"/>
      <c r="AE35" s="1025"/>
      <c r="AF35" s="1025"/>
      <c r="AG35" s="509"/>
      <c r="AH35" s="509"/>
      <c r="AI35" s="509"/>
      <c r="AJ35" s="509"/>
      <c r="AK35" s="509"/>
      <c r="AL35" s="509"/>
      <c r="AM35" s="509"/>
      <c r="AN35" s="509"/>
      <c r="AO35" s="509"/>
      <c r="AP35" s="509"/>
      <c r="AQ35" s="509"/>
      <c r="AR35" s="509"/>
      <c r="AS35" s="508"/>
      <c r="AT35" s="508"/>
      <c r="AU35" s="508"/>
      <c r="AV35" s="508"/>
      <c r="AW35" s="508"/>
      <c r="AX35" s="508"/>
      <c r="AY35" s="508"/>
      <c r="AZ35" s="508"/>
      <c r="BA35" s="508"/>
      <c r="BB35" s="508"/>
      <c r="BC35" s="508"/>
      <c r="BD35" s="508"/>
      <c r="BE35" s="1024"/>
      <c r="BF35" s="1025"/>
      <c r="BG35" s="1025"/>
      <c r="BH35" s="509"/>
      <c r="BI35" s="509"/>
      <c r="BJ35" s="509"/>
      <c r="BK35" s="509"/>
      <c r="BL35" s="509"/>
      <c r="BM35" s="509"/>
      <c r="BN35" s="509"/>
      <c r="BO35" s="509"/>
      <c r="BP35" s="509"/>
      <c r="BQ35" s="509"/>
      <c r="BR35" s="509"/>
      <c r="BS35" s="509"/>
      <c r="BV35" s="510"/>
      <c r="BW35" s="510"/>
      <c r="BX35" s="510"/>
      <c r="BY35" s="454"/>
      <c r="BZ35" s="454"/>
      <c r="CA35" s="454"/>
      <c r="CB35" s="454"/>
      <c r="CC35" s="454"/>
      <c r="CD35" s="454"/>
      <c r="CE35" s="454"/>
      <c r="CF35" s="454"/>
      <c r="CG35" s="454"/>
      <c r="CH35" s="454"/>
      <c r="CI35" s="454"/>
      <c r="CJ35" s="454"/>
      <c r="CK35" s="454"/>
      <c r="CL35" s="454"/>
      <c r="CM35" s="454"/>
      <c r="CN35" s="454"/>
    </row>
    <row r="36" spans="1:92" s="511" customFormat="1" ht="21.5" thickBot="1">
      <c r="B36" s="512"/>
      <c r="C36" s="512"/>
      <c r="D36" s="1026"/>
      <c r="E36" s="513"/>
      <c r="F36" s="513"/>
      <c r="G36" s="514"/>
      <c r="H36" s="514"/>
      <c r="I36" s="514"/>
      <c r="J36" s="514"/>
      <c r="K36" s="513"/>
      <c r="L36" s="513"/>
      <c r="M36" s="513"/>
      <c r="N36" s="513"/>
      <c r="O36" s="513"/>
      <c r="P36" s="513"/>
      <c r="Q36" s="513"/>
      <c r="R36" s="534"/>
      <c r="S36" s="1025"/>
      <c r="T36" s="1025"/>
      <c r="U36" s="1025"/>
      <c r="V36" s="1025"/>
      <c r="W36" s="1025"/>
      <c r="X36" s="1025"/>
      <c r="Y36" s="1025"/>
      <c r="Z36" s="1025"/>
      <c r="AA36" s="1025"/>
      <c r="AB36" s="1025"/>
      <c r="AC36" s="1025"/>
      <c r="AE36" s="1025"/>
      <c r="AF36" s="1229"/>
      <c r="AG36" s="513"/>
      <c r="AH36" s="513"/>
      <c r="AI36" s="513"/>
      <c r="AJ36" s="514"/>
      <c r="AK36" s="513"/>
      <c r="AL36" s="513"/>
      <c r="AM36" s="513"/>
      <c r="AN36" s="513"/>
      <c r="AO36" s="513"/>
      <c r="AP36" s="513"/>
      <c r="AQ36" s="513"/>
      <c r="AR36" s="513"/>
      <c r="AS36" s="1025"/>
      <c r="AT36" s="1025"/>
      <c r="AU36" s="1025"/>
      <c r="AV36" s="1025"/>
      <c r="AW36" s="1025"/>
      <c r="AX36" s="1025"/>
      <c r="AY36" s="1025"/>
      <c r="AZ36" s="1025"/>
      <c r="BA36" s="1025"/>
      <c r="BB36" s="1025"/>
      <c r="BC36" s="1025"/>
      <c r="BD36" s="1025"/>
      <c r="BE36" s="1026"/>
      <c r="BF36" s="1025"/>
      <c r="BG36" s="1229"/>
      <c r="BH36" s="513"/>
      <c r="BI36" s="513"/>
      <c r="BJ36" s="513"/>
      <c r="BK36" s="514"/>
      <c r="BL36" s="513"/>
      <c r="BM36" s="513"/>
      <c r="BN36" s="513"/>
      <c r="BO36" s="513"/>
      <c r="BP36" s="513"/>
      <c r="BQ36" s="513"/>
      <c r="BR36" s="513"/>
      <c r="BS36" s="513"/>
      <c r="BT36" s="515"/>
      <c r="BU36" s="513"/>
      <c r="BV36" s="516"/>
      <c r="BW36" s="516"/>
      <c r="BX36" s="516"/>
      <c r="BY36" s="513"/>
      <c r="BZ36" s="513"/>
      <c r="CA36" s="513"/>
      <c r="CB36" s="513"/>
      <c r="CC36" s="513"/>
      <c r="CD36" s="454"/>
      <c r="CE36" s="454"/>
      <c r="CF36" s="454"/>
      <c r="CG36" s="454"/>
      <c r="CH36" s="454"/>
      <c r="CI36" s="454"/>
      <c r="CJ36" s="454"/>
      <c r="CK36" s="454"/>
      <c r="CL36" s="454"/>
      <c r="CM36" s="454"/>
      <c r="CN36" s="454"/>
    </row>
    <row r="37" spans="1:92" s="511" customFormat="1" ht="16.5" thickBot="1">
      <c r="B37" s="512"/>
      <c r="C37" s="512"/>
      <c r="D37" s="517" t="s">
        <v>771</v>
      </c>
      <c r="E37" s="518">
        <v>651.79999999999995</v>
      </c>
      <c r="F37" s="518">
        <v>653.07500000000005</v>
      </c>
      <c r="G37" s="518">
        <v>1875.95</v>
      </c>
      <c r="H37" s="518">
        <v>1792.575</v>
      </c>
      <c r="I37" s="518">
        <v>1632.875</v>
      </c>
      <c r="J37" s="518">
        <v>1573.9749999999999</v>
      </c>
      <c r="K37" s="518">
        <v>1591.575</v>
      </c>
      <c r="L37" s="518">
        <v>2445.1750000000002</v>
      </c>
      <c r="M37" s="518">
        <v>1846.875</v>
      </c>
      <c r="N37" s="518">
        <v>2330.5250000000001</v>
      </c>
      <c r="O37" s="518">
        <v>2108.8000000000002</v>
      </c>
      <c r="P37" s="1027">
        <v>3265.8</v>
      </c>
      <c r="Q37" s="1028">
        <f>AVERAGE(E37:P37)</f>
        <v>1814.0833333333333</v>
      </c>
      <c r="R37" s="1029">
        <v>2153</v>
      </c>
      <c r="S37" s="518">
        <v>2064</v>
      </c>
      <c r="T37" s="518">
        <v>2908</v>
      </c>
      <c r="U37" s="518">
        <v>3201</v>
      </c>
      <c r="V37" s="518">
        <v>3202</v>
      </c>
      <c r="W37" s="518">
        <v>1891</v>
      </c>
      <c r="X37" s="518">
        <v>1784</v>
      </c>
      <c r="Y37" s="518">
        <v>4611</v>
      </c>
      <c r="Z37" s="518">
        <v>4683.5999999999995</v>
      </c>
      <c r="AA37" s="518">
        <v>3573.5250000000001</v>
      </c>
      <c r="AB37" s="518">
        <v>1971.9250000000002</v>
      </c>
      <c r="AC37" s="1027">
        <v>2927.35</v>
      </c>
      <c r="AD37" s="1028">
        <f>AVERAGE(R37:AC37)</f>
        <v>2914.2000000000003</v>
      </c>
      <c r="AE37" s="1029">
        <v>3487.9992999999999</v>
      </c>
      <c r="AF37" s="518">
        <v>5476.6750000000002</v>
      </c>
      <c r="AG37" s="518">
        <v>4580.05</v>
      </c>
      <c r="AH37" s="518">
        <v>3850.9250000000002</v>
      </c>
      <c r="AI37" s="518">
        <v>4582.7242999999999</v>
      </c>
      <c r="AJ37" s="518">
        <v>3673.2080000000001</v>
      </c>
      <c r="AK37" s="518">
        <v>4560.4241000000002</v>
      </c>
      <c r="AL37" s="518">
        <v>5189.3680000000004</v>
      </c>
      <c r="AM37" s="518">
        <v>2657.0430000000001</v>
      </c>
      <c r="AN37" s="518">
        <v>3219.1950000000002</v>
      </c>
      <c r="AO37" s="518">
        <v>2510.4150000000004</v>
      </c>
      <c r="AP37" s="1027">
        <v>2781.1109999999999</v>
      </c>
      <c r="AQ37" s="1028">
        <f>AVERAGE(AE37:AP37)</f>
        <v>3880.7614749999993</v>
      </c>
      <c r="AR37" s="1029">
        <f>SUM(AE37:AP37)</f>
        <v>46569.137699999992</v>
      </c>
      <c r="AS37" s="1029">
        <f>'18 KMP- Tháng'!BH30</f>
        <v>4307.222932676138</v>
      </c>
      <c r="AT37" s="518">
        <f>'18 KMP- Tháng'!BI30</f>
        <v>4242.3145678240326</v>
      </c>
      <c r="AU37" s="518">
        <f>'18 KMP- Tháng'!BJ30</f>
        <v>4667.5574034757401</v>
      </c>
      <c r="AV37" s="518">
        <f>'18 KMP- Tháng'!BK30</f>
        <v>4383.231518676721</v>
      </c>
      <c r="AW37" s="518">
        <f>'18 KMP- Tháng'!BL30</f>
        <v>4652.4364391825347</v>
      </c>
      <c r="AX37" s="518">
        <f>'18 KMP- Tháng'!BM30</f>
        <v>4680.9521822275929</v>
      </c>
      <c r="AY37" s="518">
        <f>'18 KMP- Tháng'!BN30</f>
        <v>4678.4225169732681</v>
      </c>
      <c r="AZ37" s="518">
        <f>'18 KMP- Tháng'!BO30</f>
        <v>4551.8494989087394</v>
      </c>
      <c r="BA37" s="518">
        <f>'18 KMP- Tháng'!BP30</f>
        <v>4763.6231018888839</v>
      </c>
      <c r="BB37" s="518">
        <f>'18 KMP- Tháng'!BQ30</f>
        <v>4457.6262974285746</v>
      </c>
      <c r="BC37" s="518">
        <f>'18 KMP- Tháng'!BR30</f>
        <v>4709.2431243544625</v>
      </c>
      <c r="BD37" s="1027">
        <f>'18 KMP- Tháng'!BS30</f>
        <v>4773.5204185700304</v>
      </c>
      <c r="BE37" s="1028">
        <f>AVERAGE(AS37:BD37)</f>
        <v>4572.3333335155603</v>
      </c>
      <c r="BF37" s="1029">
        <v>4106.8499999999995</v>
      </c>
      <c r="BG37" s="518">
        <v>3166.7500000000005</v>
      </c>
      <c r="BH37" s="518">
        <v>5734.1250000000009</v>
      </c>
      <c r="BI37" s="518">
        <v>5105.2749999999996</v>
      </c>
      <c r="BJ37" s="518">
        <v>4987.1499999999996</v>
      </c>
      <c r="BK37" s="518"/>
      <c r="BL37" s="518"/>
      <c r="BM37" s="518"/>
      <c r="BN37" s="518"/>
      <c r="BO37" s="518"/>
      <c r="BP37" s="518"/>
      <c r="BQ37" s="1027"/>
      <c r="BR37" s="1028">
        <f>AVERAGE(BF37:BQ37)</f>
        <v>4620.0300000000007</v>
      </c>
      <c r="BS37" s="1029">
        <f>SUM(BF37:BQ37)</f>
        <v>23100.15</v>
      </c>
      <c r="BT37" s="519"/>
      <c r="BU37" s="513"/>
      <c r="BV37" s="516"/>
      <c r="BW37" s="516"/>
      <c r="BX37" s="516"/>
      <c r="BY37" s="513"/>
      <c r="BZ37" s="513"/>
      <c r="CA37" s="513"/>
      <c r="CB37" s="513"/>
      <c r="CC37" s="513"/>
      <c r="CD37" s="454"/>
      <c r="CE37" s="454"/>
      <c r="CF37" s="454"/>
      <c r="CG37" s="454"/>
      <c r="CH37" s="454"/>
      <c r="CI37" s="454"/>
      <c r="CJ37" s="454"/>
      <c r="CK37" s="454"/>
      <c r="CL37" s="454"/>
      <c r="CM37" s="454"/>
      <c r="CN37" s="454"/>
    </row>
    <row r="38" spans="1:92" ht="16.5" thickBot="1">
      <c r="D38" s="460"/>
    </row>
    <row r="39" spans="1:92" s="481" customFormat="1" ht="48.5" thickTop="1">
      <c r="A39" s="469">
        <v>1</v>
      </c>
      <c r="B39" s="464" t="s">
        <v>0</v>
      </c>
      <c r="C39" s="464" t="s">
        <v>505</v>
      </c>
      <c r="D39" s="465" t="s">
        <v>571</v>
      </c>
      <c r="E39" s="1467" t="s">
        <v>761</v>
      </c>
      <c r="F39" s="1467" t="s">
        <v>762</v>
      </c>
      <c r="G39" s="1467" t="s">
        <v>763</v>
      </c>
      <c r="H39" s="1467" t="s">
        <v>764</v>
      </c>
      <c r="I39" s="1467" t="s">
        <v>765</v>
      </c>
      <c r="J39" s="1467" t="s">
        <v>766</v>
      </c>
      <c r="K39" s="1467" t="s">
        <v>767</v>
      </c>
      <c r="L39" s="1467" t="s">
        <v>768</v>
      </c>
      <c r="M39" s="1467" t="s">
        <v>769</v>
      </c>
      <c r="N39" s="1467" t="s">
        <v>559</v>
      </c>
      <c r="O39" s="1467" t="s">
        <v>560</v>
      </c>
      <c r="P39" s="1468" t="s">
        <v>561</v>
      </c>
      <c r="Q39" s="1469" t="s">
        <v>770</v>
      </c>
      <c r="R39" s="1470" t="s">
        <v>506</v>
      </c>
      <c r="S39" s="1470" t="s">
        <v>507</v>
      </c>
      <c r="T39" s="1470" t="s">
        <v>508</v>
      </c>
      <c r="U39" s="1470" t="s">
        <v>509</v>
      </c>
      <c r="V39" s="1470" t="s">
        <v>510</v>
      </c>
      <c r="W39" s="1470" t="s">
        <v>511</v>
      </c>
      <c r="X39" s="1470" t="s">
        <v>512</v>
      </c>
      <c r="Y39" s="1470" t="s">
        <v>513</v>
      </c>
      <c r="Z39" s="1470" t="s">
        <v>514</v>
      </c>
      <c r="AA39" s="1470" t="s">
        <v>515</v>
      </c>
      <c r="AB39" s="1470" t="s">
        <v>516</v>
      </c>
      <c r="AC39" s="1471" t="s">
        <v>517</v>
      </c>
      <c r="AD39" s="1472" t="s">
        <v>518</v>
      </c>
      <c r="AE39" s="1473" t="s">
        <v>721</v>
      </c>
      <c r="AF39" s="951" t="s">
        <v>722</v>
      </c>
      <c r="AG39" s="951" t="s">
        <v>723</v>
      </c>
      <c r="AH39" s="951" t="s">
        <v>724</v>
      </c>
      <c r="AI39" s="951" t="s">
        <v>725</v>
      </c>
      <c r="AJ39" s="951" t="s">
        <v>726</v>
      </c>
      <c r="AK39" s="951" t="s">
        <v>727</v>
      </c>
      <c r="AL39" s="951" t="s">
        <v>728</v>
      </c>
      <c r="AM39" s="951" t="s">
        <v>729</v>
      </c>
      <c r="AN39" s="951" t="s">
        <v>730</v>
      </c>
      <c r="AO39" s="951" t="s">
        <v>731</v>
      </c>
      <c r="AP39" s="1230" t="s">
        <v>732</v>
      </c>
      <c r="AQ39" s="804" t="s">
        <v>736</v>
      </c>
      <c r="AR39" s="1473" t="s">
        <v>738</v>
      </c>
      <c r="AS39" s="805" t="str">
        <f>AS8</f>
        <v>KH T1.2026</v>
      </c>
      <c r="AT39" s="805" t="str">
        <f t="shared" ref="AT39:BE39" si="30">AT8</f>
        <v>KH T2.2026</v>
      </c>
      <c r="AU39" s="805" t="str">
        <f t="shared" si="30"/>
        <v>KH T3.2026</v>
      </c>
      <c r="AV39" s="805" t="str">
        <f t="shared" si="30"/>
        <v>KH T4.2026</v>
      </c>
      <c r="AW39" s="805" t="str">
        <f t="shared" si="30"/>
        <v>KH T5.2026</v>
      </c>
      <c r="AX39" s="805" t="str">
        <f t="shared" si="30"/>
        <v>KH T6.2026</v>
      </c>
      <c r="AY39" s="805" t="str">
        <f t="shared" si="30"/>
        <v>KH T7.2026</v>
      </c>
      <c r="AZ39" s="805" t="str">
        <f t="shared" si="30"/>
        <v>KH T8.2026</v>
      </c>
      <c r="BA39" s="805" t="str">
        <f t="shared" si="30"/>
        <v>KH T9.2026</v>
      </c>
      <c r="BB39" s="805" t="str">
        <f t="shared" si="30"/>
        <v>KH T10.2026</v>
      </c>
      <c r="BC39" s="805" t="str">
        <f t="shared" si="30"/>
        <v>KH T11.2026</v>
      </c>
      <c r="BD39" s="805" t="str">
        <f t="shared" si="30"/>
        <v>KH T12.2026</v>
      </c>
      <c r="BE39" s="805" t="str">
        <f t="shared" si="30"/>
        <v>BQ KH 2026</v>
      </c>
      <c r="BF39" s="809" t="str">
        <f>BF8</f>
        <v>T1.26</v>
      </c>
      <c r="BG39" s="809" t="str">
        <f t="shared" ref="BG39:BR39" si="31">BG8</f>
        <v>T2.26</v>
      </c>
      <c r="BH39" s="809" t="str">
        <f t="shared" si="31"/>
        <v>T3.26</v>
      </c>
      <c r="BI39" s="809" t="str">
        <f t="shared" si="31"/>
        <v>T4.26</v>
      </c>
      <c r="BJ39" s="809" t="str">
        <f t="shared" si="31"/>
        <v>T5.26</v>
      </c>
      <c r="BK39" s="809" t="str">
        <f t="shared" si="31"/>
        <v>T6.26</v>
      </c>
      <c r="BL39" s="809" t="str">
        <f t="shared" si="31"/>
        <v>T7.26</v>
      </c>
      <c r="BM39" s="809" t="str">
        <f t="shared" si="31"/>
        <v>T8.26</v>
      </c>
      <c r="BN39" s="809" t="str">
        <f t="shared" si="31"/>
        <v>T9.26</v>
      </c>
      <c r="BO39" s="809" t="str">
        <f t="shared" si="31"/>
        <v>T10.26</v>
      </c>
      <c r="BP39" s="809" t="str">
        <f t="shared" si="31"/>
        <v>T11.26</v>
      </c>
      <c r="BQ39" s="809" t="str">
        <f t="shared" si="31"/>
        <v>T12.26</v>
      </c>
      <c r="BR39" s="811" t="str">
        <f t="shared" si="31"/>
        <v>BQ TT 2026</v>
      </c>
      <c r="BS39" s="809" t="s">
        <v>1023</v>
      </c>
      <c r="BT39" s="466" t="s">
        <v>1024</v>
      </c>
      <c r="BU39" s="806" t="str">
        <f>"KH T"&amp;$D$4&amp;".26"</f>
        <v>KH T5.26</v>
      </c>
      <c r="BV39" s="1230" t="str">
        <f>"T"&amp;$D$4&amp;".26"&amp; "sv KHT"&amp;D4&amp;".26"</f>
        <v>T5.26sv KHT5.26</v>
      </c>
      <c r="BW39" s="850" t="s">
        <v>529</v>
      </c>
      <c r="BX39" s="1475" t="s">
        <v>739</v>
      </c>
      <c r="BY39" s="851" t="s">
        <v>1025</v>
      </c>
      <c r="BZ39" s="852" t="s">
        <v>1026</v>
      </c>
      <c r="CA39" s="809" t="s">
        <v>1027</v>
      </c>
      <c r="CB39" s="809" t="s">
        <v>1028</v>
      </c>
      <c r="CC39" s="466" t="s">
        <v>519</v>
      </c>
      <c r="CD39" s="520"/>
      <c r="CE39" s="454"/>
      <c r="CF39" s="454"/>
      <c r="CG39" s="454"/>
      <c r="CH39" s="454"/>
      <c r="CI39" s="454"/>
      <c r="CJ39" s="454"/>
      <c r="CK39" s="454"/>
      <c r="CL39" s="454"/>
      <c r="CM39" s="454"/>
      <c r="CN39" s="454"/>
    </row>
    <row r="40" spans="1:92">
      <c r="A40" s="463">
        <v>2</v>
      </c>
      <c r="B40" s="470" t="s">
        <v>520</v>
      </c>
      <c r="C40" s="471"/>
      <c r="D40" s="472" t="s">
        <v>521</v>
      </c>
      <c r="E40" s="853">
        <f t="shared" ref="E40:O40" si="32">SUM(E41:E51)</f>
        <v>26.012887611434014</v>
      </c>
      <c r="F40" s="853">
        <f t="shared" si="32"/>
        <v>25.591419942053992</v>
      </c>
      <c r="G40" s="853">
        <f t="shared" si="32"/>
        <v>25.167345217605202</v>
      </c>
      <c r="H40" s="853">
        <f t="shared" si="32"/>
        <v>24.565129581440026</v>
      </c>
      <c r="I40" s="853">
        <f t="shared" si="32"/>
        <v>24.0818356080105</v>
      </c>
      <c r="J40" s="853">
        <f t="shared" si="32"/>
        <v>25.73218650115065</v>
      </c>
      <c r="K40" s="853">
        <f t="shared" si="32"/>
        <v>21.50443947466734</v>
      </c>
      <c r="L40" s="853">
        <f t="shared" si="32"/>
        <v>20.384035757168984</v>
      </c>
      <c r="M40" s="853">
        <f t="shared" si="32"/>
        <v>21.242199175054022</v>
      </c>
      <c r="N40" s="853">
        <f t="shared" si="32"/>
        <v>19.920693122245044</v>
      </c>
      <c r="O40" s="853">
        <f t="shared" si="32"/>
        <v>21.643473166644831</v>
      </c>
      <c r="P40" s="853">
        <f>SUM(P41:P51)</f>
        <v>20.966796622919013</v>
      </c>
      <c r="Q40" s="854">
        <f>SUM(Q41:Q51)</f>
        <v>21.103404110336594</v>
      </c>
      <c r="R40" s="853">
        <f t="shared" ref="R40:BQ40" si="33">SUM(R41:R51)</f>
        <v>19.698608855078604</v>
      </c>
      <c r="S40" s="853">
        <f t="shared" si="33"/>
        <v>21.321266947751965</v>
      </c>
      <c r="T40" s="853">
        <f t="shared" si="33"/>
        <v>20.93268349603796</v>
      </c>
      <c r="U40" s="853">
        <f t="shared" si="33"/>
        <v>22.022813645991203</v>
      </c>
      <c r="V40" s="853">
        <f t="shared" si="33"/>
        <v>21.02281823673156</v>
      </c>
      <c r="W40" s="853">
        <f t="shared" si="33"/>
        <v>21.208976815792511</v>
      </c>
      <c r="X40" s="853">
        <f t="shared" si="33"/>
        <v>21.77509672713494</v>
      </c>
      <c r="Y40" s="853">
        <f t="shared" si="33"/>
        <v>21.182126365745155</v>
      </c>
      <c r="Z40" s="853">
        <f t="shared" si="33"/>
        <v>21.922782947897737</v>
      </c>
      <c r="AA40" s="853">
        <f t="shared" si="33"/>
        <v>21.2036794198176</v>
      </c>
      <c r="AB40" s="853">
        <f t="shared" si="33"/>
        <v>20.834891042122816</v>
      </c>
      <c r="AC40" s="853">
        <f t="shared" si="33"/>
        <v>21.069638306985681</v>
      </c>
      <c r="AD40" s="854">
        <f t="shared" si="33"/>
        <v>21.105215855282399</v>
      </c>
      <c r="AE40" s="855">
        <f t="shared" si="33"/>
        <v>21.486452431877474</v>
      </c>
      <c r="AF40" s="853">
        <f t="shared" si="33"/>
        <v>21.262699021048785</v>
      </c>
      <c r="AG40" s="853">
        <f t="shared" si="33"/>
        <v>21.765906279440944</v>
      </c>
      <c r="AH40" s="853">
        <f t="shared" si="33"/>
        <v>22.814571225836321</v>
      </c>
      <c r="AI40" s="853">
        <f t="shared" si="33"/>
        <v>22.681636953780796</v>
      </c>
      <c r="AJ40" s="853">
        <f t="shared" si="33"/>
        <v>22.827407319656501</v>
      </c>
      <c r="AK40" s="853">
        <f t="shared" si="33"/>
        <v>23.478913149544145</v>
      </c>
      <c r="AL40" s="853">
        <f t="shared" si="33"/>
        <v>23.494317816650501</v>
      </c>
      <c r="AM40" s="853">
        <f t="shared" si="33"/>
        <v>23.335579232531547</v>
      </c>
      <c r="AN40" s="853">
        <f t="shared" si="33"/>
        <v>22.682762260643443</v>
      </c>
      <c r="AO40" s="853">
        <f t="shared" si="33"/>
        <v>21.535411519371866</v>
      </c>
      <c r="AP40" s="856">
        <f t="shared" si="33"/>
        <v>21.390297213736524</v>
      </c>
      <c r="AQ40" s="854">
        <f>SUM(AQ41:AQ51)</f>
        <v>22.537179165276907</v>
      </c>
      <c r="AR40" s="857">
        <f>SUM(AR41:AR51)</f>
        <v>1.4319633099945064</v>
      </c>
      <c r="AS40" s="855">
        <f t="shared" si="33"/>
        <v>20.147678699428837</v>
      </c>
      <c r="AT40" s="853">
        <f t="shared" si="33"/>
        <v>20.238752994287129</v>
      </c>
      <c r="AU40" s="853">
        <f t="shared" si="33"/>
        <v>20.12086880770844</v>
      </c>
      <c r="AV40" s="853">
        <f t="shared" si="33"/>
        <v>20.143455033869976</v>
      </c>
      <c r="AW40" s="853">
        <f t="shared" si="33"/>
        <v>20.124577269291272</v>
      </c>
      <c r="AX40" s="853">
        <f t="shared" si="33"/>
        <v>20.151321433514315</v>
      </c>
      <c r="AY40" s="853">
        <f t="shared" si="33"/>
        <v>20.185842609884336</v>
      </c>
      <c r="AZ40" s="853">
        <f t="shared" si="33"/>
        <v>20.200691862370007</v>
      </c>
      <c r="BA40" s="853">
        <f t="shared" si="33"/>
        <v>20.188004787050371</v>
      </c>
      <c r="BB40" s="853">
        <f t="shared" si="33"/>
        <v>20.247775906325909</v>
      </c>
      <c r="BC40" s="853">
        <f t="shared" si="33"/>
        <v>20.22649523146378</v>
      </c>
      <c r="BD40" s="856">
        <f t="shared" si="33"/>
        <v>20.21300769874772</v>
      </c>
      <c r="BE40" s="854">
        <f t="shared" si="33"/>
        <v>20.182001543448386</v>
      </c>
      <c r="BF40" s="855">
        <f t="shared" si="33"/>
        <v>21.773668561837258</v>
      </c>
      <c r="BG40" s="853">
        <f t="shared" si="33"/>
        <v>20.618295506418431</v>
      </c>
      <c r="BH40" s="853">
        <f t="shared" si="33"/>
        <v>21.397890233153475</v>
      </c>
      <c r="BI40" s="853">
        <f t="shared" si="33"/>
        <v>20.698947335239502</v>
      </c>
      <c r="BJ40" s="853">
        <f t="shared" si="33"/>
        <v>22.1318724822078</v>
      </c>
      <c r="BK40" s="853">
        <f t="shared" si="33"/>
        <v>0</v>
      </c>
      <c r="BL40" s="853">
        <f t="shared" si="33"/>
        <v>0</v>
      </c>
      <c r="BM40" s="853">
        <f t="shared" si="33"/>
        <v>0</v>
      </c>
      <c r="BN40" s="853">
        <f t="shared" si="33"/>
        <v>0</v>
      </c>
      <c r="BO40" s="853">
        <f t="shared" si="33"/>
        <v>0</v>
      </c>
      <c r="BP40" s="853">
        <f t="shared" si="33"/>
        <v>0</v>
      </c>
      <c r="BQ40" s="856">
        <f t="shared" si="33"/>
        <v>0</v>
      </c>
      <c r="BR40" s="854">
        <f>SUM(BR41:BR51)</f>
        <v>21.34537847401506</v>
      </c>
      <c r="BS40" s="857">
        <f>SUM(BS41:BS51)</f>
        <v>-1.1918006912618484</v>
      </c>
      <c r="BT40" s="853">
        <f>SUM(BT41:BT51)</f>
        <v>20.182001543448386</v>
      </c>
      <c r="BU40" s="853">
        <f>SUM(BU41:BU51)</f>
        <v>20.124577269291272</v>
      </c>
      <c r="BV40" s="1103" cm="1">
        <f t="array" ref="BV40">INDEX($BF40:$BQ40,,$D$4)-BU40</f>
        <v>2.007295212916528</v>
      </c>
      <c r="BW40" s="858">
        <f t="shared" ref="BW40:BW60" si="34">AD40/$AD$60</f>
        <v>0.74480594889834051</v>
      </c>
      <c r="BX40" s="1476">
        <f>AQ40/$AQ$60</f>
        <v>0.71567874606163273</v>
      </c>
      <c r="BY40" s="859">
        <f t="shared" ref="BY40:BY60" si="35">BE40/$BE$60</f>
        <v>0.6971582060491428</v>
      </c>
      <c r="BZ40" s="860">
        <f t="shared" ref="BZ40:BZ60" si="36">BR40/$BR$60</f>
        <v>0.6964650692580947</v>
      </c>
      <c r="CA40" s="861">
        <f>BZ40-BX40</f>
        <v>-1.9213676803538027E-2</v>
      </c>
      <c r="CB40" s="862">
        <f t="shared" ref="CB40:CB60" si="37">BZ40-BY40</f>
        <v>-6.93136791048099E-4</v>
      </c>
      <c r="CC40" s="863"/>
    </row>
    <row r="41" spans="1:92">
      <c r="A41" s="463">
        <v>3</v>
      </c>
      <c r="B41" s="476">
        <v>1</v>
      </c>
      <c r="C41" s="477" t="s">
        <v>425</v>
      </c>
      <c r="D41" s="477" t="s">
        <v>923</v>
      </c>
      <c r="E41" s="864">
        <f t="shared" ref="E41:AE42" si="38">E10/E$31</f>
        <v>22.787976772724683</v>
      </c>
      <c r="F41" s="864">
        <f t="shared" si="38"/>
        <v>22.500568382617356</v>
      </c>
      <c r="G41" s="864">
        <f t="shared" si="38"/>
        <v>21.921839870945607</v>
      </c>
      <c r="H41" s="864">
        <f t="shared" si="38"/>
        <v>21.077276720038153</v>
      </c>
      <c r="I41" s="864">
        <f t="shared" si="38"/>
        <v>20.804906279042552</v>
      </c>
      <c r="J41" s="864">
        <f t="shared" si="38"/>
        <v>21.787397200858489</v>
      </c>
      <c r="K41" s="864">
        <f t="shared" si="38"/>
        <v>18.394117330278288</v>
      </c>
      <c r="L41" s="864">
        <f t="shared" si="38"/>
        <v>17.565370316755306</v>
      </c>
      <c r="M41" s="864">
        <f t="shared" si="38"/>
        <v>18.266013295648243</v>
      </c>
      <c r="N41" s="864">
        <f t="shared" si="38"/>
        <v>16.836670943127327</v>
      </c>
      <c r="O41" s="864">
        <f t="shared" si="38"/>
        <v>18.010185937316315</v>
      </c>
      <c r="P41" s="864">
        <f t="shared" si="38"/>
        <v>18.373415593987865</v>
      </c>
      <c r="Q41" s="865">
        <f t="shared" si="38"/>
        <v>19.326224119829444</v>
      </c>
      <c r="R41" s="864">
        <f t="shared" si="38"/>
        <v>17.351007297036663</v>
      </c>
      <c r="S41" s="864">
        <f t="shared" si="38"/>
        <v>18.684196801383731</v>
      </c>
      <c r="T41" s="864">
        <f t="shared" si="38"/>
        <v>18.83512308069216</v>
      </c>
      <c r="U41" s="864">
        <f t="shared" si="38"/>
        <v>19.509038092149947</v>
      </c>
      <c r="V41" s="864">
        <f t="shared" si="38"/>
        <v>18.677036197917399</v>
      </c>
      <c r="W41" s="864">
        <f t="shared" si="38"/>
        <v>18.148150232044589</v>
      </c>
      <c r="X41" s="864">
        <f t="shared" si="38"/>
        <v>18.283593702204584</v>
      </c>
      <c r="Y41" s="864">
        <f t="shared" si="38"/>
        <v>18.161253005227746</v>
      </c>
      <c r="Z41" s="864">
        <f t="shared" si="38"/>
        <v>18.997197306667314</v>
      </c>
      <c r="AA41" s="864">
        <f t="shared" si="38"/>
        <v>18.690373015370334</v>
      </c>
      <c r="AB41" s="864">
        <f t="shared" si="38"/>
        <v>18.319005490374114</v>
      </c>
      <c r="AC41" s="864">
        <f t="shared" si="38"/>
        <v>18.284387312413024</v>
      </c>
      <c r="AD41" s="865">
        <f t="shared" si="38"/>
        <v>18.507378036232243</v>
      </c>
      <c r="AE41" s="866">
        <f t="shared" si="38"/>
        <v>18.312543345592342</v>
      </c>
      <c r="AF41" s="870">
        <f t="shared" ref="AF41:AP42" si="39">IFERROR(AF10/AF$31,0)</f>
        <v>18.593106932798833</v>
      </c>
      <c r="AG41" s="870">
        <f>IFERROR(AG10/AG$31,0)</f>
        <v>19.38928178326266</v>
      </c>
      <c r="AH41" s="870">
        <f t="shared" ref="AH41:AP41" si="40">IFERROR(AH10/AH$31,0)</f>
        <v>20.007140382474947</v>
      </c>
      <c r="AI41" s="870">
        <f t="shared" si="40"/>
        <v>20.139657074540278</v>
      </c>
      <c r="AJ41" s="870">
        <f t="shared" si="40"/>
        <v>20.023008833411428</v>
      </c>
      <c r="AK41" s="870">
        <f t="shared" si="40"/>
        <v>20.520410238978375</v>
      </c>
      <c r="AL41" s="870">
        <f t="shared" si="40"/>
        <v>20.479350977628648</v>
      </c>
      <c r="AM41" s="870">
        <f t="shared" si="40"/>
        <v>20.244864144352331</v>
      </c>
      <c r="AN41" s="870">
        <f t="shared" si="40"/>
        <v>19.089916937073646</v>
      </c>
      <c r="AO41" s="870">
        <f t="shared" si="40"/>
        <v>17.98575426523988</v>
      </c>
      <c r="AP41" s="871">
        <f t="shared" si="40"/>
        <v>18.684364862765758</v>
      </c>
      <c r="AQ41" s="865">
        <f>AQ10/AQ$31</f>
        <v>19.649038096535882</v>
      </c>
      <c r="AR41" s="872">
        <f>AQ41-AD41</f>
        <v>1.1416600603036393</v>
      </c>
      <c r="AS41" s="866">
        <f t="shared" ref="AS41:BF42" si="41">AS10/AS$31</f>
        <v>17.812843069157459</v>
      </c>
      <c r="AT41" s="867">
        <f t="shared" si="41"/>
        <v>17.824923409943459</v>
      </c>
      <c r="AU41" s="867">
        <f t="shared" si="41"/>
        <v>17.818768695321094</v>
      </c>
      <c r="AV41" s="867">
        <f t="shared" si="41"/>
        <v>17.816697779741421</v>
      </c>
      <c r="AW41" s="867">
        <f t="shared" si="41"/>
        <v>17.818768695321094</v>
      </c>
      <c r="AX41" s="867">
        <f t="shared" si="41"/>
        <v>17.816918280639356</v>
      </c>
      <c r="AY41" s="867">
        <f t="shared" si="41"/>
        <v>17.823654708306016</v>
      </c>
      <c r="AZ41" s="867">
        <f t="shared" si="41"/>
        <v>17.83067947934212</v>
      </c>
      <c r="BA41" s="867">
        <f t="shared" si="41"/>
        <v>17.818687134044602</v>
      </c>
      <c r="BB41" s="867">
        <f t="shared" si="41"/>
        <v>17.828687752841265</v>
      </c>
      <c r="BC41" s="867">
        <f t="shared" si="41"/>
        <v>17.825657836630874</v>
      </c>
      <c r="BD41" s="868">
        <f t="shared" si="41"/>
        <v>17.83067947934212</v>
      </c>
      <c r="BE41" s="869">
        <f>BE10/BE$31</f>
        <v>17.822332942135915</v>
      </c>
      <c r="BF41" s="866">
        <f>BF10/BF$31</f>
        <v>18.923355557251615</v>
      </c>
      <c r="BG41" s="870">
        <f t="shared" ref="BG41:BQ42" si="42">IFERROR(BG10/BG$31,0)</f>
        <v>18.104205808086963</v>
      </c>
      <c r="BH41" s="870">
        <f>IFERROR(BH10/BH$31,0)</f>
        <v>18.460638735672415</v>
      </c>
      <c r="BI41" s="870">
        <f t="shared" si="42"/>
        <v>17.780534371153539</v>
      </c>
      <c r="BJ41" s="870">
        <f t="shared" si="42"/>
        <v>18.757434115061756</v>
      </c>
      <c r="BK41" s="870">
        <f t="shared" si="42"/>
        <v>0</v>
      </c>
      <c r="BL41" s="870">
        <f t="shared" si="42"/>
        <v>0</v>
      </c>
      <c r="BM41" s="870">
        <f t="shared" si="42"/>
        <v>0</v>
      </c>
      <c r="BN41" s="870">
        <f t="shared" si="42"/>
        <v>0</v>
      </c>
      <c r="BO41" s="870">
        <f t="shared" si="42"/>
        <v>0</v>
      </c>
      <c r="BP41" s="870">
        <f t="shared" si="42"/>
        <v>0</v>
      </c>
      <c r="BQ41" s="871">
        <f t="shared" si="42"/>
        <v>0</v>
      </c>
      <c r="BR41" s="865">
        <f>BR10/BR$31</f>
        <v>18.388297990062355</v>
      </c>
      <c r="BS41" s="1477">
        <f>BR41-AQ41</f>
        <v>-1.2607401064735271</v>
      </c>
      <c r="BT41" s="870">
        <f>BE41</f>
        <v>17.822332942135915</v>
      </c>
      <c r="BU41" s="870" cm="1">
        <f t="array" ref="BU41">INDEX($AS41:$BD41,,$D$4)</f>
        <v>17.818768695321094</v>
      </c>
      <c r="BV41" s="1104" cm="1">
        <f t="array" ref="BV41">INDEX($BF41:$BQ41,,$D$4)-BU41</f>
        <v>0.93866541974066209</v>
      </c>
      <c r="BW41" s="873">
        <f t="shared" si="34"/>
        <v>0.65312789759722734</v>
      </c>
      <c r="BX41" s="1478">
        <f t="shared" ref="BX41:BX60" si="43">AQ41/$AQ$60</f>
        <v>0.62396446525623883</v>
      </c>
      <c r="BY41" s="874">
        <f t="shared" si="35"/>
        <v>0.61564684923847379</v>
      </c>
      <c r="BZ41" s="875">
        <f t="shared" si="36"/>
        <v>0.59998033057964817</v>
      </c>
      <c r="CA41" s="876">
        <f t="shared" ref="CA41:CA60" si="44">BZ41-BX41</f>
        <v>-2.3984134676590663E-2</v>
      </c>
      <c r="CB41" s="876">
        <f t="shared" si="37"/>
        <v>-1.5666518658825623E-2</v>
      </c>
      <c r="CC41" s="877"/>
      <c r="CD41" s="454" t="s">
        <v>530</v>
      </c>
    </row>
    <row r="42" spans="1:92">
      <c r="A42" s="463">
        <v>4</v>
      </c>
      <c r="B42" s="482">
        <f>B41+1</f>
        <v>2</v>
      </c>
      <c r="C42" s="483" t="s">
        <v>425</v>
      </c>
      <c r="D42" s="483" t="s">
        <v>428</v>
      </c>
      <c r="E42" s="864">
        <f t="shared" si="38"/>
        <v>1.6355703055772661</v>
      </c>
      <c r="F42" s="864">
        <f t="shared" si="38"/>
        <v>1.6970403423469187</v>
      </c>
      <c r="G42" s="864">
        <f t="shared" si="38"/>
        <v>1.5294980442704695</v>
      </c>
      <c r="H42" s="864">
        <f t="shared" si="38"/>
        <v>1.5999950084799575</v>
      </c>
      <c r="I42" s="864">
        <f t="shared" si="38"/>
        <v>1.4673998426013419</v>
      </c>
      <c r="J42" s="864">
        <f t="shared" si="38"/>
        <v>1.7522353347905459</v>
      </c>
      <c r="K42" s="878">
        <f t="shared" si="38"/>
        <v>1.439343975022231</v>
      </c>
      <c r="L42" s="864">
        <f t="shared" si="38"/>
        <v>1.2544633706012231</v>
      </c>
      <c r="M42" s="864">
        <f t="shared" si="38"/>
        <v>1.4452928587946869</v>
      </c>
      <c r="N42" s="864">
        <f t="shared" si="38"/>
        <v>1.3344620640897271</v>
      </c>
      <c r="O42" s="864">
        <f t="shared" si="38"/>
        <v>1.6169318394056482</v>
      </c>
      <c r="P42" s="864">
        <f t="shared" si="38"/>
        <v>1.3372299144579243</v>
      </c>
      <c r="Q42" s="879">
        <f>Q11/$AD$31</f>
        <v>0.77740656314822498</v>
      </c>
      <c r="R42" s="864">
        <f t="shared" si="38"/>
        <v>1.1622871322930903</v>
      </c>
      <c r="S42" s="864">
        <f t="shared" si="38"/>
        <v>1.4181931192939561</v>
      </c>
      <c r="T42" s="864">
        <f t="shared" si="38"/>
        <v>1.045268805609302</v>
      </c>
      <c r="U42" s="864">
        <f t="shared" si="38"/>
        <v>1.3086985539623484</v>
      </c>
      <c r="V42" s="864">
        <f t="shared" si="38"/>
        <v>1.2767598223127639</v>
      </c>
      <c r="W42" s="864">
        <f t="shared" si="38"/>
        <v>1.3856628521080161</v>
      </c>
      <c r="X42" s="878">
        <f t="shared" si="38"/>
        <v>1.6408391126560737</v>
      </c>
      <c r="Y42" s="864">
        <f t="shared" si="38"/>
        <v>1.6168249997434536</v>
      </c>
      <c r="Z42" s="864">
        <f t="shared" si="38"/>
        <v>1.6678543639195218</v>
      </c>
      <c r="AA42" s="864">
        <f t="shared" si="38"/>
        <v>1.2978444293588236</v>
      </c>
      <c r="AB42" s="864">
        <f t="shared" si="38"/>
        <v>1.347615559502173</v>
      </c>
      <c r="AC42" s="864">
        <f t="shared" si="38"/>
        <v>1.4725653212197847</v>
      </c>
      <c r="AD42" s="879">
        <f>AD11/$AD$31</f>
        <v>1.3413999867901256</v>
      </c>
      <c r="AE42" s="880">
        <f t="shared" si="38"/>
        <v>1.7505206005660614</v>
      </c>
      <c r="AF42" s="864">
        <f t="shared" si="39"/>
        <v>1.4215826858321166</v>
      </c>
      <c r="AG42" s="864">
        <f t="shared" si="39"/>
        <v>1.3607828018714536</v>
      </c>
      <c r="AH42" s="864">
        <f t="shared" si="39"/>
        <v>1.5153341381603718</v>
      </c>
      <c r="AI42" s="864">
        <f t="shared" si="39"/>
        <v>1.3728528071508401</v>
      </c>
      <c r="AJ42" s="864">
        <f t="shared" si="39"/>
        <v>1.5185464126831412</v>
      </c>
      <c r="AK42" s="864">
        <f t="shared" si="39"/>
        <v>1.563839696942394</v>
      </c>
      <c r="AL42" s="864">
        <f t="shared" si="39"/>
        <v>1.5936069551146252</v>
      </c>
      <c r="AM42" s="864">
        <f t="shared" si="39"/>
        <v>1.5546075184150701</v>
      </c>
      <c r="AN42" s="864">
        <f t="shared" si="39"/>
        <v>1.9739461756730958</v>
      </c>
      <c r="AO42" s="864">
        <f t="shared" si="39"/>
        <v>1.8736695419330482</v>
      </c>
      <c r="AP42" s="881">
        <f t="shared" si="39"/>
        <v>1.3890400192318204</v>
      </c>
      <c r="AQ42" s="879">
        <f>AQ11/AQ$31</f>
        <v>1.5446285178469712</v>
      </c>
      <c r="AR42" s="872">
        <f t="shared" ref="AR42:AR51" si="45">AQ42-AD42</f>
        <v>0.20322853105684557</v>
      </c>
      <c r="AS42" s="880">
        <f t="shared" si="41"/>
        <v>1.1876964859025252</v>
      </c>
      <c r="AT42" s="864">
        <f t="shared" si="41"/>
        <v>1.1999991367516889</v>
      </c>
      <c r="AU42" s="864">
        <f t="shared" si="41"/>
        <v>1.1682459895644122</v>
      </c>
      <c r="AV42" s="864">
        <f t="shared" si="41"/>
        <v>1.1759953522824378</v>
      </c>
      <c r="AW42" s="864">
        <f t="shared" si="41"/>
        <v>1.1702205199797147</v>
      </c>
      <c r="AX42" s="864">
        <f t="shared" si="41"/>
        <v>1.1857427751143095</v>
      </c>
      <c r="AY42" s="864">
        <f t="shared" si="41"/>
        <v>1.2369834741891641</v>
      </c>
      <c r="AZ42" s="864">
        <f t="shared" si="41"/>
        <v>1.2409797872400641</v>
      </c>
      <c r="BA42" s="864">
        <f t="shared" si="41"/>
        <v>1.2472029766253954</v>
      </c>
      <c r="BB42" s="864">
        <f t="shared" si="41"/>
        <v>1.2743256393367179</v>
      </c>
      <c r="BC42" s="864">
        <f t="shared" si="41"/>
        <v>1.2794990591870163</v>
      </c>
      <c r="BD42" s="881">
        <f t="shared" si="41"/>
        <v>1.2727500051017904</v>
      </c>
      <c r="BE42" s="879">
        <f t="shared" si="41"/>
        <v>1.2213584388998098</v>
      </c>
      <c r="BF42" s="880">
        <f t="shared" si="41"/>
        <v>1.4296972387889886</v>
      </c>
      <c r="BG42" s="864">
        <f t="shared" si="42"/>
        <v>1.3841663171553198</v>
      </c>
      <c r="BH42" s="864">
        <f t="shared" si="42"/>
        <v>1.3377107135922071</v>
      </c>
      <c r="BI42" s="864">
        <f t="shared" si="42"/>
        <v>1.3171969173912532</v>
      </c>
      <c r="BJ42" s="864">
        <f t="shared" si="42"/>
        <v>1.6388900857353923</v>
      </c>
      <c r="BK42" s="864">
        <f t="shared" si="42"/>
        <v>0</v>
      </c>
      <c r="BL42" s="864">
        <f t="shared" si="42"/>
        <v>0</v>
      </c>
      <c r="BM42" s="864">
        <f t="shared" si="42"/>
        <v>0</v>
      </c>
      <c r="BN42" s="864">
        <f t="shared" si="42"/>
        <v>0</v>
      </c>
      <c r="BO42" s="864">
        <f t="shared" si="42"/>
        <v>0</v>
      </c>
      <c r="BP42" s="864">
        <f t="shared" si="42"/>
        <v>0</v>
      </c>
      <c r="BQ42" s="881">
        <f t="shared" si="42"/>
        <v>0</v>
      </c>
      <c r="BR42" s="879">
        <f>BR11/BR$31</f>
        <v>1.4169203858263513</v>
      </c>
      <c r="BS42" s="872">
        <f>BR42-AQ42</f>
        <v>-0.12770813202061992</v>
      </c>
      <c r="BT42" s="864">
        <f t="shared" ref="BT42:BT51" si="46">BE42</f>
        <v>1.2213584388998098</v>
      </c>
      <c r="BU42" s="864" cm="1">
        <f t="array" ref="BU42">INDEX($AS42:$BD42,,$D$4)</f>
        <v>1.1702205199797147</v>
      </c>
      <c r="BV42" s="1105" cm="1">
        <f t="array" ref="BV42">INDEX($BF42:$BQ42,,$D$4)-BU42</f>
        <v>0.46866956575567764</v>
      </c>
      <c r="BW42" s="882">
        <f t="shared" si="34"/>
        <v>4.7338188666920536E-2</v>
      </c>
      <c r="BX42" s="1479">
        <f t="shared" si="43"/>
        <v>4.9050406560504273E-2</v>
      </c>
      <c r="BY42" s="883">
        <f t="shared" si="35"/>
        <v>4.2190070017251877E-2</v>
      </c>
      <c r="BZ42" s="884">
        <f t="shared" si="36"/>
        <v>4.6231813403968779E-2</v>
      </c>
      <c r="CA42" s="885">
        <f t="shared" si="44"/>
        <v>-2.8185931565354941E-3</v>
      </c>
      <c r="CB42" s="885">
        <f t="shared" si="37"/>
        <v>4.041743386716902E-3</v>
      </c>
      <c r="CC42" s="886"/>
    </row>
    <row r="43" spans="1:92">
      <c r="A43" s="463">
        <v>6</v>
      </c>
      <c r="B43" s="482">
        <f t="shared" ref="B43:B51" si="47">B42+1</f>
        <v>3</v>
      </c>
      <c r="C43" s="483" t="s">
        <v>425</v>
      </c>
      <c r="D43" s="483" t="s">
        <v>429</v>
      </c>
      <c r="E43" s="864">
        <f t="shared" ref="E43:AD43" si="48">E12/E37</f>
        <v>0</v>
      </c>
      <c r="F43" s="864">
        <f t="shared" si="48"/>
        <v>0</v>
      </c>
      <c r="G43" s="864">
        <f t="shared" si="48"/>
        <v>0.26946632905994294</v>
      </c>
      <c r="H43" s="864">
        <f t="shared" si="48"/>
        <v>0.21436547703722297</v>
      </c>
      <c r="I43" s="864">
        <f t="shared" si="48"/>
        <v>0.22879719268161985</v>
      </c>
      <c r="J43" s="864">
        <f t="shared" si="48"/>
        <v>0.41097603329150717</v>
      </c>
      <c r="K43" s="864">
        <f t="shared" si="48"/>
        <v>0.29017757755682266</v>
      </c>
      <c r="L43" s="864">
        <f t="shared" si="48"/>
        <v>0.29152150050609871</v>
      </c>
      <c r="M43" s="864">
        <f t="shared" si="48"/>
        <v>0.20179355939086294</v>
      </c>
      <c r="N43" s="864">
        <f t="shared" si="48"/>
        <v>0.32027102905997573</v>
      </c>
      <c r="O43" s="864">
        <f t="shared" si="48"/>
        <v>0.29701082511380883</v>
      </c>
      <c r="P43" s="864">
        <f t="shared" si="48"/>
        <v>0.16340699981627779</v>
      </c>
      <c r="Q43" s="879">
        <f t="shared" si="48"/>
        <v>0.24640421535210622</v>
      </c>
      <c r="R43" s="864">
        <f t="shared" si="48"/>
        <v>0.24444623502090104</v>
      </c>
      <c r="S43" s="864">
        <f t="shared" si="48"/>
        <v>0.1791780523255814</v>
      </c>
      <c r="T43" s="864">
        <f t="shared" si="48"/>
        <v>0.20244940852819809</v>
      </c>
      <c r="U43" s="864">
        <f t="shared" si="48"/>
        <v>0.32910320587316466</v>
      </c>
      <c r="V43" s="864">
        <f t="shared" si="48"/>
        <v>0.25994087445346664</v>
      </c>
      <c r="W43" s="864">
        <f t="shared" si="48"/>
        <v>0.77022842940243263</v>
      </c>
      <c r="X43" s="864">
        <f t="shared" si="48"/>
        <v>0.44817642376681616</v>
      </c>
      <c r="Y43" s="864">
        <f t="shared" si="48"/>
        <v>0.40354968683582737</v>
      </c>
      <c r="Z43" s="864">
        <f t="shared" si="48"/>
        <v>0.27436569754035361</v>
      </c>
      <c r="AA43" s="864">
        <f t="shared" si="48"/>
        <v>0.27069232984238251</v>
      </c>
      <c r="AB43" s="864">
        <f t="shared" si="48"/>
        <v>0.38238949351521989</v>
      </c>
      <c r="AC43" s="864">
        <f t="shared" si="48"/>
        <v>0.57456559857891953</v>
      </c>
      <c r="AD43" s="879">
        <f t="shared" si="48"/>
        <v>0.3481741263468533</v>
      </c>
      <c r="AE43" s="880">
        <f t="shared" ref="AE43:AQ43" si="49">IFERROR(AE12/AE37,0)</f>
        <v>0.40320445935869303</v>
      </c>
      <c r="AF43" s="864">
        <f t="shared" si="49"/>
        <v>0.34628584423943359</v>
      </c>
      <c r="AG43" s="864">
        <f t="shared" si="49"/>
        <v>0.22081367102979224</v>
      </c>
      <c r="AH43" s="864">
        <f t="shared" si="49"/>
        <v>0.30956230697819359</v>
      </c>
      <c r="AI43" s="864">
        <f t="shared" si="49"/>
        <v>0.23381471278994462</v>
      </c>
      <c r="AJ43" s="864">
        <f t="shared" si="49"/>
        <v>0.27547120010628312</v>
      </c>
      <c r="AK43" s="864">
        <f t="shared" si="49"/>
        <v>0.25848504901112157</v>
      </c>
      <c r="AL43" s="864">
        <f t="shared" si="49"/>
        <v>0.33623307057815127</v>
      </c>
      <c r="AM43" s="864">
        <f t="shared" si="49"/>
        <v>0.47505852671560078</v>
      </c>
      <c r="AN43" s="864">
        <f t="shared" si="49"/>
        <v>0.6748114562802191</v>
      </c>
      <c r="AO43" s="864">
        <f t="shared" si="49"/>
        <v>0.60892140502665892</v>
      </c>
      <c r="AP43" s="881">
        <f t="shared" si="49"/>
        <v>0.36191026967280343</v>
      </c>
      <c r="AQ43" s="879">
        <f t="shared" si="49"/>
        <v>0.35394856377166722</v>
      </c>
      <c r="AR43" s="872">
        <f t="shared" si="45"/>
        <v>5.7744374248139274E-3</v>
      </c>
      <c r="AS43" s="880">
        <f t="shared" ref="AS43:BE43" si="50">AS12/AS37</f>
        <v>0.16839993086688171</v>
      </c>
      <c r="AT43" s="864">
        <f t="shared" si="50"/>
        <v>0.16292663663680934</v>
      </c>
      <c r="AU43" s="864">
        <f t="shared" si="50"/>
        <v>0.1543282667620765</v>
      </c>
      <c r="AV43" s="864">
        <f t="shared" si="50"/>
        <v>0.17305310952863076</v>
      </c>
      <c r="AW43" s="864">
        <f t="shared" si="50"/>
        <v>0.16150261887789097</v>
      </c>
      <c r="AX43" s="864">
        <f t="shared" si="50"/>
        <v>0.16463117739523198</v>
      </c>
      <c r="AY43" s="864">
        <f t="shared" si="50"/>
        <v>0.16167429648493012</v>
      </c>
      <c r="AZ43" s="864">
        <f t="shared" si="50"/>
        <v>0.16930055997582086</v>
      </c>
      <c r="BA43" s="864">
        <f t="shared" si="50"/>
        <v>0.15773302232768369</v>
      </c>
      <c r="BB43" s="864">
        <f t="shared" si="50"/>
        <v>0.17400082854373397</v>
      </c>
      <c r="BC43" s="864">
        <f t="shared" si="50"/>
        <v>0.15997100790887209</v>
      </c>
      <c r="BD43" s="881">
        <f t="shared" si="50"/>
        <v>0.15380756856819927</v>
      </c>
      <c r="BE43" s="879">
        <f t="shared" si="50"/>
        <v>0.16328223971593384</v>
      </c>
      <c r="BF43" s="880">
        <f t="shared" ref="BF43:BR43" si="51">IFERROR(BF12/BF37,0)</f>
        <v>0.39672845368104515</v>
      </c>
      <c r="BG43" s="864">
        <f t="shared" si="51"/>
        <v>0.37364425578274252</v>
      </c>
      <c r="BH43" s="864">
        <f t="shared" si="51"/>
        <v>0.55097182133280997</v>
      </c>
      <c r="BI43" s="864">
        <f t="shared" si="51"/>
        <v>0.59141362120551788</v>
      </c>
      <c r="BJ43" s="864">
        <f t="shared" si="51"/>
        <v>0.55539730868331616</v>
      </c>
      <c r="BK43" s="864">
        <f t="shared" si="51"/>
        <v>0</v>
      </c>
      <c r="BL43" s="864">
        <f t="shared" si="51"/>
        <v>0</v>
      </c>
      <c r="BM43" s="864">
        <f t="shared" si="51"/>
        <v>0</v>
      </c>
      <c r="BN43" s="864">
        <f t="shared" si="51"/>
        <v>0</v>
      </c>
      <c r="BO43" s="864">
        <f t="shared" si="51"/>
        <v>0</v>
      </c>
      <c r="BP43" s="864">
        <f t="shared" si="51"/>
        <v>0</v>
      </c>
      <c r="BQ43" s="881">
        <f t="shared" si="51"/>
        <v>0</v>
      </c>
      <c r="BR43" s="879">
        <f t="shared" si="51"/>
        <v>0.50913359242255996</v>
      </c>
      <c r="BS43" s="872">
        <f t="shared" ref="BS43:BS51" si="52">BR43-AQ43</f>
        <v>0.15518502865089273</v>
      </c>
      <c r="BT43" s="864">
        <f t="shared" si="46"/>
        <v>0.16328223971593384</v>
      </c>
      <c r="BU43" s="864" cm="1">
        <f t="array" ref="BU43">INDEX($AS43:$BD43,,$D$4)</f>
        <v>0.16150261887789097</v>
      </c>
      <c r="BV43" s="1105" cm="1">
        <f t="array" ref="BV43">INDEX($BF43:$BQ43,,$D$4)-BU43</f>
        <v>0.39389468980542519</v>
      </c>
      <c r="BW43" s="882">
        <f t="shared" si="34"/>
        <v>1.2287112452854318E-2</v>
      </c>
      <c r="BX43" s="1479">
        <f t="shared" si="43"/>
        <v>1.1239803456889734E-2</v>
      </c>
      <c r="BY43" s="883">
        <f t="shared" si="35"/>
        <v>5.6403500453105415E-3</v>
      </c>
      <c r="BZ43" s="884">
        <f t="shared" si="36"/>
        <v>1.6612203111782155E-2</v>
      </c>
      <c r="CA43" s="885">
        <f t="shared" si="44"/>
        <v>5.3723996548924215E-3</v>
      </c>
      <c r="CB43" s="885">
        <f t="shared" si="37"/>
        <v>1.0971853066471613E-2</v>
      </c>
      <c r="CC43" s="886"/>
      <c r="CD43" s="454" t="s">
        <v>530</v>
      </c>
    </row>
    <row r="44" spans="1:92">
      <c r="A44" s="463">
        <v>7</v>
      </c>
      <c r="B44" s="482">
        <f t="shared" si="47"/>
        <v>4</v>
      </c>
      <c r="C44" s="483" t="s">
        <v>425</v>
      </c>
      <c r="D44" s="483" t="s">
        <v>431</v>
      </c>
      <c r="E44" s="864">
        <f t="shared" ref="E44:P51" si="53">E13/E$31</f>
        <v>8.0188869699078971E-2</v>
      </c>
      <c r="F44" s="864">
        <f t="shared" si="53"/>
        <v>0.11212763652720448</v>
      </c>
      <c r="G44" s="864">
        <f t="shared" si="53"/>
        <v>0.30447516772942329</v>
      </c>
      <c r="H44" s="864">
        <f t="shared" si="53"/>
        <v>0.44827166408115038</v>
      </c>
      <c r="I44" s="864">
        <f t="shared" si="53"/>
        <v>0.51911638446333108</v>
      </c>
      <c r="J44" s="864">
        <f t="shared" si="53"/>
        <v>0.30147998223898326</v>
      </c>
      <c r="K44" s="878">
        <f t="shared" si="53"/>
        <v>0.4841848555978473</v>
      </c>
      <c r="L44" s="864">
        <f t="shared" si="53"/>
        <v>0.49676765227454295</v>
      </c>
      <c r="M44" s="864">
        <f t="shared" si="53"/>
        <v>0.57133953783963121</v>
      </c>
      <c r="N44" s="864">
        <f t="shared" si="53"/>
        <v>0.71146845018922378</v>
      </c>
      <c r="O44" s="864">
        <f t="shared" si="53"/>
        <v>0.89308413748066706</v>
      </c>
      <c r="P44" s="864">
        <f t="shared" si="53"/>
        <v>0.52306922728406158</v>
      </c>
      <c r="Q44" s="879">
        <f t="shared" ref="Q44:Q51" si="54">Q13/$AD$31</f>
        <v>0.26214899795194962</v>
      </c>
      <c r="R44" s="864">
        <f t="shared" ref="R44:AC51" si="55">R13/R$31</f>
        <v>0.36425936944763326</v>
      </c>
      <c r="S44" s="864">
        <f t="shared" si="55"/>
        <v>0.51852029658616339</v>
      </c>
      <c r="T44" s="864">
        <f t="shared" si="55"/>
        <v>0.36103649265037152</v>
      </c>
      <c r="U44" s="864">
        <f t="shared" si="55"/>
        <v>0.23105783178525657</v>
      </c>
      <c r="V44" s="864">
        <f t="shared" si="55"/>
        <v>0.22002076224429171</v>
      </c>
      <c r="W44" s="864">
        <f t="shared" si="55"/>
        <v>0.16915105042825263</v>
      </c>
      <c r="X44" s="878">
        <f t="shared" si="55"/>
        <v>0.57719568503729857</v>
      </c>
      <c r="Y44" s="864">
        <f t="shared" si="55"/>
        <v>0.25052672670239096</v>
      </c>
      <c r="Z44" s="864">
        <f t="shared" si="55"/>
        <v>0.38290180712672073</v>
      </c>
      <c r="AA44" s="864">
        <f t="shared" si="55"/>
        <v>0.44104005837972288</v>
      </c>
      <c r="AB44" s="864">
        <f t="shared" si="55"/>
        <v>0.36032087970905868</v>
      </c>
      <c r="AC44" s="864">
        <f t="shared" si="55"/>
        <v>9.6922859503289022E-2</v>
      </c>
      <c r="AD44" s="879">
        <f t="shared" ref="AD44:AD51" si="56">AD13/$AD$31</f>
        <v>0.32217463623852971</v>
      </c>
      <c r="AE44" s="880">
        <f t="shared" ref="AE44:AE51" si="57">AE13/AE$31</f>
        <v>0.18100559375256492</v>
      </c>
      <c r="AF44" s="864">
        <f t="shared" ref="AF44:AP51" si="58">IFERROR(AF13/AF$31,0)</f>
        <v>0.29789234685009736</v>
      </c>
      <c r="AG44" s="864">
        <f t="shared" si="58"/>
        <v>0.32568813045425887</v>
      </c>
      <c r="AH44" s="864">
        <f t="shared" si="58"/>
        <v>0.4005681645124845</v>
      </c>
      <c r="AI44" s="864">
        <f t="shared" si="58"/>
        <v>0.40608490193873598</v>
      </c>
      <c r="AJ44" s="864">
        <f t="shared" si="58"/>
        <v>0.46447620233467446</v>
      </c>
      <c r="AK44" s="864">
        <f t="shared" si="58"/>
        <v>0.55837626722488676</v>
      </c>
      <c r="AL44" s="864">
        <f t="shared" si="58"/>
        <v>0.50070695074973781</v>
      </c>
      <c r="AM44" s="864">
        <f t="shared" si="58"/>
        <v>0.43078913789636625</v>
      </c>
      <c r="AN44" s="864">
        <f t="shared" si="58"/>
        <v>0.19577298657369221</v>
      </c>
      <c r="AO44" s="864">
        <f t="shared" si="58"/>
        <v>0.249065889656057</v>
      </c>
      <c r="AP44" s="881">
        <f t="shared" si="58"/>
        <v>0.32178934485996619</v>
      </c>
      <c r="AQ44" s="879">
        <f t="shared" ref="AQ44:AQ51" si="59">AQ13/AQ$31</f>
        <v>0.38434713500609036</v>
      </c>
      <c r="AR44" s="872">
        <f t="shared" si="45"/>
        <v>6.2172498767560647E-2</v>
      </c>
      <c r="AS44" s="880">
        <f t="shared" ref="AS44:BF51" si="60">AS13/AS$31</f>
        <v>0.31886622544462456</v>
      </c>
      <c r="AT44" s="864">
        <f t="shared" si="60"/>
        <v>0.32720666102440171</v>
      </c>
      <c r="AU44" s="864">
        <f t="shared" si="60"/>
        <v>0.32224191510539973</v>
      </c>
      <c r="AV44" s="864">
        <f t="shared" si="60"/>
        <v>0.32146636296314846</v>
      </c>
      <c r="AW44" s="864">
        <f t="shared" si="60"/>
        <v>0.32224191510539973</v>
      </c>
      <c r="AX44" s="864">
        <f t="shared" si="60"/>
        <v>0.32329927126707048</v>
      </c>
      <c r="AY44" s="864">
        <f t="shared" si="60"/>
        <v>0.31872981197987044</v>
      </c>
      <c r="AZ44" s="864">
        <f t="shared" si="60"/>
        <v>0.32310372201845883</v>
      </c>
      <c r="BA44" s="864">
        <f t="shared" si="60"/>
        <v>0.31690013452878046</v>
      </c>
      <c r="BB44" s="864">
        <f t="shared" si="60"/>
        <v>0.32236604228782306</v>
      </c>
      <c r="BC44" s="864">
        <f t="shared" si="60"/>
        <v>0.31946761247056454</v>
      </c>
      <c r="BD44" s="881">
        <f t="shared" si="60"/>
        <v>0.32310372201845883</v>
      </c>
      <c r="BE44" s="879">
        <f t="shared" si="60"/>
        <v>0.32147451443467079</v>
      </c>
      <c r="BF44" s="880">
        <f t="shared" si="60"/>
        <v>0.31066962702748069</v>
      </c>
      <c r="BG44" s="864">
        <f t="shared" ref="BG44:BQ51" si="61">IFERROR(BG13/BG$31,0)</f>
        <v>0.15932930042515597</v>
      </c>
      <c r="BH44" s="864">
        <f t="shared" si="61"/>
        <v>0.41204349514626631</v>
      </c>
      <c r="BI44" s="864">
        <f t="shared" si="61"/>
        <v>0.3172782155142545</v>
      </c>
      <c r="BJ44" s="864">
        <f t="shared" si="61"/>
        <v>0.50520515119345388</v>
      </c>
      <c r="BK44" s="864">
        <f t="shared" si="61"/>
        <v>0</v>
      </c>
      <c r="BL44" s="864">
        <f t="shared" si="61"/>
        <v>0</v>
      </c>
      <c r="BM44" s="864">
        <f t="shared" si="61"/>
        <v>0</v>
      </c>
      <c r="BN44" s="864">
        <f t="shared" si="61"/>
        <v>0</v>
      </c>
      <c r="BO44" s="864">
        <f t="shared" si="61"/>
        <v>0</v>
      </c>
      <c r="BP44" s="864">
        <f t="shared" si="61"/>
        <v>0</v>
      </c>
      <c r="BQ44" s="881">
        <f t="shared" si="61"/>
        <v>0</v>
      </c>
      <c r="BR44" s="879">
        <f t="shared" ref="BR44:BR51" si="62">BR13/BR$31</f>
        <v>0.3631170322860709</v>
      </c>
      <c r="BS44" s="872">
        <f t="shared" si="52"/>
        <v>-2.1230102720019461E-2</v>
      </c>
      <c r="BT44" s="864">
        <f t="shared" si="46"/>
        <v>0.32147451443467079</v>
      </c>
      <c r="BU44" s="864" cm="1">
        <f t="array" ref="BU44">INDEX($AS44:$BD44,,$D$4)</f>
        <v>0.32224191510539973</v>
      </c>
      <c r="BV44" s="1105" cm="1">
        <f t="array" ref="BV44">INDEX($BF44:$BQ44,,$D$4)-BU44</f>
        <v>0.18296323608805415</v>
      </c>
      <c r="BW44" s="882">
        <f t="shared" si="34"/>
        <v>1.1369586897380967E-2</v>
      </c>
      <c r="BX44" s="1479">
        <f t="shared" si="43"/>
        <v>1.2205124413144813E-2</v>
      </c>
      <c r="BY44" s="883">
        <f t="shared" si="35"/>
        <v>1.110487457308461E-2</v>
      </c>
      <c r="BZ44" s="884">
        <f t="shared" si="36"/>
        <v>1.1847919649107167E-2</v>
      </c>
      <c r="CA44" s="885">
        <f t="shared" si="44"/>
        <v>-3.5720476403764551E-4</v>
      </c>
      <c r="CB44" s="885">
        <f t="shared" si="37"/>
        <v>7.4304507602255751E-4</v>
      </c>
      <c r="CC44" s="886"/>
      <c r="CD44" s="454" t="s">
        <v>530</v>
      </c>
    </row>
    <row r="45" spans="1:92">
      <c r="A45" s="463">
        <v>8</v>
      </c>
      <c r="B45" s="482">
        <f t="shared" si="47"/>
        <v>5</v>
      </c>
      <c r="C45" s="483" t="s">
        <v>425</v>
      </c>
      <c r="D45" s="483" t="s">
        <v>433</v>
      </c>
      <c r="E45" s="864">
        <f t="shared" si="53"/>
        <v>0.60126000046833838</v>
      </c>
      <c r="F45" s="864">
        <f t="shared" si="53"/>
        <v>0.51470454655731868</v>
      </c>
      <c r="G45" s="864">
        <f t="shared" si="53"/>
        <v>0.332692488462702</v>
      </c>
      <c r="H45" s="864">
        <f t="shared" si="53"/>
        <v>0.37539963020036121</v>
      </c>
      <c r="I45" s="864">
        <f t="shared" si="53"/>
        <v>0.42068124124596873</v>
      </c>
      <c r="J45" s="864">
        <f t="shared" si="53"/>
        <v>0.57616758278915625</v>
      </c>
      <c r="K45" s="878">
        <f t="shared" si="53"/>
        <v>0.34974411270767669</v>
      </c>
      <c r="L45" s="864">
        <f t="shared" si="53"/>
        <v>0.27182426117310265</v>
      </c>
      <c r="M45" s="864">
        <f t="shared" si="53"/>
        <v>0.17359166060022005</v>
      </c>
      <c r="N45" s="864">
        <f t="shared" si="53"/>
        <v>0.25199911026478528</v>
      </c>
      <c r="O45" s="864">
        <f t="shared" si="53"/>
        <v>0.19769562401861837</v>
      </c>
      <c r="P45" s="864">
        <f t="shared" si="53"/>
        <v>0.16890052024676713</v>
      </c>
      <c r="Q45" s="879">
        <f t="shared" si="54"/>
        <v>0.16637840604902243</v>
      </c>
      <c r="R45" s="864">
        <f t="shared" si="55"/>
        <v>0.22104349144633051</v>
      </c>
      <c r="S45" s="864">
        <f t="shared" si="55"/>
        <v>0.17413834605272782</v>
      </c>
      <c r="T45" s="864">
        <f t="shared" si="55"/>
        <v>0.17437910803731205</v>
      </c>
      <c r="U45" s="864">
        <f t="shared" si="55"/>
        <v>0.29511833591119069</v>
      </c>
      <c r="V45" s="864">
        <f t="shared" si="55"/>
        <v>0.21873103381150444</v>
      </c>
      <c r="W45" s="864">
        <f t="shared" si="55"/>
        <v>0.26118333300191449</v>
      </c>
      <c r="X45" s="878">
        <f t="shared" si="55"/>
        <v>0.27901386019468244</v>
      </c>
      <c r="Y45" s="864">
        <f t="shared" si="55"/>
        <v>0.25763787223513829</v>
      </c>
      <c r="Z45" s="864">
        <f t="shared" si="55"/>
        <v>0.21259091368767383</v>
      </c>
      <c r="AA45" s="864">
        <f t="shared" si="55"/>
        <v>0.14382199704817183</v>
      </c>
      <c r="AB45" s="864">
        <f t="shared" si="55"/>
        <v>8.1993322649404857E-2</v>
      </c>
      <c r="AC45" s="864">
        <f t="shared" si="55"/>
        <v>0.21483632356740126</v>
      </c>
      <c r="AD45" s="879">
        <f t="shared" si="56"/>
        <v>0.20405670269460893</v>
      </c>
      <c r="AE45" s="880">
        <f t="shared" si="57"/>
        <v>0.35435973302618701</v>
      </c>
      <c r="AF45" s="864">
        <f t="shared" si="58"/>
        <v>0.21981091352620966</v>
      </c>
      <c r="AG45" s="864">
        <f t="shared" si="58"/>
        <v>0.1432400985499552</v>
      </c>
      <c r="AH45" s="864">
        <f t="shared" si="58"/>
        <v>0.24487784917210284</v>
      </c>
      <c r="AI45" s="864">
        <f t="shared" si="58"/>
        <v>0.15347613145740571</v>
      </c>
      <c r="AJ45" s="864">
        <f t="shared" si="58"/>
        <v>0.17247604379776924</v>
      </c>
      <c r="AK45" s="864">
        <f t="shared" si="58"/>
        <v>0.1623471128043614</v>
      </c>
      <c r="AL45" s="864">
        <f t="shared" si="58"/>
        <v>0.18448897264221953</v>
      </c>
      <c r="AM45" s="864">
        <f t="shared" si="58"/>
        <v>0.18343999659313515</v>
      </c>
      <c r="AN45" s="864">
        <f t="shared" si="58"/>
        <v>0.18375251313991098</v>
      </c>
      <c r="AO45" s="864">
        <f t="shared" si="58"/>
        <v>0.30035538550736612</v>
      </c>
      <c r="AP45" s="881">
        <f t="shared" si="58"/>
        <v>0.19748934534971216</v>
      </c>
      <c r="AQ45" s="879">
        <f t="shared" si="59"/>
        <v>0.19485262570948264</v>
      </c>
      <c r="AR45" s="872">
        <f t="shared" si="45"/>
        <v>-9.2040769851262916E-3</v>
      </c>
      <c r="AS45" s="880">
        <f t="shared" si="60"/>
        <v>0.21576464198462625</v>
      </c>
      <c r="AT45" s="864">
        <f t="shared" si="60"/>
        <v>0.26016092184248485</v>
      </c>
      <c r="AU45" s="864">
        <f t="shared" si="60"/>
        <v>0.22022850084658718</v>
      </c>
      <c r="AV45" s="864">
        <f t="shared" si="60"/>
        <v>0.21856112162204286</v>
      </c>
      <c r="AW45" s="864">
        <f t="shared" si="60"/>
        <v>0.21531319931446263</v>
      </c>
      <c r="AX45" s="864">
        <f t="shared" si="60"/>
        <v>0.21761778373555224</v>
      </c>
      <c r="AY45" s="864">
        <f t="shared" si="60"/>
        <v>0.20955000492934658</v>
      </c>
      <c r="AZ45" s="864">
        <f t="shared" si="60"/>
        <v>0.20281257686037144</v>
      </c>
      <c r="BA45" s="864">
        <f t="shared" si="60"/>
        <v>0.20890688661934964</v>
      </c>
      <c r="BB45" s="864">
        <f t="shared" si="60"/>
        <v>0.21301121497975761</v>
      </c>
      <c r="BC45" s="864">
        <f t="shared" si="60"/>
        <v>0.20893286169191896</v>
      </c>
      <c r="BD45" s="881">
        <f t="shared" si="60"/>
        <v>0.20245451078855298</v>
      </c>
      <c r="BE45" s="879">
        <f t="shared" si="60"/>
        <v>0.21510547305708302</v>
      </c>
      <c r="BF45" s="880">
        <f t="shared" si="60"/>
        <v>0.2522662187778803</v>
      </c>
      <c r="BG45" s="864">
        <f t="shared" si="61"/>
        <v>0.2127243862845784</v>
      </c>
      <c r="BH45" s="864">
        <f t="shared" si="61"/>
        <v>0.19017469912879792</v>
      </c>
      <c r="BI45" s="864">
        <f t="shared" si="61"/>
        <v>0.19992040359652483</v>
      </c>
      <c r="BJ45" s="864">
        <f t="shared" si="61"/>
        <v>0.19067251624274012</v>
      </c>
      <c r="BK45" s="864">
        <f t="shared" si="61"/>
        <v>0</v>
      </c>
      <c r="BL45" s="864">
        <f t="shared" si="61"/>
        <v>0</v>
      </c>
      <c r="BM45" s="864">
        <f t="shared" si="61"/>
        <v>0</v>
      </c>
      <c r="BN45" s="864">
        <f t="shared" si="61"/>
        <v>0</v>
      </c>
      <c r="BO45" s="864">
        <f t="shared" si="61"/>
        <v>0</v>
      </c>
      <c r="BP45" s="864">
        <f t="shared" si="61"/>
        <v>0</v>
      </c>
      <c r="BQ45" s="881">
        <f t="shared" si="61"/>
        <v>0</v>
      </c>
      <c r="BR45" s="879">
        <f t="shared" si="62"/>
        <v>0.20573619396331566</v>
      </c>
      <c r="BS45" s="872">
        <f t="shared" si="52"/>
        <v>1.088356825383302E-2</v>
      </c>
      <c r="BT45" s="864">
        <f t="shared" si="46"/>
        <v>0.21510547305708302</v>
      </c>
      <c r="BU45" s="864" cm="1">
        <f t="array" ref="BU45">INDEX($AS45:$BD45,,$D$4)</f>
        <v>0.21531319931446263</v>
      </c>
      <c r="BV45" s="1105" cm="1">
        <f t="array" ref="BV45">INDEX($BF45:$BQ45,,$D$4)-BU45</f>
        <v>-2.4640683071722513E-2</v>
      </c>
      <c r="BW45" s="882">
        <f t="shared" si="34"/>
        <v>7.2011888967003961E-3</v>
      </c>
      <c r="BX45" s="1479">
        <f t="shared" si="43"/>
        <v>6.1876369625455657E-3</v>
      </c>
      <c r="BY45" s="883">
        <f t="shared" si="35"/>
        <v>7.4305090793390632E-3</v>
      </c>
      <c r="BZ45" s="884">
        <f t="shared" si="36"/>
        <v>6.7128382264099997E-3</v>
      </c>
      <c r="CA45" s="885">
        <f t="shared" si="44"/>
        <v>5.2520126386443409E-4</v>
      </c>
      <c r="CB45" s="885">
        <f t="shared" si="37"/>
        <v>-7.1767085292906343E-4</v>
      </c>
      <c r="CC45" s="886"/>
    </row>
    <row r="46" spans="1:92">
      <c r="A46" s="463">
        <v>9</v>
      </c>
      <c r="B46" s="482">
        <f t="shared" si="47"/>
        <v>6</v>
      </c>
      <c r="C46" s="483" t="s">
        <v>425</v>
      </c>
      <c r="D46" s="483" t="s">
        <v>434</v>
      </c>
      <c r="E46" s="864">
        <f t="shared" si="53"/>
        <v>0.18060981111367147</v>
      </c>
      <c r="F46" s="864">
        <f t="shared" si="53"/>
        <v>0.22610341092340033</v>
      </c>
      <c r="G46" s="864">
        <f t="shared" si="53"/>
        <v>0.181608016560589</v>
      </c>
      <c r="H46" s="864">
        <f t="shared" si="53"/>
        <v>0.18620849308608828</v>
      </c>
      <c r="I46" s="864">
        <f t="shared" si="53"/>
        <v>0.19773086777196672</v>
      </c>
      <c r="J46" s="864">
        <f t="shared" si="53"/>
        <v>0.24403987783692985</v>
      </c>
      <c r="K46" s="864">
        <f t="shared" si="53"/>
        <v>0.17774368084206774</v>
      </c>
      <c r="L46" s="864">
        <f t="shared" si="53"/>
        <v>0.16483302135214681</v>
      </c>
      <c r="M46" s="864">
        <f t="shared" si="53"/>
        <v>0.18885801292704624</v>
      </c>
      <c r="N46" s="864">
        <f t="shared" si="53"/>
        <v>0.16768972593756101</v>
      </c>
      <c r="O46" s="864">
        <f t="shared" si="53"/>
        <v>0.18436035860472857</v>
      </c>
      <c r="P46" s="864">
        <f t="shared" si="53"/>
        <v>0.17536261693775601</v>
      </c>
      <c r="Q46" s="879">
        <f t="shared" si="54"/>
        <v>9.8549699727078097E-2</v>
      </c>
      <c r="R46" s="864">
        <f t="shared" si="55"/>
        <v>0.19249577376217616</v>
      </c>
      <c r="S46" s="864">
        <f t="shared" si="55"/>
        <v>0.14601927283835794</v>
      </c>
      <c r="T46" s="864">
        <f t="shared" si="55"/>
        <v>0.15544548159294574</v>
      </c>
      <c r="U46" s="864">
        <f t="shared" si="55"/>
        <v>0.14937582176795572</v>
      </c>
      <c r="V46" s="864">
        <f t="shared" si="55"/>
        <v>0.15687076841241551</v>
      </c>
      <c r="W46" s="864">
        <f t="shared" si="55"/>
        <v>0.22402134747056165</v>
      </c>
      <c r="X46" s="864">
        <f t="shared" si="55"/>
        <v>0.17222814108691273</v>
      </c>
      <c r="Y46" s="864">
        <f t="shared" si="55"/>
        <v>0.16486599386796169</v>
      </c>
      <c r="Z46" s="864">
        <f t="shared" si="55"/>
        <v>0.18446355088199803</v>
      </c>
      <c r="AA46" s="864">
        <f t="shared" si="55"/>
        <v>0.16472709680717845</v>
      </c>
      <c r="AB46" s="864">
        <f t="shared" si="55"/>
        <v>0.17266014867454996</v>
      </c>
      <c r="AC46" s="864">
        <f t="shared" si="55"/>
        <v>0.18448353831225128</v>
      </c>
      <c r="AD46" s="879">
        <f t="shared" si="56"/>
        <v>0.17167991598156684</v>
      </c>
      <c r="AE46" s="880">
        <f t="shared" si="57"/>
        <v>0.1633613935950419</v>
      </c>
      <c r="AF46" s="864">
        <f t="shared" si="58"/>
        <v>0.17165219090876505</v>
      </c>
      <c r="AG46" s="864">
        <f t="shared" si="58"/>
        <v>0.1638446017354083</v>
      </c>
      <c r="AH46" s="864">
        <f t="shared" si="58"/>
        <v>0.16203070336469236</v>
      </c>
      <c r="AI46" s="864">
        <f t="shared" si="58"/>
        <v>0.19792947772931332</v>
      </c>
      <c r="AJ46" s="864">
        <f t="shared" si="58"/>
        <v>0.17862377562137133</v>
      </c>
      <c r="AK46" s="864">
        <f t="shared" si="58"/>
        <v>0.18766000437123392</v>
      </c>
      <c r="AL46" s="864">
        <f t="shared" si="58"/>
        <v>0.19050488249317998</v>
      </c>
      <c r="AM46" s="864">
        <f t="shared" si="58"/>
        <v>0.19457824242653066</v>
      </c>
      <c r="AN46" s="864">
        <f t="shared" si="58"/>
        <v>0.20030612889179875</v>
      </c>
      <c r="AO46" s="864">
        <f t="shared" si="58"/>
        <v>0.22983563634422788</v>
      </c>
      <c r="AP46" s="881">
        <f t="shared" si="58"/>
        <v>0.20697703665253742</v>
      </c>
      <c r="AQ46" s="879">
        <f t="shared" si="59"/>
        <v>0.18658236910573509</v>
      </c>
      <c r="AR46" s="872">
        <f t="shared" si="45"/>
        <v>1.4902453124168241E-2</v>
      </c>
      <c r="AS46" s="880">
        <f t="shared" si="60"/>
        <v>0.17168348253330823</v>
      </c>
      <c r="AT46" s="864">
        <f t="shared" si="60"/>
        <v>0.17328352155292137</v>
      </c>
      <c r="AU46" s="864">
        <f t="shared" si="60"/>
        <v>0.17175222641212443</v>
      </c>
      <c r="AV46" s="864">
        <f t="shared" si="60"/>
        <v>0.17213277351734957</v>
      </c>
      <c r="AW46" s="864">
        <f t="shared" si="60"/>
        <v>0.17175222641212443</v>
      </c>
      <c r="AX46" s="864">
        <f t="shared" si="60"/>
        <v>0.1738441984748357</v>
      </c>
      <c r="AY46" s="864">
        <f t="shared" si="60"/>
        <v>0.1721393956543803</v>
      </c>
      <c r="AZ46" s="864">
        <f t="shared" si="60"/>
        <v>0.17253259372203042</v>
      </c>
      <c r="BA46" s="864">
        <f t="shared" si="60"/>
        <v>0.17304485003428161</v>
      </c>
      <c r="BB46" s="864">
        <f t="shared" si="60"/>
        <v>0.17289181051406499</v>
      </c>
      <c r="BC46" s="864">
        <f t="shared" si="60"/>
        <v>0.17177427955952199</v>
      </c>
      <c r="BD46" s="881">
        <f t="shared" si="60"/>
        <v>0.17253259372203042</v>
      </c>
      <c r="BE46" s="879">
        <f t="shared" si="60"/>
        <v>0.17243903166580332</v>
      </c>
      <c r="BF46" s="880">
        <f t="shared" si="60"/>
        <v>0.21148088999420181</v>
      </c>
      <c r="BG46" s="864">
        <f t="shared" si="61"/>
        <v>0.19195791673568549</v>
      </c>
      <c r="BH46" s="864">
        <f t="shared" si="61"/>
        <v>0.19018723917738778</v>
      </c>
      <c r="BI46" s="864">
        <f t="shared" si="61"/>
        <v>0.23440053869250738</v>
      </c>
      <c r="BJ46" s="864">
        <f t="shared" si="61"/>
        <v>0.21860373559363172</v>
      </c>
      <c r="BK46" s="864">
        <f t="shared" si="61"/>
        <v>0</v>
      </c>
      <c r="BL46" s="864">
        <f t="shared" si="61"/>
        <v>0</v>
      </c>
      <c r="BM46" s="864">
        <f t="shared" si="61"/>
        <v>0</v>
      </c>
      <c r="BN46" s="864">
        <f t="shared" si="61"/>
        <v>0</v>
      </c>
      <c r="BO46" s="864">
        <f t="shared" si="61"/>
        <v>0</v>
      </c>
      <c r="BP46" s="864">
        <f t="shared" si="61"/>
        <v>0</v>
      </c>
      <c r="BQ46" s="881">
        <f t="shared" si="61"/>
        <v>0</v>
      </c>
      <c r="BR46" s="879">
        <f t="shared" si="62"/>
        <v>0.21143784126198115</v>
      </c>
      <c r="BS46" s="872">
        <f t="shared" si="52"/>
        <v>2.4855472156246061E-2</v>
      </c>
      <c r="BT46" s="864">
        <f t="shared" si="46"/>
        <v>0.17243903166580332</v>
      </c>
      <c r="BU46" s="864" cm="1">
        <f t="array" ref="BU46">INDEX($AS46:$BD46,,$D$4)</f>
        <v>0.17175222641212443</v>
      </c>
      <c r="BV46" s="1105" cm="1">
        <f t="array" ref="BV46">INDEX($BF46:$BQ46,,$D$4)-BU46</f>
        <v>4.6851509181507295E-2</v>
      </c>
      <c r="BW46" s="882">
        <f t="shared" si="34"/>
        <v>6.0586076733934128E-3</v>
      </c>
      <c r="BX46" s="1479">
        <f t="shared" si="43"/>
        <v>5.9250110663598898E-3</v>
      </c>
      <c r="BY46" s="883">
        <f t="shared" si="35"/>
        <v>5.9566582486962737E-3</v>
      </c>
      <c r="BZ46" s="884">
        <f t="shared" si="36"/>
        <v>6.8988737275178583E-3</v>
      </c>
      <c r="CA46" s="885">
        <f t="shared" si="44"/>
        <v>9.7386266115796847E-4</v>
      </c>
      <c r="CB46" s="885">
        <f t="shared" si="37"/>
        <v>9.4221547882158453E-4</v>
      </c>
      <c r="CC46" s="886"/>
      <c r="CD46" s="454" t="s">
        <v>530</v>
      </c>
    </row>
    <row r="47" spans="1:92">
      <c r="A47" s="463">
        <v>10</v>
      </c>
      <c r="B47" s="482">
        <f t="shared" si="47"/>
        <v>7</v>
      </c>
      <c r="C47" s="483" t="s">
        <v>425</v>
      </c>
      <c r="D47" s="483" t="s">
        <v>435</v>
      </c>
      <c r="E47" s="864">
        <f t="shared" si="53"/>
        <v>0.21688327461568246</v>
      </c>
      <c r="F47" s="864">
        <f t="shared" si="53"/>
        <v>0.19599831855888714</v>
      </c>
      <c r="G47" s="864">
        <f t="shared" si="53"/>
        <v>0.17920475968435087</v>
      </c>
      <c r="H47" s="864">
        <f t="shared" si="53"/>
        <v>0.20039261868591468</v>
      </c>
      <c r="I47" s="864">
        <f t="shared" si="53"/>
        <v>9.9995261194913768E-2</v>
      </c>
      <c r="J47" s="864">
        <f t="shared" si="53"/>
        <v>0.2479303163796556</v>
      </c>
      <c r="K47" s="864">
        <f t="shared" si="53"/>
        <v>0.14704682551232476</v>
      </c>
      <c r="L47" s="864">
        <f t="shared" si="53"/>
        <v>0.15480873819647784</v>
      </c>
      <c r="M47" s="864">
        <f t="shared" si="53"/>
        <v>0.17525356160523012</v>
      </c>
      <c r="N47" s="864">
        <f t="shared" si="53"/>
        <v>0.15526461285121548</v>
      </c>
      <c r="O47" s="864">
        <f t="shared" si="53"/>
        <v>0.2567947651596611</v>
      </c>
      <c r="P47" s="864">
        <f t="shared" si="53"/>
        <v>0.10083797901245536</v>
      </c>
      <c r="Q47" s="879">
        <f t="shared" si="54"/>
        <v>8.7574391456592168E-2</v>
      </c>
      <c r="R47" s="864">
        <f t="shared" si="55"/>
        <v>8.0946318197641975E-2</v>
      </c>
      <c r="S47" s="864">
        <f t="shared" si="55"/>
        <v>9.2151969142682991E-2</v>
      </c>
      <c r="T47" s="864">
        <f t="shared" si="55"/>
        <v>8.4277115323424898E-2</v>
      </c>
      <c r="U47" s="864">
        <f t="shared" si="55"/>
        <v>8.6304032437479139E-2</v>
      </c>
      <c r="V47" s="864">
        <f t="shared" si="55"/>
        <v>8.8939596751832065E-2</v>
      </c>
      <c r="W47" s="864">
        <f t="shared" si="55"/>
        <v>0.10167778111739818</v>
      </c>
      <c r="X47" s="864">
        <f t="shared" si="55"/>
        <v>0.169231411512068</v>
      </c>
      <c r="Y47" s="864">
        <f t="shared" si="55"/>
        <v>0.12214887011093087</v>
      </c>
      <c r="Z47" s="864">
        <f t="shared" si="55"/>
        <v>9.4340654533898824E-2</v>
      </c>
      <c r="AA47" s="864">
        <f t="shared" si="55"/>
        <v>7.2484702400022943E-2</v>
      </c>
      <c r="AB47" s="864">
        <f t="shared" si="55"/>
        <v>6.6348175031311532E-2</v>
      </c>
      <c r="AC47" s="864">
        <f t="shared" si="55"/>
        <v>8.7713977955019617E-2</v>
      </c>
      <c r="AD47" s="879">
        <f t="shared" si="56"/>
        <v>8.9762188913614802E-2</v>
      </c>
      <c r="AE47" s="880">
        <f t="shared" si="57"/>
        <v>9.4472927835645551E-2</v>
      </c>
      <c r="AF47" s="864">
        <f t="shared" si="58"/>
        <v>7.4916739650744982E-2</v>
      </c>
      <c r="AG47" s="864">
        <f t="shared" si="58"/>
        <v>5.867962346948933E-2</v>
      </c>
      <c r="AH47" s="864">
        <f t="shared" si="58"/>
        <v>5.8127548737858199E-2</v>
      </c>
      <c r="AI47" s="864">
        <f t="shared" si="58"/>
        <v>5.1440311610900125E-2</v>
      </c>
      <c r="AJ47" s="864">
        <f t="shared" si="58"/>
        <v>5.4473926349566076E-2</v>
      </c>
      <c r="AK47" s="864">
        <f t="shared" si="58"/>
        <v>5.684030571454439E-2</v>
      </c>
      <c r="AL47" s="864">
        <f t="shared" si="58"/>
        <v>4.0998243214815148E-2</v>
      </c>
      <c r="AM47" s="864">
        <f t="shared" si="58"/>
        <v>6.0443821194035866E-2</v>
      </c>
      <c r="AN47" s="864">
        <f t="shared" si="58"/>
        <v>6.7993004860239001E-2</v>
      </c>
      <c r="AO47" s="864">
        <f t="shared" si="58"/>
        <v>8.263402808894213E-2</v>
      </c>
      <c r="AP47" s="881">
        <f t="shared" si="58"/>
        <v>5.3668125509413286E-2</v>
      </c>
      <c r="AQ47" s="879">
        <f t="shared" si="59"/>
        <v>5.9670505342240596E-2</v>
      </c>
      <c r="AR47" s="872">
        <f t="shared" si="45"/>
        <v>-3.0091683571374206E-2</v>
      </c>
      <c r="AS47" s="880">
        <f t="shared" si="60"/>
        <v>5.863969658659924E-2</v>
      </c>
      <c r="AT47" s="864">
        <f t="shared" si="60"/>
        <v>7.1469953775038522E-2</v>
      </c>
      <c r="AU47" s="864">
        <f t="shared" si="60"/>
        <v>5.595174909529553E-2</v>
      </c>
      <c r="AV47" s="864">
        <f t="shared" si="60"/>
        <v>5.5817087845968706E-2</v>
      </c>
      <c r="AW47" s="864">
        <f t="shared" si="60"/>
        <v>5.595174909529553E-2</v>
      </c>
      <c r="AX47" s="864">
        <f t="shared" si="60"/>
        <v>5.4827423167848693E-2</v>
      </c>
      <c r="AY47" s="864">
        <f t="shared" si="60"/>
        <v>5.3561200923787529E-2</v>
      </c>
      <c r="AZ47" s="864">
        <f t="shared" si="60"/>
        <v>5.3070938215102975E-2</v>
      </c>
      <c r="BA47" s="864">
        <f t="shared" si="60"/>
        <v>5.3253731343283581E-2</v>
      </c>
      <c r="BB47" s="864">
        <f t="shared" si="60"/>
        <v>5.2949771689497716E-2</v>
      </c>
      <c r="BC47" s="864">
        <f t="shared" si="60"/>
        <v>5.3685185185185183E-2</v>
      </c>
      <c r="BD47" s="881">
        <f t="shared" si="60"/>
        <v>5.3070938215102975E-2</v>
      </c>
      <c r="BE47" s="879">
        <f t="shared" si="60"/>
        <v>5.5660800000000003E-2</v>
      </c>
      <c r="BF47" s="880">
        <f t="shared" si="60"/>
        <v>5.6262493227242111E-2</v>
      </c>
      <c r="BG47" s="864">
        <f t="shared" si="61"/>
        <v>5.9392774004748496E-2</v>
      </c>
      <c r="BH47" s="864">
        <f t="shared" si="61"/>
        <v>8.0017806565223101E-2</v>
      </c>
      <c r="BI47" s="864">
        <f t="shared" si="61"/>
        <v>9.0513135824035668E-2</v>
      </c>
      <c r="BJ47" s="864">
        <f t="shared" si="61"/>
        <v>9.9345284664771341E-2</v>
      </c>
      <c r="BK47" s="864">
        <f t="shared" si="61"/>
        <v>0</v>
      </c>
      <c r="BL47" s="864">
        <f t="shared" si="61"/>
        <v>0</v>
      </c>
      <c r="BM47" s="864">
        <f t="shared" si="61"/>
        <v>0</v>
      </c>
      <c r="BN47" s="864">
        <f t="shared" si="61"/>
        <v>0</v>
      </c>
      <c r="BO47" s="864">
        <f t="shared" si="61"/>
        <v>0</v>
      </c>
      <c r="BP47" s="864">
        <f t="shared" si="61"/>
        <v>0</v>
      </c>
      <c r="BQ47" s="881">
        <f t="shared" si="61"/>
        <v>0</v>
      </c>
      <c r="BR47" s="879">
        <f t="shared" si="62"/>
        <v>8.0597361951392887E-2</v>
      </c>
      <c r="BS47" s="872">
        <f t="shared" si="52"/>
        <v>2.0926856609152292E-2</v>
      </c>
      <c r="BT47" s="864">
        <f t="shared" si="46"/>
        <v>5.5660800000000003E-2</v>
      </c>
      <c r="BU47" s="864" cm="1">
        <f t="array" ref="BU47">INDEX($AS47:$BD47,,$D$4)</f>
        <v>5.595174909529553E-2</v>
      </c>
      <c r="BV47" s="1105" cm="1">
        <f t="array" ref="BV47">INDEX($BF47:$BQ47,,$D$4)-BU47</f>
        <v>4.3393535569475811E-2</v>
      </c>
      <c r="BW47" s="882">
        <f t="shared" si="34"/>
        <v>3.1677199014415107E-3</v>
      </c>
      <c r="BX47" s="1479">
        <f t="shared" si="43"/>
        <v>1.8948650195759317E-3</v>
      </c>
      <c r="BY47" s="883">
        <f t="shared" si="35"/>
        <v>1.9227222528806643E-3</v>
      </c>
      <c r="BZ47" s="884">
        <f t="shared" si="36"/>
        <v>2.6297611607979106E-3</v>
      </c>
      <c r="CA47" s="885">
        <f t="shared" si="44"/>
        <v>7.3489614122197885E-4</v>
      </c>
      <c r="CB47" s="885">
        <f t="shared" si="37"/>
        <v>7.0703890791724627E-4</v>
      </c>
      <c r="CC47" s="886"/>
    </row>
    <row r="48" spans="1:92">
      <c r="A48" s="463">
        <v>11</v>
      </c>
      <c r="B48" s="482">
        <f t="shared" si="47"/>
        <v>8</v>
      </c>
      <c r="C48" s="483" t="s">
        <v>425</v>
      </c>
      <c r="D48" s="483" t="s">
        <v>436</v>
      </c>
      <c r="E48" s="864">
        <f t="shared" si="53"/>
        <v>0.22405215814092708</v>
      </c>
      <c r="F48" s="864">
        <f t="shared" si="53"/>
        <v>0.1501586353246451</v>
      </c>
      <c r="G48" s="864">
        <f t="shared" si="53"/>
        <v>0.27349383878373518</v>
      </c>
      <c r="H48" s="864">
        <f t="shared" si="53"/>
        <v>0.25579786554243594</v>
      </c>
      <c r="I48" s="864">
        <f t="shared" si="53"/>
        <v>0.14712185972568417</v>
      </c>
      <c r="J48" s="864">
        <f t="shared" si="53"/>
        <v>0.17766667414406351</v>
      </c>
      <c r="K48" s="864">
        <f t="shared" si="53"/>
        <v>9.4097759355301056E-2</v>
      </c>
      <c r="L48" s="864">
        <f t="shared" si="53"/>
        <v>6.0892762134734602E-2</v>
      </c>
      <c r="M48" s="864">
        <f t="shared" si="53"/>
        <v>0.10406742368980243</v>
      </c>
      <c r="N48" s="864">
        <f t="shared" si="53"/>
        <v>7.1622517538780475E-2</v>
      </c>
      <c r="O48" s="864">
        <f t="shared" si="53"/>
        <v>8.0112975263217964E-2</v>
      </c>
      <c r="P48" s="864">
        <f t="shared" si="53"/>
        <v>5.9962660562601786E-2</v>
      </c>
      <c r="Q48" s="879">
        <f t="shared" si="54"/>
        <v>6.5260353702097512E-2</v>
      </c>
      <c r="R48" s="864">
        <f t="shared" si="55"/>
        <v>3.5576873302160153E-2</v>
      </c>
      <c r="S48" s="864">
        <f t="shared" si="55"/>
        <v>4.7517225001042211E-2</v>
      </c>
      <c r="T48" s="864">
        <f t="shared" si="55"/>
        <v>2.6750609524719804E-2</v>
      </c>
      <c r="U48" s="864">
        <f t="shared" si="55"/>
        <v>4.7752052472964539E-2</v>
      </c>
      <c r="V48" s="864">
        <f t="shared" si="55"/>
        <v>6.9009795206971689E-2</v>
      </c>
      <c r="W48" s="864">
        <f t="shared" si="55"/>
        <v>8.4457196835146117E-2</v>
      </c>
      <c r="X48" s="864">
        <f t="shared" si="55"/>
        <v>0.1000915965504087</v>
      </c>
      <c r="Y48" s="864">
        <f t="shared" si="55"/>
        <v>0.10593187896008477</v>
      </c>
      <c r="Z48" s="864">
        <f t="shared" si="55"/>
        <v>5.1820617470238355E-2</v>
      </c>
      <c r="AA48" s="864">
        <f t="shared" si="55"/>
        <v>6.341755768299305E-2</v>
      </c>
      <c r="AB48" s="864">
        <f t="shared" si="55"/>
        <v>5.700006826657552E-2</v>
      </c>
      <c r="AC48" s="864">
        <f t="shared" si="55"/>
        <v>9.246188764977098E-2</v>
      </c>
      <c r="AD48" s="879">
        <f t="shared" si="56"/>
        <v>6.0344766034073405E-2</v>
      </c>
      <c r="AE48" s="880">
        <f t="shared" si="57"/>
        <v>0.11456202836175508</v>
      </c>
      <c r="AF48" s="864">
        <f t="shared" si="58"/>
        <v>6.3708095585584795E-2</v>
      </c>
      <c r="AG48" s="864">
        <f t="shared" si="58"/>
        <v>5.8668690065368151E-2</v>
      </c>
      <c r="AH48" s="864">
        <f t="shared" si="58"/>
        <v>4.7861923527652062E-2</v>
      </c>
      <c r="AI48" s="864">
        <f t="shared" si="58"/>
        <v>6.0989997454944329E-2</v>
      </c>
      <c r="AJ48" s="864">
        <f t="shared" si="58"/>
        <v>7.347957980868304E-2</v>
      </c>
      <c r="AK48" s="864">
        <f t="shared" si="58"/>
        <v>0.10387239635911724</v>
      </c>
      <c r="AL48" s="864">
        <f t="shared" si="58"/>
        <v>9.6310601458528808E-2</v>
      </c>
      <c r="AM48" s="864">
        <f t="shared" si="58"/>
        <v>9.846264236612029E-2</v>
      </c>
      <c r="AN48" s="864">
        <f t="shared" si="58"/>
        <v>0.14697629711920726</v>
      </c>
      <c r="AO48" s="864">
        <f t="shared" si="58"/>
        <v>7.5826069196642823E-2</v>
      </c>
      <c r="AP48" s="881">
        <f t="shared" si="58"/>
        <v>7.8889053607432758E-2</v>
      </c>
      <c r="AQ48" s="879">
        <f t="shared" si="59"/>
        <v>8.2818258735924938E-2</v>
      </c>
      <c r="AR48" s="872">
        <f t="shared" si="45"/>
        <v>2.2473492701851533E-2</v>
      </c>
      <c r="AS48" s="880">
        <f t="shared" si="60"/>
        <v>0.11440967467187646</v>
      </c>
      <c r="AT48" s="864">
        <f t="shared" si="60"/>
        <v>0.11155383995741668</v>
      </c>
      <c r="AU48" s="864">
        <f t="shared" si="60"/>
        <v>0.11384383671511566</v>
      </c>
      <c r="AV48" s="864">
        <f t="shared" si="60"/>
        <v>0.11356984432831635</v>
      </c>
      <c r="AW48" s="864">
        <f t="shared" si="60"/>
        <v>0.11384383671511566</v>
      </c>
      <c r="AX48" s="864">
        <f t="shared" si="60"/>
        <v>0.11155619460618307</v>
      </c>
      <c r="AY48" s="864">
        <f t="shared" si="60"/>
        <v>0.11475571741849341</v>
      </c>
      <c r="AZ48" s="864">
        <f t="shared" si="60"/>
        <v>0.11370532183571544</v>
      </c>
      <c r="BA48" s="864">
        <f t="shared" si="60"/>
        <v>0.11409695899473626</v>
      </c>
      <c r="BB48" s="864">
        <f t="shared" si="60"/>
        <v>0.11344572064430969</v>
      </c>
      <c r="BC48" s="864">
        <f t="shared" si="60"/>
        <v>0.11502135565325844</v>
      </c>
      <c r="BD48" s="881">
        <f t="shared" si="60"/>
        <v>0.11370532183571544</v>
      </c>
      <c r="BE48" s="879">
        <f t="shared" si="60"/>
        <v>0.11366733650516329</v>
      </c>
      <c r="BF48" s="880">
        <f t="shared" si="60"/>
        <v>8.7970545943766215E-2</v>
      </c>
      <c r="BG48" s="864">
        <f t="shared" si="61"/>
        <v>4.4184172050135272E-2</v>
      </c>
      <c r="BH48" s="864">
        <f t="shared" si="61"/>
        <v>8.1501785143039282E-2</v>
      </c>
      <c r="BI48" s="864">
        <f t="shared" si="61"/>
        <v>0.1048695744218444</v>
      </c>
      <c r="BJ48" s="864">
        <f t="shared" si="61"/>
        <v>0.10735032685887591</v>
      </c>
      <c r="BK48" s="864">
        <f t="shared" si="61"/>
        <v>0</v>
      </c>
      <c r="BL48" s="864">
        <f t="shared" si="61"/>
        <v>0</v>
      </c>
      <c r="BM48" s="864">
        <f t="shared" si="61"/>
        <v>0</v>
      </c>
      <c r="BN48" s="864">
        <f t="shared" si="61"/>
        <v>0</v>
      </c>
      <c r="BO48" s="864">
        <f t="shared" si="61"/>
        <v>0</v>
      </c>
      <c r="BP48" s="864">
        <f t="shared" si="61"/>
        <v>0</v>
      </c>
      <c r="BQ48" s="881">
        <f t="shared" si="61"/>
        <v>0</v>
      </c>
      <c r="BR48" s="879">
        <f t="shared" si="62"/>
        <v>9.0127158877348235E-2</v>
      </c>
      <c r="BS48" s="872">
        <f t="shared" si="52"/>
        <v>7.3089001414232968E-3</v>
      </c>
      <c r="BT48" s="864">
        <f t="shared" si="46"/>
        <v>0.11366733650516329</v>
      </c>
      <c r="BU48" s="864" cm="1">
        <f t="array" ref="BU48">INDEX($AS48:$BD48,,$D$4)</f>
        <v>0.11384383671511566</v>
      </c>
      <c r="BV48" s="1105" cm="1">
        <f t="array" ref="BV48">INDEX($BF48:$BQ48,,$D$4)-BU48</f>
        <v>-6.4935098562397542E-3</v>
      </c>
      <c r="BW48" s="882">
        <f t="shared" si="34"/>
        <v>2.1295750318425254E-3</v>
      </c>
      <c r="BX48" s="1479">
        <f t="shared" si="43"/>
        <v>2.6299328380214515E-3</v>
      </c>
      <c r="BY48" s="883">
        <f t="shared" si="35"/>
        <v>3.9264745983556134E-3</v>
      </c>
      <c r="BZ48" s="884">
        <f t="shared" si="36"/>
        <v>2.9407029735247672E-3</v>
      </c>
      <c r="CA48" s="885">
        <f t="shared" si="44"/>
        <v>3.1077013550331574E-4</v>
      </c>
      <c r="CB48" s="885">
        <f t="shared" si="37"/>
        <v>-9.8577162483084622E-4</v>
      </c>
      <c r="CC48" s="886"/>
      <c r="CD48" s="454" t="s">
        <v>530</v>
      </c>
    </row>
    <row r="49" spans="1:82">
      <c r="A49" s="463">
        <v>12</v>
      </c>
      <c r="B49" s="482">
        <f t="shared" si="47"/>
        <v>9</v>
      </c>
      <c r="C49" s="483" t="s">
        <v>425</v>
      </c>
      <c r="D49" s="483" t="s">
        <v>437</v>
      </c>
      <c r="E49" s="864">
        <f t="shared" si="53"/>
        <v>0.11029086736621045</v>
      </c>
      <c r="F49" s="864">
        <f t="shared" si="53"/>
        <v>8.6613786440148957E-2</v>
      </c>
      <c r="G49" s="864">
        <f t="shared" si="53"/>
        <v>9.4851200613003131E-2</v>
      </c>
      <c r="H49" s="864">
        <f t="shared" si="53"/>
        <v>7.2547910420568379E-2</v>
      </c>
      <c r="I49" s="864">
        <f t="shared" si="53"/>
        <v>8.5681208232107745E-2</v>
      </c>
      <c r="J49" s="864">
        <f t="shared" si="53"/>
        <v>0.12757359902723464</v>
      </c>
      <c r="K49" s="864">
        <f t="shared" si="53"/>
        <v>6.2026953201573552E-2</v>
      </c>
      <c r="L49" s="864">
        <f t="shared" si="53"/>
        <v>3.9568686465856068E-2</v>
      </c>
      <c r="M49" s="864">
        <f t="shared" si="53"/>
        <v>2.9329126602713057E-2</v>
      </c>
      <c r="N49" s="864">
        <f t="shared" si="53"/>
        <v>2.2354418924927944E-2</v>
      </c>
      <c r="O49" s="864">
        <f t="shared" si="53"/>
        <v>2.8882135325543502E-2</v>
      </c>
      <c r="P49" s="864">
        <f t="shared" si="53"/>
        <v>3.0372483986942249E-2</v>
      </c>
      <c r="Q49" s="879">
        <f t="shared" si="54"/>
        <v>3.0350639052575047E-2</v>
      </c>
      <c r="R49" s="864">
        <f t="shared" si="55"/>
        <v>1.46039738745108E-2</v>
      </c>
      <c r="S49" s="864">
        <f t="shared" si="55"/>
        <v>2.2448970135677343E-2</v>
      </c>
      <c r="T49" s="864">
        <f t="shared" si="55"/>
        <v>1.469996781333696E-2</v>
      </c>
      <c r="U49" s="864">
        <f t="shared" si="55"/>
        <v>3.4134321793031018E-2</v>
      </c>
      <c r="V49" s="864">
        <f t="shared" si="55"/>
        <v>2.5952324816795408E-2</v>
      </c>
      <c r="W49" s="864">
        <f t="shared" si="55"/>
        <v>2.3417864483289263E-2</v>
      </c>
      <c r="X49" s="864">
        <f t="shared" si="55"/>
        <v>3.9132589379476473E-2</v>
      </c>
      <c r="Y49" s="864">
        <f t="shared" si="55"/>
        <v>3.6270317308470724E-2</v>
      </c>
      <c r="Z49" s="864">
        <f t="shared" si="55"/>
        <v>2.1561051106778355E-2</v>
      </c>
      <c r="AA49" s="864">
        <f t="shared" si="55"/>
        <v>2.0357381311664084E-2</v>
      </c>
      <c r="AB49" s="864">
        <f t="shared" si="55"/>
        <v>1.5656766128554336E-2</v>
      </c>
      <c r="AC49" s="864">
        <f t="shared" si="55"/>
        <v>2.1628591706228283E-2</v>
      </c>
      <c r="AD49" s="879">
        <f t="shared" si="56"/>
        <v>2.2706169441688132E-2</v>
      </c>
      <c r="AE49" s="880">
        <f t="shared" si="57"/>
        <v>2.4855471805388944E-2</v>
      </c>
      <c r="AF49" s="864">
        <f t="shared" si="58"/>
        <v>1.7936448733390908E-2</v>
      </c>
      <c r="AG49" s="864">
        <f t="shared" si="58"/>
        <v>1.4196899367886649E-2</v>
      </c>
      <c r="AH49" s="864">
        <f t="shared" si="58"/>
        <v>2.4297692728598483E-2</v>
      </c>
      <c r="AI49" s="864">
        <f t="shared" si="58"/>
        <v>1.7596875400577056E-2</v>
      </c>
      <c r="AJ49" s="864">
        <f t="shared" si="58"/>
        <v>1.717739736271141E-2</v>
      </c>
      <c r="AK49" s="864">
        <f t="shared" si="58"/>
        <v>3.043917221894489E-2</v>
      </c>
      <c r="AL49" s="864">
        <f t="shared" si="58"/>
        <v>2.0961030524785283E-2</v>
      </c>
      <c r="AM49" s="864">
        <f t="shared" si="58"/>
        <v>3.1065872126665121E-2</v>
      </c>
      <c r="AN49" s="864">
        <f t="shared" si="58"/>
        <v>4.3083517595602659E-2</v>
      </c>
      <c r="AO49" s="864">
        <f t="shared" si="58"/>
        <v>2.3265903601959827E-2</v>
      </c>
      <c r="AP49" s="881">
        <f t="shared" si="58"/>
        <v>2.2513588904583905E-2</v>
      </c>
      <c r="AQ49" s="879">
        <f t="shared" si="59"/>
        <v>2.3539575467960615E-2</v>
      </c>
      <c r="AR49" s="872">
        <f t="shared" si="45"/>
        <v>8.3340602627248253E-4</v>
      </c>
      <c r="AS49" s="880">
        <f t="shared" si="60"/>
        <v>2.9799893569321535E-2</v>
      </c>
      <c r="AT49" s="864">
        <f t="shared" si="60"/>
        <v>4.0095093703133022E-2</v>
      </c>
      <c r="AU49" s="864">
        <f t="shared" si="60"/>
        <v>3.0378905975070369E-2</v>
      </c>
      <c r="AV49" s="864">
        <f t="shared" si="60"/>
        <v>2.9186658307260333E-2</v>
      </c>
      <c r="AW49" s="864">
        <f t="shared" si="60"/>
        <v>2.9519560691596305E-2</v>
      </c>
      <c r="AX49" s="864">
        <f t="shared" si="60"/>
        <v>3.1516918502758083E-2</v>
      </c>
      <c r="AY49" s="864">
        <f t="shared" si="60"/>
        <v>2.9046319923017708E-2</v>
      </c>
      <c r="AZ49" s="864">
        <f t="shared" si="60"/>
        <v>3.055390509534707E-2</v>
      </c>
      <c r="BA49" s="864">
        <f t="shared" si="60"/>
        <v>2.8130557765021054E-2</v>
      </c>
      <c r="BB49" s="864">
        <f t="shared" si="60"/>
        <v>3.0484147321156778E-2</v>
      </c>
      <c r="BC49" s="864">
        <f t="shared" si="60"/>
        <v>2.8071890108024695E-2</v>
      </c>
      <c r="BD49" s="881">
        <f t="shared" si="60"/>
        <v>2.6969926559877958E-2</v>
      </c>
      <c r="BE49" s="879">
        <f t="shared" si="60"/>
        <v>3.0105657043999999E-2</v>
      </c>
      <c r="BF49" s="880">
        <f t="shared" si="60"/>
        <v>2.4412645084304661E-2</v>
      </c>
      <c r="BG49" s="864">
        <f t="shared" si="61"/>
        <v>2.2889018828336369E-2</v>
      </c>
      <c r="BH49" s="864">
        <f t="shared" si="61"/>
        <v>2.320619541258314E-2</v>
      </c>
      <c r="BI49" s="864">
        <f t="shared" si="61"/>
        <v>2.5077589211908221E-2</v>
      </c>
      <c r="BJ49" s="864">
        <f t="shared" si="61"/>
        <v>2.3418515192828088E-2</v>
      </c>
      <c r="BK49" s="864">
        <f t="shared" si="61"/>
        <v>0</v>
      </c>
      <c r="BL49" s="864">
        <f t="shared" si="61"/>
        <v>0</v>
      </c>
      <c r="BM49" s="864">
        <f t="shared" si="61"/>
        <v>0</v>
      </c>
      <c r="BN49" s="864">
        <f t="shared" si="61"/>
        <v>0</v>
      </c>
      <c r="BO49" s="864">
        <f t="shared" si="61"/>
        <v>0</v>
      </c>
      <c r="BP49" s="864">
        <f t="shared" si="61"/>
        <v>0</v>
      </c>
      <c r="BQ49" s="881">
        <f t="shared" si="61"/>
        <v>0</v>
      </c>
      <c r="BR49" s="879">
        <f t="shared" si="62"/>
        <v>2.3905142377902151E-2</v>
      </c>
      <c r="BS49" s="872">
        <f t="shared" si="52"/>
        <v>3.6556690994153651E-4</v>
      </c>
      <c r="BT49" s="864">
        <f t="shared" si="46"/>
        <v>3.0105657043999999E-2</v>
      </c>
      <c r="BU49" s="864" cm="1">
        <f t="array" ref="BU49">INDEX($AS49:$BD49,,$D$4)</f>
        <v>2.9519560691596305E-2</v>
      </c>
      <c r="BV49" s="1105" cm="1">
        <f t="array" ref="BV49">INDEX($BF49:$BQ49,,$D$4)-BU49</f>
        <v>-6.1010454987682171E-3</v>
      </c>
      <c r="BW49" s="882">
        <f t="shared" si="34"/>
        <v>8.013038195309538E-4</v>
      </c>
      <c r="BX49" s="1479">
        <f t="shared" si="43"/>
        <v>7.4751031307809346E-4</v>
      </c>
      <c r="BY49" s="883">
        <f t="shared" si="35"/>
        <v>1.0399566074525037E-3</v>
      </c>
      <c r="BZ49" s="884">
        <f t="shared" si="36"/>
        <v>7.7998601252810419E-4</v>
      </c>
      <c r="CA49" s="885">
        <f t="shared" si="44"/>
        <v>3.2475699450010731E-5</v>
      </c>
      <c r="CB49" s="885">
        <f t="shared" si="37"/>
        <v>-2.5997059492439956E-4</v>
      </c>
      <c r="CC49" s="886"/>
    </row>
    <row r="50" spans="1:82">
      <c r="A50" s="463">
        <v>13</v>
      </c>
      <c r="B50" s="482">
        <f t="shared" si="47"/>
        <v>10</v>
      </c>
      <c r="C50" s="483" t="s">
        <v>425</v>
      </c>
      <c r="D50" s="483" t="s">
        <v>438</v>
      </c>
      <c r="E50" s="864">
        <f t="shared" si="53"/>
        <v>0.1760555517281519</v>
      </c>
      <c r="F50" s="864">
        <f t="shared" si="53"/>
        <v>0.10810488275811422</v>
      </c>
      <c r="G50" s="864">
        <f t="shared" si="53"/>
        <v>8.0215501495383174E-2</v>
      </c>
      <c r="H50" s="864">
        <f t="shared" si="53"/>
        <v>8.0337215626699682E-2</v>
      </c>
      <c r="I50" s="864">
        <f t="shared" si="53"/>
        <v>8.1967325301965904E-2</v>
      </c>
      <c r="J50" s="864">
        <f t="shared" si="53"/>
        <v>6.607995492449259E-2</v>
      </c>
      <c r="K50" s="864">
        <f t="shared" si="53"/>
        <v>5.0517455011047825E-2</v>
      </c>
      <c r="L50" s="864">
        <f t="shared" si="53"/>
        <v>5.5136656182133564E-2</v>
      </c>
      <c r="M50" s="864">
        <f t="shared" si="53"/>
        <v>6.4390838289973412E-2</v>
      </c>
      <c r="N50" s="864">
        <f t="shared" si="53"/>
        <v>4.8890250261522175E-2</v>
      </c>
      <c r="O50" s="864">
        <f t="shared" si="53"/>
        <v>6.5526330992819806E-2</v>
      </c>
      <c r="P50" s="864">
        <f t="shared" si="53"/>
        <v>3.4204029614716323E-2</v>
      </c>
      <c r="Q50" s="879">
        <f t="shared" si="54"/>
        <v>3.4821989353318636E-2</v>
      </c>
      <c r="R50" s="864">
        <f t="shared" si="55"/>
        <v>2.7104194689777188E-2</v>
      </c>
      <c r="S50" s="864">
        <f t="shared" si="55"/>
        <v>3.8902894992041699E-2</v>
      </c>
      <c r="T50" s="864">
        <f t="shared" si="55"/>
        <v>2.8546751740755216E-2</v>
      </c>
      <c r="U50" s="864">
        <f t="shared" si="55"/>
        <v>3.2231397837869602E-2</v>
      </c>
      <c r="V50" s="864">
        <f t="shared" si="55"/>
        <v>2.9557060804119632E-2</v>
      </c>
      <c r="W50" s="864">
        <f t="shared" si="55"/>
        <v>3.801910374156544E-2</v>
      </c>
      <c r="X50" s="864">
        <f t="shared" si="55"/>
        <v>5.474811725524318E-2</v>
      </c>
      <c r="Y50" s="864">
        <f t="shared" si="55"/>
        <v>4.9621029083284217E-2</v>
      </c>
      <c r="Z50" s="864">
        <f t="shared" si="55"/>
        <v>3.5646642385508576E-2</v>
      </c>
      <c r="AA50" s="864">
        <f t="shared" si="55"/>
        <v>2.9550425590368565E-2</v>
      </c>
      <c r="AB50" s="864">
        <f t="shared" si="55"/>
        <v>2.9545313195949986E-2</v>
      </c>
      <c r="AC50" s="864">
        <f t="shared" si="55"/>
        <v>3.7812935597966411E-2</v>
      </c>
      <c r="AD50" s="879">
        <f t="shared" si="56"/>
        <v>3.3800688161189509E-2</v>
      </c>
      <c r="AE50" s="880">
        <f t="shared" si="57"/>
        <v>4.9870877862035271E-2</v>
      </c>
      <c r="AF50" s="864">
        <f t="shared" si="58"/>
        <v>4.7440439919844889E-2</v>
      </c>
      <c r="AG50" s="864">
        <f t="shared" si="58"/>
        <v>2.5097927796396455E-2</v>
      </c>
      <c r="AH50" s="864">
        <f t="shared" si="58"/>
        <v>3.0239938907830718E-2</v>
      </c>
      <c r="AI50" s="864">
        <f t="shared" si="58"/>
        <v>3.4370510818971571E-2</v>
      </c>
      <c r="AJ50" s="864">
        <f t="shared" si="58"/>
        <v>3.7621965323655096E-2</v>
      </c>
      <c r="AK50" s="864">
        <f t="shared" si="58"/>
        <v>3.6613709846960767E-2</v>
      </c>
      <c r="AL50" s="864">
        <f t="shared" si="58"/>
        <v>4.62491230569003E-2</v>
      </c>
      <c r="AM50" s="864">
        <f t="shared" si="58"/>
        <v>3.9553964124308415E-2</v>
      </c>
      <c r="AN50" s="864">
        <f t="shared" si="58"/>
        <v>5.9610487731567109E-2</v>
      </c>
      <c r="AO50" s="864">
        <f t="shared" si="58"/>
        <v>6.0457124311797658E-2</v>
      </c>
      <c r="AP50" s="881">
        <f t="shared" si="58"/>
        <v>3.8493025537891738E-2</v>
      </c>
      <c r="AQ50" s="879">
        <f t="shared" si="59"/>
        <v>4.014621582572539E-2</v>
      </c>
      <c r="AR50" s="872">
        <f t="shared" si="45"/>
        <v>6.3455276645358813E-3</v>
      </c>
      <c r="AS50" s="880">
        <f t="shared" si="60"/>
        <v>5.5651580176283195E-2</v>
      </c>
      <c r="AT50" s="864">
        <f t="shared" si="60"/>
        <v>5.2627001418058567E-2</v>
      </c>
      <c r="AU50" s="864">
        <f t="shared" si="60"/>
        <v>5.3100603039131493E-2</v>
      </c>
      <c r="AV50" s="864">
        <f t="shared" si="60"/>
        <v>5.3051616981275578E-2</v>
      </c>
      <c r="AW50" s="864">
        <f t="shared" si="60"/>
        <v>5.3434828906441509E-2</v>
      </c>
      <c r="AX50" s="864">
        <f t="shared" si="60"/>
        <v>5.2308184410685576E-2</v>
      </c>
      <c r="AY50" s="864">
        <f t="shared" si="60"/>
        <v>5.2065835426605103E-2</v>
      </c>
      <c r="AZ50" s="864">
        <f t="shared" si="60"/>
        <v>5.1589260273958833E-2</v>
      </c>
      <c r="BA50" s="864">
        <f t="shared" si="60"/>
        <v>5.1855753560780718E-2</v>
      </c>
      <c r="BB50" s="864">
        <f t="shared" si="60"/>
        <v>5.1452175273333352E-2</v>
      </c>
      <c r="BC50" s="864">
        <f t="shared" si="60"/>
        <v>5.2551291818796302E-2</v>
      </c>
      <c r="BD50" s="881">
        <f t="shared" si="60"/>
        <v>5.1569914804851277E-2</v>
      </c>
      <c r="BE50" s="879">
        <f t="shared" si="60"/>
        <v>5.2572473016616016E-2</v>
      </c>
      <c r="BF50" s="880">
        <f t="shared" si="60"/>
        <v>3.8964302500279539E-2</v>
      </c>
      <c r="BG50" s="864">
        <f t="shared" si="61"/>
        <v>4.3897741703936836E-2</v>
      </c>
      <c r="BH50" s="864">
        <f t="shared" si="61"/>
        <v>2.4758423260347207E-2</v>
      </c>
      <c r="BI50" s="864">
        <f t="shared" si="61"/>
        <v>2.8485416535954381E-2</v>
      </c>
      <c r="BJ50" s="864">
        <f t="shared" si="61"/>
        <v>3.4816440753732171E-2</v>
      </c>
      <c r="BK50" s="864">
        <f t="shared" si="61"/>
        <v>0</v>
      </c>
      <c r="BL50" s="864">
        <f t="shared" si="61"/>
        <v>0</v>
      </c>
      <c r="BM50" s="864">
        <f t="shared" si="61"/>
        <v>0</v>
      </c>
      <c r="BN50" s="864">
        <f t="shared" si="61"/>
        <v>0</v>
      </c>
      <c r="BO50" s="864">
        <f t="shared" si="61"/>
        <v>0</v>
      </c>
      <c r="BP50" s="864">
        <f t="shared" si="61"/>
        <v>0</v>
      </c>
      <c r="BQ50" s="881">
        <f t="shared" si="61"/>
        <v>0</v>
      </c>
      <c r="BR50" s="879">
        <f t="shared" si="62"/>
        <v>3.2312855447920626E-2</v>
      </c>
      <c r="BS50" s="872">
        <f t="shared" si="52"/>
        <v>-7.8333603778047642E-3</v>
      </c>
      <c r="BT50" s="864">
        <f t="shared" si="46"/>
        <v>5.2572473016616016E-2</v>
      </c>
      <c r="BU50" s="864" cm="1">
        <f t="array" ref="BU50">INDEX($AS50:$BD50,,$D$4)</f>
        <v>5.3434828906441509E-2</v>
      </c>
      <c r="BV50" s="1105" cm="1">
        <f t="array" ref="BV50">INDEX($BF50:$BQ50,,$D$4)-BU50</f>
        <v>-1.8618388152709338E-2</v>
      </c>
      <c r="BW50" s="882">
        <f t="shared" si="34"/>
        <v>1.19283089980862E-3</v>
      </c>
      <c r="BX50" s="1479">
        <f t="shared" si="43"/>
        <v>1.2748620042716782E-3</v>
      </c>
      <c r="BY50" s="883">
        <f t="shared" si="35"/>
        <v>1.8160404406335497E-3</v>
      </c>
      <c r="BZ50" s="884">
        <f t="shared" si="36"/>
        <v>1.0543160494839285E-3</v>
      </c>
      <c r="CA50" s="885">
        <f t="shared" si="44"/>
        <v>-2.2054595478774967E-4</v>
      </c>
      <c r="CB50" s="885">
        <f t="shared" si="37"/>
        <v>-7.6172439114962124E-4</v>
      </c>
      <c r="CC50" s="886"/>
    </row>
    <row r="51" spans="1:82">
      <c r="A51" s="463">
        <v>14</v>
      </c>
      <c r="B51" s="482">
        <f t="shared" si="47"/>
        <v>11</v>
      </c>
      <c r="C51" s="488" t="s">
        <v>425</v>
      </c>
      <c r="D51" s="488" t="s">
        <v>439</v>
      </c>
      <c r="E51" s="864">
        <f t="shared" si="53"/>
        <v>0</v>
      </c>
      <c r="F51" s="864">
        <f t="shared" si="53"/>
        <v>0</v>
      </c>
      <c r="G51" s="864">
        <f t="shared" si="53"/>
        <v>0</v>
      </c>
      <c r="H51" s="864">
        <f t="shared" si="53"/>
        <v>5.4536978241473827E-2</v>
      </c>
      <c r="I51" s="864">
        <f t="shared" si="53"/>
        <v>2.8438145749051791E-2</v>
      </c>
      <c r="J51" s="864">
        <f t="shared" si="53"/>
        <v>4.0639944869593096E-2</v>
      </c>
      <c r="K51" s="864">
        <f t="shared" si="53"/>
        <v>1.5438949582165925E-2</v>
      </c>
      <c r="L51" s="887">
        <f t="shared" si="53"/>
        <v>2.8848791527363037E-2</v>
      </c>
      <c r="M51" s="864">
        <f t="shared" si="53"/>
        <v>2.2269299665608044E-2</v>
      </c>
      <c r="N51" s="864">
        <f t="shared" si="53"/>
        <v>0</v>
      </c>
      <c r="O51" s="864">
        <f t="shared" si="53"/>
        <v>1.2888237963802089E-2</v>
      </c>
      <c r="P51" s="864">
        <f t="shared" si="53"/>
        <v>3.4597011646860974E-5</v>
      </c>
      <c r="Q51" s="888">
        <f t="shared" si="54"/>
        <v>8.2847347141852372E-3</v>
      </c>
      <c r="R51" s="864">
        <f t="shared" si="55"/>
        <v>4.8381960077189517E-3</v>
      </c>
      <c r="S51" s="864">
        <f t="shared" si="55"/>
        <v>0</v>
      </c>
      <c r="T51" s="864">
        <f t="shared" si="55"/>
        <v>4.7066745254407388E-3</v>
      </c>
      <c r="U51" s="864">
        <f t="shared" si="55"/>
        <v>0</v>
      </c>
      <c r="V51" s="864">
        <f t="shared" si="55"/>
        <v>0</v>
      </c>
      <c r="W51" s="864">
        <f t="shared" si="55"/>
        <v>3.007625159349249E-3</v>
      </c>
      <c r="X51" s="864">
        <f t="shared" si="55"/>
        <v>1.0846087491373878E-2</v>
      </c>
      <c r="Y51" s="887">
        <f t="shared" si="55"/>
        <v>1.3495985669866473E-2</v>
      </c>
      <c r="Z51" s="864">
        <f t="shared" si="55"/>
        <v>4.0342577731933028E-5</v>
      </c>
      <c r="AA51" s="864">
        <f t="shared" si="55"/>
        <v>9.3704260259338378E-3</v>
      </c>
      <c r="AB51" s="864">
        <f t="shared" si="55"/>
        <v>2.3558250759046833E-3</v>
      </c>
      <c r="AC51" s="864">
        <f t="shared" si="55"/>
        <v>2.2599604820296836E-3</v>
      </c>
      <c r="AD51" s="888">
        <f t="shared" si="56"/>
        <v>3.7386384479061699E-3</v>
      </c>
      <c r="AE51" s="889">
        <f t="shared" si="57"/>
        <v>3.7696000121756931E-2</v>
      </c>
      <c r="AF51" s="887">
        <f t="shared" si="58"/>
        <v>8.3663830037609063E-3</v>
      </c>
      <c r="AG51" s="887">
        <f t="shared" si="58"/>
        <v>5.6120518382718919E-3</v>
      </c>
      <c r="AH51" s="887">
        <f t="shared" si="58"/>
        <v>1.4530577271589868E-2</v>
      </c>
      <c r="AI51" s="887">
        <f t="shared" si="58"/>
        <v>1.3424152888886678E-2</v>
      </c>
      <c r="AJ51" s="887">
        <f t="shared" si="58"/>
        <v>1.2051982857222513E-2</v>
      </c>
      <c r="AK51" s="887">
        <f t="shared" si="58"/>
        <v>2.9196072202963799E-5</v>
      </c>
      <c r="AL51" s="887">
        <f t="shared" si="58"/>
        <v>4.9070091889087215E-3</v>
      </c>
      <c r="AM51" s="887">
        <f t="shared" si="58"/>
        <v>2.271536632138501E-2</v>
      </c>
      <c r="AN51" s="887">
        <f t="shared" si="58"/>
        <v>4.6592755704463702E-2</v>
      </c>
      <c r="AO51" s="887">
        <f t="shared" si="58"/>
        <v>4.562627046528954E-2</v>
      </c>
      <c r="AP51" s="893">
        <f t="shared" si="58"/>
        <v>3.5162541644597603E-2</v>
      </c>
      <c r="AQ51" s="888">
        <f t="shared" si="59"/>
        <v>1.7607301929225636E-2</v>
      </c>
      <c r="AR51" s="894">
        <f t="shared" si="45"/>
        <v>1.3868663481319467E-2</v>
      </c>
      <c r="AS51" s="889">
        <f t="shared" si="60"/>
        <v>1.3924018535331541E-2</v>
      </c>
      <c r="AT51" s="890">
        <f t="shared" si="60"/>
        <v>1.4506817681715353E-2</v>
      </c>
      <c r="AU51" s="890">
        <f t="shared" si="60"/>
        <v>1.2028118872133269E-2</v>
      </c>
      <c r="AV51" s="890">
        <f t="shared" si="60"/>
        <v>1.39233267521209E-2</v>
      </c>
      <c r="AW51" s="890">
        <f t="shared" si="60"/>
        <v>1.2028118872133269E-2</v>
      </c>
      <c r="AX51" s="890">
        <f t="shared" si="60"/>
        <v>1.9059226200487764E-2</v>
      </c>
      <c r="AY51" s="890">
        <f t="shared" si="60"/>
        <v>1.3681844648724106E-2</v>
      </c>
      <c r="AZ51" s="890">
        <f t="shared" si="60"/>
        <v>1.236371779101408E-2</v>
      </c>
      <c r="BA51" s="890">
        <f t="shared" si="60"/>
        <v>1.8192781206463882E-2</v>
      </c>
      <c r="BB51" s="890">
        <f t="shared" si="60"/>
        <v>1.4160802894246909E-2</v>
      </c>
      <c r="BC51" s="890">
        <f t="shared" si="60"/>
        <v>1.186285124974663E-2</v>
      </c>
      <c r="BD51" s="891">
        <f t="shared" si="60"/>
        <v>1.236371779101408E-2</v>
      </c>
      <c r="BE51" s="892">
        <f t="shared" si="60"/>
        <v>1.400263697339617E-2</v>
      </c>
      <c r="BF51" s="889">
        <f t="shared" si="60"/>
        <v>4.1860589560457712E-2</v>
      </c>
      <c r="BG51" s="887">
        <f t="shared" si="61"/>
        <v>2.1903815360830435E-2</v>
      </c>
      <c r="BH51" s="887">
        <f t="shared" si="61"/>
        <v>4.6679318722398874E-2</v>
      </c>
      <c r="BI51" s="887">
        <f t="shared" si="61"/>
        <v>9.2575516921617976E-3</v>
      </c>
      <c r="BJ51" s="887">
        <f t="shared" si="61"/>
        <v>7.3900222730539466E-4</v>
      </c>
      <c r="BK51" s="887">
        <f t="shared" si="61"/>
        <v>0</v>
      </c>
      <c r="BL51" s="887">
        <f t="shared" si="61"/>
        <v>0</v>
      </c>
      <c r="BM51" s="887">
        <f t="shared" si="61"/>
        <v>0</v>
      </c>
      <c r="BN51" s="887">
        <f t="shared" si="61"/>
        <v>0</v>
      </c>
      <c r="BO51" s="887">
        <f t="shared" si="61"/>
        <v>0</v>
      </c>
      <c r="BP51" s="887">
        <f t="shared" si="61"/>
        <v>0</v>
      </c>
      <c r="BQ51" s="893">
        <f t="shared" si="61"/>
        <v>0</v>
      </c>
      <c r="BR51" s="888">
        <f t="shared" si="62"/>
        <v>2.3792919537859593E-2</v>
      </c>
      <c r="BS51" s="894">
        <f t="shared" si="52"/>
        <v>6.1856176086339566E-3</v>
      </c>
      <c r="BT51" s="864">
        <f t="shared" si="46"/>
        <v>1.400263697339617E-2</v>
      </c>
      <c r="BU51" s="864" cm="1">
        <f t="array" ref="BU51">INDEX($AS51:$BD51,,$D$4)</f>
        <v>1.2028118872133269E-2</v>
      </c>
      <c r="BV51" s="1106" cm="1">
        <f t="array" ref="BV51">INDEX($BF51:$BQ51,,$D$4)-BU51</f>
        <v>-1.1289116644827875E-2</v>
      </c>
      <c r="BW51" s="895">
        <f t="shared" si="34"/>
        <v>1.3193706123994128E-4</v>
      </c>
      <c r="BX51" s="1480">
        <f t="shared" si="43"/>
        <v>5.5912817100249308E-4</v>
      </c>
      <c r="BY51" s="896">
        <f t="shared" si="35"/>
        <v>4.8370094766439525E-4</v>
      </c>
      <c r="BZ51" s="897">
        <f t="shared" si="36"/>
        <v>7.7632436332578493E-4</v>
      </c>
      <c r="CA51" s="898">
        <f t="shared" si="44"/>
        <v>2.1719619232329185E-4</v>
      </c>
      <c r="CB51" s="898">
        <f t="shared" si="37"/>
        <v>2.9262341566138969E-4</v>
      </c>
      <c r="CC51" s="899"/>
      <c r="CD51" s="454" t="s">
        <v>530</v>
      </c>
    </row>
    <row r="52" spans="1:82">
      <c r="A52" s="463">
        <v>15</v>
      </c>
      <c r="B52" s="470" t="s">
        <v>522</v>
      </c>
      <c r="C52" s="471"/>
      <c r="D52" s="472" t="s">
        <v>523</v>
      </c>
      <c r="E52" s="853">
        <f t="shared" ref="E52:P52" si="63">SUM(E53:E59)</f>
        <v>14.89654115778696</v>
      </c>
      <c r="F52" s="853">
        <f t="shared" si="63"/>
        <v>9.8405455128930885</v>
      </c>
      <c r="G52" s="853">
        <f t="shared" si="63"/>
        <v>8.0638896511168578</v>
      </c>
      <c r="H52" s="853">
        <f t="shared" si="63"/>
        <v>8.1779893812980102</v>
      </c>
      <c r="I52" s="853">
        <f t="shared" si="63"/>
        <v>6.7980356973839715</v>
      </c>
      <c r="J52" s="853">
        <f t="shared" si="63"/>
        <v>8.6069676870894174</v>
      </c>
      <c r="K52" s="853">
        <f t="shared" si="63"/>
        <v>6.1348622609728789</v>
      </c>
      <c r="L52" s="853">
        <f t="shared" si="63"/>
        <v>5.8945728412551288</v>
      </c>
      <c r="M52" s="853">
        <f t="shared" si="63"/>
        <v>6.1535007632940681</v>
      </c>
      <c r="N52" s="853">
        <f t="shared" si="63"/>
        <v>5.0826574719363533</v>
      </c>
      <c r="O52" s="853">
        <f t="shared" si="63"/>
        <v>7.6435060645542547</v>
      </c>
      <c r="P52" s="853">
        <f t="shared" si="63"/>
        <v>3.7299814366552648</v>
      </c>
      <c r="Q52" s="854">
        <f>SUM(Q53:Q59)</f>
        <v>3.5587910560271734</v>
      </c>
      <c r="R52" s="853">
        <f t="shared" ref="R52:BS52" si="64">SUM(R53:R59)</f>
        <v>4.6662141029877349</v>
      </c>
      <c r="S52" s="853">
        <f t="shared" si="64"/>
        <v>7.7259821295184512</v>
      </c>
      <c r="T52" s="853">
        <f t="shared" si="64"/>
        <v>4.7776203197099605</v>
      </c>
      <c r="U52" s="853">
        <f t="shared" si="64"/>
        <v>5.5033558088171786</v>
      </c>
      <c r="V52" s="853">
        <f t="shared" si="64"/>
        <v>5.8738982447443648</v>
      </c>
      <c r="W52" s="853">
        <f t="shared" si="64"/>
        <v>7.3887494080598257</v>
      </c>
      <c r="X52" s="853">
        <f t="shared" si="64"/>
        <v>13.494624100954551</v>
      </c>
      <c r="Y52" s="853">
        <f t="shared" si="64"/>
        <v>12.128159170749566</v>
      </c>
      <c r="Z52" s="853">
        <f t="shared" si="64"/>
        <v>10.143610598014995</v>
      </c>
      <c r="AA52" s="853">
        <f t="shared" si="64"/>
        <v>6.5216230135923174</v>
      </c>
      <c r="AB52" s="853">
        <f t="shared" si="64"/>
        <v>5.9284165293482394</v>
      </c>
      <c r="AC52" s="853">
        <f t="shared" si="64"/>
        <v>11.662029235692518</v>
      </c>
      <c r="AD52" s="854">
        <f t="shared" si="64"/>
        <v>7.2313137958295535</v>
      </c>
      <c r="AE52" s="855">
        <f t="shared" si="64"/>
        <v>16.615308772858643</v>
      </c>
      <c r="AF52" s="853">
        <f t="shared" si="64"/>
        <v>10.00509858802015</v>
      </c>
      <c r="AG52" s="853">
        <f t="shared" si="64"/>
        <v>6.396643092585526</v>
      </c>
      <c r="AH52" s="853">
        <f t="shared" si="64"/>
        <v>7.5228140707672182</v>
      </c>
      <c r="AI52" s="853">
        <f t="shared" si="64"/>
        <v>6.6064860706349231</v>
      </c>
      <c r="AJ52" s="853">
        <f t="shared" si="64"/>
        <v>7.7876775463306975</v>
      </c>
      <c r="AK52" s="853">
        <f t="shared" si="64"/>
        <v>7.4283158025806939</v>
      </c>
      <c r="AL52" s="853">
        <f t="shared" si="64"/>
        <v>7.5727558090472176</v>
      </c>
      <c r="AM52" s="853">
        <f t="shared" si="64"/>
        <v>8.1273210517904904</v>
      </c>
      <c r="AN52" s="853">
        <f t="shared" si="64"/>
        <v>11.39836974710752</v>
      </c>
      <c r="AO52" s="853">
        <f t="shared" si="64"/>
        <v>15.490207063944116</v>
      </c>
      <c r="AP52" s="856">
        <f t="shared" si="64"/>
        <v>12.140767956693391</v>
      </c>
      <c r="AQ52" s="854">
        <f t="shared" si="64"/>
        <v>8.953457226118811</v>
      </c>
      <c r="AR52" s="857">
        <f t="shared" si="64"/>
        <v>1.7221434302892593</v>
      </c>
      <c r="AS52" s="855">
        <f t="shared" si="64"/>
        <v>9.1493427081736822</v>
      </c>
      <c r="AT52" s="853">
        <f t="shared" si="64"/>
        <v>10.36797370761616</v>
      </c>
      <c r="AU52" s="853">
        <f t="shared" si="64"/>
        <v>8.4390177623038483</v>
      </c>
      <c r="AV52" s="853">
        <f t="shared" si="64"/>
        <v>8.6270856067296879</v>
      </c>
      <c r="AW52" s="853">
        <f t="shared" si="64"/>
        <v>8.8946364763845569</v>
      </c>
      <c r="AX52" s="853">
        <f t="shared" si="64"/>
        <v>8.7632318547281507</v>
      </c>
      <c r="AY52" s="853">
        <f t="shared" si="64"/>
        <v>8.5551519984125939</v>
      </c>
      <c r="AZ52" s="853">
        <f t="shared" si="64"/>
        <v>8.5308268828325442</v>
      </c>
      <c r="BA52" s="853">
        <f t="shared" si="64"/>
        <v>8.763959796041469</v>
      </c>
      <c r="BB52" s="853">
        <f t="shared" si="64"/>
        <v>8.25745148882101</v>
      </c>
      <c r="BC52" s="853">
        <f t="shared" si="64"/>
        <v>8.4668467874284481</v>
      </c>
      <c r="BD52" s="856">
        <f t="shared" si="64"/>
        <v>8.8148645101993104</v>
      </c>
      <c r="BE52" s="854">
        <f t="shared" si="64"/>
        <v>8.7669534689605975</v>
      </c>
      <c r="BF52" s="855">
        <f t="shared" si="64"/>
        <v>11.221398182037962</v>
      </c>
      <c r="BG52" s="853">
        <f t="shared" si="64"/>
        <v>16.523061022030809</v>
      </c>
      <c r="BH52" s="853">
        <f t="shared" si="64"/>
        <v>7.0711972541581503</v>
      </c>
      <c r="BI52" s="853">
        <f t="shared" si="64"/>
        <v>7.4741788133562173</v>
      </c>
      <c r="BJ52" s="853">
        <f t="shared" si="64"/>
        <v>9.0136825004272563</v>
      </c>
      <c r="BK52" s="853">
        <f t="shared" si="64"/>
        <v>0</v>
      </c>
      <c r="BL52" s="853">
        <f t="shared" si="64"/>
        <v>0</v>
      </c>
      <c r="BM52" s="853">
        <f t="shared" si="64"/>
        <v>0</v>
      </c>
      <c r="BN52" s="853">
        <f t="shared" si="64"/>
        <v>0</v>
      </c>
      <c r="BO52" s="853">
        <f t="shared" si="64"/>
        <v>0</v>
      </c>
      <c r="BP52" s="853">
        <f t="shared" si="64"/>
        <v>0</v>
      </c>
      <c r="BQ52" s="856">
        <f t="shared" si="64"/>
        <v>0</v>
      </c>
      <c r="BR52" s="854">
        <f t="shared" si="64"/>
        <v>9.3027895622557306</v>
      </c>
      <c r="BS52" s="857">
        <f t="shared" si="64"/>
        <v>0.34933233613691966</v>
      </c>
      <c r="BT52" s="853">
        <f>SUM(BT53:BT59)</f>
        <v>8.7669534689605975</v>
      </c>
      <c r="BU52" s="853">
        <f>SUM(BU53:BU59)</f>
        <v>8.8946364763845569</v>
      </c>
      <c r="BV52" s="1103" cm="1">
        <f t="array" ref="BV52">INDEX($BF52:$BQ52,,$D$4)-BU52</f>
        <v>0.11904602404269937</v>
      </c>
      <c r="BW52" s="858">
        <f t="shared" si="34"/>
        <v>0.25519405110165949</v>
      </c>
      <c r="BX52" s="1476">
        <f t="shared" si="43"/>
        <v>0.28432125393836727</v>
      </c>
      <c r="BY52" s="859">
        <f t="shared" si="35"/>
        <v>0.30284179395085725</v>
      </c>
      <c r="BZ52" s="860">
        <f t="shared" si="36"/>
        <v>0.30353493074190535</v>
      </c>
      <c r="CA52" s="861">
        <f t="shared" si="44"/>
        <v>1.9213676803538082E-2</v>
      </c>
      <c r="CB52" s="862">
        <f t="shared" si="37"/>
        <v>6.93136791048099E-4</v>
      </c>
      <c r="CC52" s="863"/>
    </row>
    <row r="53" spans="1:82">
      <c r="A53" s="463">
        <v>16</v>
      </c>
      <c r="B53" s="476">
        <v>1</v>
      </c>
      <c r="C53" s="477" t="s">
        <v>440</v>
      </c>
      <c r="D53" s="477" t="s">
        <v>441</v>
      </c>
      <c r="E53" s="864">
        <f t="shared" ref="E53:P59" si="65">E22/E$31</f>
        <v>3.5980569652279057</v>
      </c>
      <c r="F53" s="864">
        <f t="shared" si="65"/>
        <v>2.3172518260236288</v>
      </c>
      <c r="G53" s="864">
        <f t="shared" si="65"/>
        <v>1.79929456761597</v>
      </c>
      <c r="H53" s="864">
        <f t="shared" si="65"/>
        <v>0.80378744644766142</v>
      </c>
      <c r="I53" s="864">
        <f t="shared" si="65"/>
        <v>0.72731675506084059</v>
      </c>
      <c r="J53" s="864">
        <f t="shared" si="65"/>
        <v>0.86945730725305281</v>
      </c>
      <c r="K53" s="864">
        <f t="shared" si="65"/>
        <v>0.60498746566635619</v>
      </c>
      <c r="L53" s="864">
        <f t="shared" si="65"/>
        <v>0.49667889829441392</v>
      </c>
      <c r="M53" s="864">
        <f t="shared" si="65"/>
        <v>0</v>
      </c>
      <c r="N53" s="864">
        <f t="shared" si="65"/>
        <v>3.1757821672270335E-2</v>
      </c>
      <c r="O53" s="864">
        <f t="shared" si="65"/>
        <v>4.5653771279257502E-2</v>
      </c>
      <c r="P53" s="864">
        <f t="shared" si="65"/>
        <v>2.0332194496152235E-2</v>
      </c>
      <c r="Q53" s="865">
        <f>Q22/$AD$31</f>
        <v>0.35525716778196231</v>
      </c>
      <c r="R53" s="864">
        <f t="shared" ref="R53:AC59" si="66">R22/R$31</f>
        <v>1.2538456321223979</v>
      </c>
      <c r="S53" s="864">
        <f t="shared" si="66"/>
        <v>2.5811195464756223</v>
      </c>
      <c r="T53" s="864">
        <f t="shared" si="66"/>
        <v>1.5528944540909126</v>
      </c>
      <c r="U53" s="864">
        <f t="shared" si="66"/>
        <v>1.6878503129108564</v>
      </c>
      <c r="V53" s="864">
        <f t="shared" si="66"/>
        <v>1.7125503399258697</v>
      </c>
      <c r="W53" s="864">
        <f t="shared" si="66"/>
        <v>2.164713036302945</v>
      </c>
      <c r="X53" s="864">
        <f t="shared" si="66"/>
        <v>4.0536519745781234</v>
      </c>
      <c r="Y53" s="864">
        <f t="shared" si="66"/>
        <v>3.4506493292726734</v>
      </c>
      <c r="Z53" s="864">
        <f t="shared" si="66"/>
        <v>2.7026627648063259</v>
      </c>
      <c r="AA53" s="864">
        <f t="shared" si="66"/>
        <v>1.6225000755251564</v>
      </c>
      <c r="AB53" s="864">
        <f t="shared" si="66"/>
        <v>1.4272809848060797</v>
      </c>
      <c r="AC53" s="864">
        <f t="shared" si="66"/>
        <v>2.1442002854119164</v>
      </c>
      <c r="AD53" s="1242">
        <f>AD22/$AD$31</f>
        <v>1.976610732784837</v>
      </c>
      <c r="AE53" s="866">
        <f t="shared" ref="AE53:AE59" si="67">AE22/AE$31</f>
        <v>4.134876676535864</v>
      </c>
      <c r="AF53" s="870">
        <f t="shared" ref="AF53:AP59" si="68">IFERROR(AF22/AF$31,0)</f>
        <v>2.5723289021007916</v>
      </c>
      <c r="AG53" s="870">
        <f t="shared" si="68"/>
        <v>1.5887988193499685</v>
      </c>
      <c r="AH53" s="870">
        <f t="shared" si="68"/>
        <v>1.8372317349065581</v>
      </c>
      <c r="AI53" s="870">
        <f t="shared" si="68"/>
        <v>1.5608005935425993</v>
      </c>
      <c r="AJ53" s="870">
        <f t="shared" si="68"/>
        <v>1.9531804461856987</v>
      </c>
      <c r="AK53" s="870">
        <f t="shared" si="68"/>
        <v>1.8731545492071819</v>
      </c>
      <c r="AL53" s="870">
        <f t="shared" si="68"/>
        <v>1.9679535407497255</v>
      </c>
      <c r="AM53" s="870">
        <f t="shared" si="68"/>
        <v>1.9759505616058624</v>
      </c>
      <c r="AN53" s="870">
        <f t="shared" si="68"/>
        <v>2.8392852591024722</v>
      </c>
      <c r="AO53" s="870">
        <f t="shared" si="68"/>
        <v>3.8788800884790047</v>
      </c>
      <c r="AP53" s="871">
        <f t="shared" si="68"/>
        <v>2.2845410398456818</v>
      </c>
      <c r="AQ53" s="865">
        <f>AQ22/AQ$31</f>
        <v>2.1726815716690489</v>
      </c>
      <c r="AR53" s="900">
        <f t="shared" ref="AR53:AR59" si="69">AQ53-AD53</f>
        <v>0.19607083888421184</v>
      </c>
      <c r="AS53" s="866">
        <f t="shared" ref="AS53:BF59" si="70">AS22/AS$31</f>
        <v>1.4715549936788874</v>
      </c>
      <c r="AT53" s="870">
        <f t="shared" si="70"/>
        <v>1.7935285053929122</v>
      </c>
      <c r="AU53" s="870">
        <f t="shared" si="70"/>
        <v>1.4041013268998794</v>
      </c>
      <c r="AV53" s="870">
        <f t="shared" si="70"/>
        <v>1.4007220216606497</v>
      </c>
      <c r="AW53" s="870">
        <f t="shared" si="70"/>
        <v>1.4041013268998794</v>
      </c>
      <c r="AX53" s="870">
        <f t="shared" si="70"/>
        <v>1.375886524822695</v>
      </c>
      <c r="AY53" s="870">
        <f t="shared" si="70"/>
        <v>1.3441108545034641</v>
      </c>
      <c r="AZ53" s="870">
        <f t="shared" si="70"/>
        <v>1.3318077803203661</v>
      </c>
      <c r="BA53" s="870">
        <f t="shared" si="70"/>
        <v>1.3363949483352469</v>
      </c>
      <c r="BB53" s="870">
        <f t="shared" si="70"/>
        <v>1.3287671232876712</v>
      </c>
      <c r="BC53" s="870">
        <f t="shared" si="70"/>
        <v>1.3472222222222223</v>
      </c>
      <c r="BD53" s="871">
        <f t="shared" si="70"/>
        <v>1.3318077803203661</v>
      </c>
      <c r="BE53" s="865">
        <f t="shared" si="70"/>
        <v>1.3967999999999998</v>
      </c>
      <c r="BF53" s="866">
        <f t="shared" si="70"/>
        <v>3.2548165500972308</v>
      </c>
      <c r="BG53" s="870">
        <f t="shared" ref="BG53:BQ59" si="71">IFERROR(BG22/BG$31,0)</f>
        <v>5.1552463530451105</v>
      </c>
      <c r="BH53" s="870">
        <f t="shared" si="71"/>
        <v>2.1817246568457125</v>
      </c>
      <c r="BI53" s="870">
        <f t="shared" si="71"/>
        <v>2.1363974696023287</v>
      </c>
      <c r="BJ53" s="870">
        <f t="shared" si="71"/>
        <v>2.5988013030376749</v>
      </c>
      <c r="BK53" s="870">
        <f t="shared" si="71"/>
        <v>0</v>
      </c>
      <c r="BL53" s="870">
        <f t="shared" si="71"/>
        <v>0</v>
      </c>
      <c r="BM53" s="870">
        <f t="shared" si="71"/>
        <v>0</v>
      </c>
      <c r="BN53" s="870">
        <f t="shared" si="71"/>
        <v>0</v>
      </c>
      <c r="BO53" s="870">
        <f t="shared" si="71"/>
        <v>0</v>
      </c>
      <c r="BP53" s="870">
        <f t="shared" si="71"/>
        <v>0</v>
      </c>
      <c r="BQ53" s="871">
        <f t="shared" si="71"/>
        <v>0</v>
      </c>
      <c r="BR53" s="865">
        <f>BR22/BR$31</f>
        <v>2.7587156784289681</v>
      </c>
      <c r="BS53" s="900">
        <f t="shared" ref="BS53:BS59" si="72">BR53-AQ53</f>
        <v>0.58603410675991929</v>
      </c>
      <c r="BT53" s="864">
        <f t="shared" ref="BT53:BT59" si="73">BE53</f>
        <v>1.3967999999999998</v>
      </c>
      <c r="BU53" s="864" cm="1">
        <f t="array" ref="BU53">INDEX($AS53:$BD53,,$D$4)</f>
        <v>1.4041013268998794</v>
      </c>
      <c r="BV53" s="1104" cm="1">
        <f t="array" ref="BV53">INDEX($BF53:$BQ53,,$D$4)-BU53</f>
        <v>1.1946999761377954</v>
      </c>
      <c r="BW53" s="873">
        <f t="shared" si="34"/>
        <v>6.9754862614493554E-2</v>
      </c>
      <c r="BX53" s="1478">
        <f t="shared" si="43"/>
        <v>6.899452728312272E-2</v>
      </c>
      <c r="BY53" s="874">
        <f t="shared" si="35"/>
        <v>4.8250446325308144E-2</v>
      </c>
      <c r="BZ53" s="875">
        <f t="shared" si="36"/>
        <v>9.0012416897615105E-2</v>
      </c>
      <c r="CA53" s="876">
        <f t="shared" si="44"/>
        <v>2.1017889614492385E-2</v>
      </c>
      <c r="CB53" s="876">
        <f t="shared" si="37"/>
        <v>4.1761970572306961E-2</v>
      </c>
      <c r="CC53" s="901"/>
      <c r="CD53" s="454" t="s">
        <v>530</v>
      </c>
    </row>
    <row r="54" spans="1:82">
      <c r="A54" s="463">
        <v>17</v>
      </c>
      <c r="B54" s="482">
        <f t="shared" ref="B54:B59" si="74">B53+1</f>
        <v>2</v>
      </c>
      <c r="C54" s="483" t="s">
        <v>440</v>
      </c>
      <c r="D54" s="483" t="s">
        <v>442</v>
      </c>
      <c r="E54" s="864">
        <f t="shared" si="65"/>
        <v>7.2760067052152202</v>
      </c>
      <c r="F54" s="864">
        <f t="shared" si="65"/>
        <v>4.6863791305465368</v>
      </c>
      <c r="G54" s="864">
        <f t="shared" si="65"/>
        <v>3.8057815944615876</v>
      </c>
      <c r="H54" s="864">
        <f t="shared" si="65"/>
        <v>4.7181569528953764</v>
      </c>
      <c r="I54" s="864">
        <f t="shared" si="65"/>
        <v>3.8808113642884026</v>
      </c>
      <c r="J54" s="864">
        <f t="shared" si="65"/>
        <v>4.9955123189012971</v>
      </c>
      <c r="K54" s="864">
        <f t="shared" si="65"/>
        <v>3.4412395456550806</v>
      </c>
      <c r="L54" s="864">
        <f t="shared" si="65"/>
        <v>3.498299672493451</v>
      </c>
      <c r="M54" s="864">
        <f t="shared" si="65"/>
        <v>3.9868155391255442</v>
      </c>
      <c r="N54" s="864">
        <f t="shared" si="65"/>
        <v>3.1726138501182053</v>
      </c>
      <c r="O54" s="864">
        <f t="shared" si="65"/>
        <v>4.7665471679728766</v>
      </c>
      <c r="P54" s="864">
        <f t="shared" si="65"/>
        <v>2.1806124976990713</v>
      </c>
      <c r="Q54" s="879">
        <f t="shared" ref="Q54:Q59" si="75">Q23/$AD$31</f>
        <v>2.0163215022259338</v>
      </c>
      <c r="R54" s="864">
        <f t="shared" si="66"/>
        <v>2.0703840174394568</v>
      </c>
      <c r="S54" s="864">
        <f t="shared" si="66"/>
        <v>2.9978696190879086</v>
      </c>
      <c r="T54" s="864">
        <f t="shared" si="66"/>
        <v>1.9442526173107879</v>
      </c>
      <c r="U54" s="864">
        <f t="shared" si="66"/>
        <v>2.2813262270486567</v>
      </c>
      <c r="V54" s="864">
        <f t="shared" si="66"/>
        <v>2.3862962039442044</v>
      </c>
      <c r="W54" s="864">
        <f t="shared" si="66"/>
        <v>2.9813722972142647</v>
      </c>
      <c r="X54" s="864">
        <f t="shared" si="66"/>
        <v>5.5545867986052473</v>
      </c>
      <c r="Y54" s="864">
        <f t="shared" si="66"/>
        <v>4.6739959782585156</v>
      </c>
      <c r="Z54" s="864">
        <f t="shared" si="66"/>
        <v>3.9260306854358813</v>
      </c>
      <c r="AA54" s="864">
        <f t="shared" si="66"/>
        <v>2.5759220617657195</v>
      </c>
      <c r="AB54" s="864">
        <f t="shared" si="66"/>
        <v>2.3756022230193632</v>
      </c>
      <c r="AC54" s="864">
        <f t="shared" si="66"/>
        <v>3.931346341324363</v>
      </c>
      <c r="AD54" s="879">
        <f t="shared" ref="AD54:AD59" si="76">AD23/$AD$31</f>
        <v>2.8576456359988054</v>
      </c>
      <c r="AE54" s="880">
        <f t="shared" si="67"/>
        <v>6.786166549348791</v>
      </c>
      <c r="AF54" s="864">
        <f t="shared" si="68"/>
        <v>4.2066771142670287</v>
      </c>
      <c r="AG54" s="864">
        <f t="shared" si="68"/>
        <v>2.5864102314015995</v>
      </c>
      <c r="AH54" s="864">
        <f t="shared" si="68"/>
        <v>3.363621185500199</v>
      </c>
      <c r="AI54" s="864">
        <f t="shared" si="68"/>
        <v>2.8653549012822812</v>
      </c>
      <c r="AJ54" s="864">
        <f t="shared" si="68"/>
        <v>3.3511240320920277</v>
      </c>
      <c r="AK54" s="864">
        <f t="shared" si="68"/>
        <v>3.2233019437522592</v>
      </c>
      <c r="AL54" s="864">
        <f t="shared" si="68"/>
        <v>3.2762095426068263</v>
      </c>
      <c r="AM54" s="864">
        <f t="shared" si="68"/>
        <v>3.3650236447834132</v>
      </c>
      <c r="AN54" s="864">
        <f t="shared" si="68"/>
        <v>4.5701282358271387</v>
      </c>
      <c r="AO54" s="864">
        <f t="shared" si="68"/>
        <v>6.0644561024731161</v>
      </c>
      <c r="AP54" s="881">
        <f t="shared" si="68"/>
        <v>5.8972073022936051</v>
      </c>
      <c r="AQ54" s="879">
        <f t="shared" ref="AQ54:AQ59" si="77">AQ23/AQ$31</f>
        <v>3.8175230472634105</v>
      </c>
      <c r="AR54" s="872">
        <f t="shared" si="69"/>
        <v>0.95987741126460513</v>
      </c>
      <c r="AS54" s="880">
        <f t="shared" si="70"/>
        <v>4.0280833874550224</v>
      </c>
      <c r="AT54" s="864">
        <f t="shared" si="70"/>
        <v>4.8660241230769241</v>
      </c>
      <c r="AU54" s="864">
        <f t="shared" si="70"/>
        <v>3.6662991557390741</v>
      </c>
      <c r="AV54" s="864">
        <f t="shared" si="70"/>
        <v>3.9223824444182172</v>
      </c>
      <c r="AW54" s="864">
        <f t="shared" si="70"/>
        <v>3.8221588510717273</v>
      </c>
      <c r="AX54" s="864">
        <f t="shared" si="70"/>
        <v>3.9263319516002912</v>
      </c>
      <c r="AY54" s="864">
        <f t="shared" si="70"/>
        <v>3.7479606564531891</v>
      </c>
      <c r="AZ54" s="864">
        <f t="shared" si="70"/>
        <v>3.7584824277239925</v>
      </c>
      <c r="BA54" s="864">
        <f t="shared" si="70"/>
        <v>3.8125818548882799</v>
      </c>
      <c r="BB54" s="864">
        <f t="shared" si="70"/>
        <v>3.6212442503029507</v>
      </c>
      <c r="BC54" s="864">
        <f t="shared" si="70"/>
        <v>3.8395703706641742</v>
      </c>
      <c r="BD54" s="881">
        <f t="shared" si="70"/>
        <v>4.2289350593029402</v>
      </c>
      <c r="BE54" s="879">
        <f t="shared" si="70"/>
        <v>3.9170466316642312</v>
      </c>
      <c r="BF54" s="880">
        <f t="shared" si="70"/>
        <v>5.024001240688194</v>
      </c>
      <c r="BG54" s="864">
        <f t="shared" si="71"/>
        <v>7.1171892960079504</v>
      </c>
      <c r="BH54" s="864">
        <f t="shared" si="71"/>
        <v>3.2451779803616745</v>
      </c>
      <c r="BI54" s="864">
        <f t="shared" si="71"/>
        <v>3.5580893357674079</v>
      </c>
      <c r="BJ54" s="864">
        <f t="shared" si="71"/>
        <v>4.0775622476467444</v>
      </c>
      <c r="BK54" s="864">
        <f t="shared" si="71"/>
        <v>0</v>
      </c>
      <c r="BL54" s="864">
        <f t="shared" si="71"/>
        <v>0</v>
      </c>
      <c r="BM54" s="864">
        <f t="shared" si="71"/>
        <v>0</v>
      </c>
      <c r="BN54" s="864">
        <f t="shared" si="71"/>
        <v>0</v>
      </c>
      <c r="BO54" s="864">
        <f t="shared" si="71"/>
        <v>0</v>
      </c>
      <c r="BP54" s="864">
        <f t="shared" si="71"/>
        <v>0</v>
      </c>
      <c r="BQ54" s="881">
        <f t="shared" si="71"/>
        <v>0</v>
      </c>
      <c r="BR54" s="879">
        <f t="shared" ref="BR54:BR59" si="78">BR23/BR$31</f>
        <v>4.2186538688181878</v>
      </c>
      <c r="BS54" s="872">
        <f t="shared" si="72"/>
        <v>0.40113082155477731</v>
      </c>
      <c r="BT54" s="864">
        <f t="shared" si="73"/>
        <v>3.9170466316642312</v>
      </c>
      <c r="BU54" s="864" cm="1">
        <f t="array" ref="BU54">INDEX($AS54:$BD54,,$D$4)</f>
        <v>3.8221588510717273</v>
      </c>
      <c r="BV54" s="1105" cm="1">
        <f t="array" ref="BV54">INDEX($BF54:$BQ54,,$D$4)-BU54</f>
        <v>0.25540339657501709</v>
      </c>
      <c r="BW54" s="882">
        <f t="shared" si="34"/>
        <v>0.10084670463119567</v>
      </c>
      <c r="BX54" s="1479">
        <f t="shared" si="43"/>
        <v>0.12122724354679869</v>
      </c>
      <c r="BY54" s="883">
        <f t="shared" si="35"/>
        <v>0.135308740159539</v>
      </c>
      <c r="BZ54" s="884">
        <f t="shared" si="36"/>
        <v>0.13764783147317622</v>
      </c>
      <c r="CA54" s="885">
        <f t="shared" si="44"/>
        <v>1.6420587926377531E-2</v>
      </c>
      <c r="CB54" s="885">
        <f t="shared" si="37"/>
        <v>2.3390913136372149E-3</v>
      </c>
      <c r="CC54" s="886"/>
    </row>
    <row r="55" spans="1:82">
      <c r="A55" s="463">
        <v>5</v>
      </c>
      <c r="B55" s="482">
        <f t="shared" si="74"/>
        <v>3</v>
      </c>
      <c r="C55" s="483" t="s">
        <v>425</v>
      </c>
      <c r="D55" s="483" t="s">
        <v>443</v>
      </c>
      <c r="E55" s="864">
        <f t="shared" si="65"/>
        <v>2.3753269840666507</v>
      </c>
      <c r="F55" s="864">
        <f t="shared" si="65"/>
        <v>1.6516728939146827</v>
      </c>
      <c r="G55" s="864">
        <f t="shared" si="65"/>
        <v>1.3991038125588426</v>
      </c>
      <c r="H55" s="864">
        <f t="shared" si="65"/>
        <v>1.6767953195456993</v>
      </c>
      <c r="I55" s="864">
        <f t="shared" si="65"/>
        <v>1.2916093323191036</v>
      </c>
      <c r="J55" s="864">
        <f t="shared" si="65"/>
        <v>1.6468401442521801</v>
      </c>
      <c r="K55" s="864">
        <f t="shared" si="65"/>
        <v>1.1962829124387067</v>
      </c>
      <c r="L55" s="864">
        <f t="shared" si="65"/>
        <v>1.1569816685610135</v>
      </c>
      <c r="M55" s="864">
        <f t="shared" si="65"/>
        <v>1.4124854079341438</v>
      </c>
      <c r="N55" s="864">
        <f t="shared" si="65"/>
        <v>1.1530784030672474</v>
      </c>
      <c r="O55" s="864">
        <f t="shared" si="65"/>
        <v>1.6602100759639351</v>
      </c>
      <c r="P55" s="864">
        <f t="shared" si="65"/>
        <v>0.77704741949052636</v>
      </c>
      <c r="Q55" s="879">
        <f t="shared" si="75"/>
        <v>0.69993570427820995</v>
      </c>
      <c r="R55" s="864">
        <f t="shared" si="66"/>
        <v>0.63148312021553754</v>
      </c>
      <c r="S55" s="864">
        <f t="shared" si="66"/>
        <v>1.0262623302495608</v>
      </c>
      <c r="T55" s="864">
        <f t="shared" si="66"/>
        <v>0.61248175367481417</v>
      </c>
      <c r="U55" s="864">
        <f t="shared" si="66"/>
        <v>0.70277619853794515</v>
      </c>
      <c r="V55" s="864">
        <f t="shared" si="66"/>
        <v>0.73309549908044047</v>
      </c>
      <c r="W55" s="864">
        <f t="shared" si="66"/>
        <v>0.92714476415309577</v>
      </c>
      <c r="X55" s="864">
        <f t="shared" si="66"/>
        <v>1.7544226183332405</v>
      </c>
      <c r="Y55" s="864">
        <f t="shared" si="66"/>
        <v>1.5029901018547767</v>
      </c>
      <c r="Z55" s="864">
        <f t="shared" si="66"/>
        <v>1.2269457705521651</v>
      </c>
      <c r="AA55" s="864">
        <f t="shared" si="66"/>
        <v>0.80004080920575393</v>
      </c>
      <c r="AB55" s="864">
        <f t="shared" si="66"/>
        <v>0.72224079819960507</v>
      </c>
      <c r="AC55" s="864">
        <f t="shared" si="66"/>
        <v>1.1337349878735041</v>
      </c>
      <c r="AD55" s="1241">
        <f t="shared" si="76"/>
        <v>0.88827791301693937</v>
      </c>
      <c r="AE55" s="880">
        <f t="shared" si="67"/>
        <v>2.0672338336419838</v>
      </c>
      <c r="AF55" s="864">
        <f t="shared" si="68"/>
        <v>1.2865594823056159</v>
      </c>
      <c r="AG55" s="864">
        <f t="shared" si="68"/>
        <v>0.8300913277283738</v>
      </c>
      <c r="AH55" s="864">
        <f t="shared" si="68"/>
        <v>0.95522457854206055</v>
      </c>
      <c r="AI55" s="864">
        <f t="shared" si="68"/>
        <v>0.84735546889803215</v>
      </c>
      <c r="AJ55" s="864">
        <f t="shared" si="68"/>
        <v>0.96574453112651215</v>
      </c>
      <c r="AK55" s="864">
        <f t="shared" si="68"/>
        <v>0.89561137121487633</v>
      </c>
      <c r="AL55" s="864">
        <f t="shared" si="68"/>
        <v>0.89551195700224762</v>
      </c>
      <c r="AM55" s="864">
        <f t="shared" si="68"/>
        <v>0.96751011039822543</v>
      </c>
      <c r="AN55" s="864">
        <f t="shared" si="68"/>
        <v>1.3424596010356917</v>
      </c>
      <c r="AO55" s="864">
        <f t="shared" si="68"/>
        <v>1.9033361961172708</v>
      </c>
      <c r="AP55" s="881">
        <f t="shared" si="68"/>
        <v>1.2503493220591919</v>
      </c>
      <c r="AQ55" s="879">
        <f t="shared" si="77"/>
        <v>1.0856965759960384</v>
      </c>
      <c r="AR55" s="872">
        <f t="shared" si="69"/>
        <v>0.19741866297909905</v>
      </c>
      <c r="AS55" s="880">
        <f t="shared" si="70"/>
        <v>1.3409582960608886</v>
      </c>
      <c r="AT55" s="864">
        <f t="shared" si="70"/>
        <v>1.7528141796366146</v>
      </c>
      <c r="AU55" s="864">
        <f t="shared" si="70"/>
        <v>1.3934622998602688</v>
      </c>
      <c r="AV55" s="864">
        <f t="shared" si="70"/>
        <v>1.3983493407751659</v>
      </c>
      <c r="AW55" s="864">
        <f t="shared" si="70"/>
        <v>1.4055716687384354</v>
      </c>
      <c r="AX55" s="864">
        <f t="shared" si="70"/>
        <v>1.4108911831964102</v>
      </c>
      <c r="AY55" s="864">
        <f t="shared" si="70"/>
        <v>1.3783070912057309</v>
      </c>
      <c r="AZ55" s="864">
        <f t="shared" si="70"/>
        <v>1.3656910079910332</v>
      </c>
      <c r="BA55" s="864">
        <f t="shared" si="70"/>
        <v>1.3703948805788324</v>
      </c>
      <c r="BB55" s="864">
        <f t="shared" si="70"/>
        <v>1.3654998031782681</v>
      </c>
      <c r="BC55" s="864">
        <f t="shared" si="70"/>
        <v>1.3844650782224108</v>
      </c>
      <c r="BD55" s="881">
        <f t="shared" si="70"/>
        <v>1.3714334411718112</v>
      </c>
      <c r="BE55" s="879">
        <f t="shared" si="70"/>
        <v>1.4046146123609957</v>
      </c>
      <c r="BF55" s="880">
        <f t="shared" si="70"/>
        <v>0.74391400695660381</v>
      </c>
      <c r="BG55" s="864">
        <f t="shared" si="71"/>
        <v>1.1611774545856108</v>
      </c>
      <c r="BH55" s="864">
        <f t="shared" si="71"/>
        <v>0.49494497076636962</v>
      </c>
      <c r="BI55" s="864">
        <f t="shared" si="71"/>
        <v>0.5212386296327467</v>
      </c>
      <c r="BJ55" s="864">
        <f t="shared" si="71"/>
        <v>0.64881265778602182</v>
      </c>
      <c r="BK55" s="864">
        <f t="shared" si="71"/>
        <v>0</v>
      </c>
      <c r="BL55" s="864">
        <f t="shared" si="71"/>
        <v>0</v>
      </c>
      <c r="BM55" s="864">
        <f t="shared" si="71"/>
        <v>0</v>
      </c>
      <c r="BN55" s="864">
        <f t="shared" si="71"/>
        <v>0</v>
      </c>
      <c r="BO55" s="864">
        <f t="shared" si="71"/>
        <v>0</v>
      </c>
      <c r="BP55" s="864">
        <f t="shared" si="71"/>
        <v>0</v>
      </c>
      <c r="BQ55" s="881">
        <f t="shared" si="71"/>
        <v>0</v>
      </c>
      <c r="BR55" s="879">
        <f t="shared" si="78"/>
        <v>0.64791080315610339</v>
      </c>
      <c r="BS55" s="872">
        <f t="shared" si="72"/>
        <v>-0.43778577283993503</v>
      </c>
      <c r="BT55" s="864">
        <f t="shared" si="73"/>
        <v>1.4046146123609957</v>
      </c>
      <c r="BU55" s="864" cm="1">
        <f t="array" ref="BU55">INDEX($AS55:$BD55,,$D$4)</f>
        <v>1.4055716687384354</v>
      </c>
      <c r="BV55" s="1105" cm="1">
        <f t="array" ref="BV55">INDEX($BF55:$BQ55,,$D$4)-BU55</f>
        <v>-0.7567590109524136</v>
      </c>
      <c r="BW55" s="882">
        <f t="shared" si="34"/>
        <v>3.1347448821492596E-2</v>
      </c>
      <c r="BX55" s="1479">
        <f t="shared" si="43"/>
        <v>3.4476806454527116E-2</v>
      </c>
      <c r="BY55" s="883">
        <f t="shared" si="35"/>
        <v>4.8520390865884694E-2</v>
      </c>
      <c r="BZ55" s="884">
        <f t="shared" si="36"/>
        <v>2.1140278348426203E-2</v>
      </c>
      <c r="CA55" s="885">
        <f t="shared" si="44"/>
        <v>-1.3336528106100913E-2</v>
      </c>
      <c r="CB55" s="885">
        <f t="shared" si="37"/>
        <v>-2.7380112517458491E-2</v>
      </c>
      <c r="CC55" s="886"/>
      <c r="CD55" s="454" t="s">
        <v>530</v>
      </c>
    </row>
    <row r="56" spans="1:82">
      <c r="A56" s="463">
        <v>18</v>
      </c>
      <c r="B56" s="482">
        <f t="shared" si="74"/>
        <v>4</v>
      </c>
      <c r="C56" s="483" t="s">
        <v>440</v>
      </c>
      <c r="D56" s="483" t="s">
        <v>444</v>
      </c>
      <c r="E56" s="864">
        <f t="shared" si="65"/>
        <v>0.74905477727282421</v>
      </c>
      <c r="F56" s="864">
        <f t="shared" si="65"/>
        <v>0.65341938262500665</v>
      </c>
      <c r="G56" s="864">
        <f t="shared" si="65"/>
        <v>0.57403420937740368</v>
      </c>
      <c r="H56" s="864">
        <f t="shared" si="65"/>
        <v>0.50536370176270584</v>
      </c>
      <c r="I56" s="864">
        <f t="shared" si="65"/>
        <v>0.34678964590566086</v>
      </c>
      <c r="J56" s="864">
        <f t="shared" si="65"/>
        <v>0.50688632157600655</v>
      </c>
      <c r="K56" s="864">
        <f t="shared" si="65"/>
        <v>0.36855831061256766</v>
      </c>
      <c r="L56" s="864">
        <f t="shared" si="65"/>
        <v>0.27632944665837617</v>
      </c>
      <c r="M56" s="864">
        <f t="shared" si="65"/>
        <v>0.29314519144565343</v>
      </c>
      <c r="N56" s="864">
        <f t="shared" si="65"/>
        <v>0.25122340071594701</v>
      </c>
      <c r="O56" s="864">
        <f t="shared" si="65"/>
        <v>0.3674876048783165</v>
      </c>
      <c r="P56" s="864">
        <f t="shared" si="65"/>
        <v>0.27917276104567529</v>
      </c>
      <c r="Q56" s="879">
        <f t="shared" si="75"/>
        <v>0.20428741164902431</v>
      </c>
      <c r="R56" s="864">
        <f t="shared" si="66"/>
        <v>0.34926318315578608</v>
      </c>
      <c r="S56" s="864">
        <f t="shared" si="66"/>
        <v>0.47114511830164479</v>
      </c>
      <c r="T56" s="864">
        <f t="shared" si="66"/>
        <v>0.2351371842143207</v>
      </c>
      <c r="U56" s="864">
        <f t="shared" si="66"/>
        <v>0.29546526454206451</v>
      </c>
      <c r="V56" s="864">
        <f t="shared" si="66"/>
        <v>0.43068418481736143</v>
      </c>
      <c r="W56" s="864">
        <f t="shared" si="66"/>
        <v>0.53303961617985518</v>
      </c>
      <c r="X56" s="864">
        <f t="shared" si="66"/>
        <v>0.84129485047341901</v>
      </c>
      <c r="Y56" s="864">
        <f t="shared" si="66"/>
        <v>1.3264316831863798</v>
      </c>
      <c r="Z56" s="864">
        <f t="shared" si="66"/>
        <v>1.2866721033084345</v>
      </c>
      <c r="AA56" s="864">
        <f t="shared" si="66"/>
        <v>0.89888867265906691</v>
      </c>
      <c r="AB56" s="864">
        <f t="shared" si="66"/>
        <v>0.74834742242372709</v>
      </c>
      <c r="AC56" s="864">
        <f t="shared" si="66"/>
        <v>3.3687147625831679</v>
      </c>
      <c r="AD56" s="879">
        <f t="shared" si="76"/>
        <v>0.81309305486877004</v>
      </c>
      <c r="AE56" s="880">
        <f t="shared" si="67"/>
        <v>2.0417659641545427</v>
      </c>
      <c r="AF56" s="864">
        <f t="shared" si="68"/>
        <v>0.89604942774846774</v>
      </c>
      <c r="AG56" s="864">
        <f t="shared" si="68"/>
        <v>0.84111325364170286</v>
      </c>
      <c r="AH56" s="864">
        <f t="shared" si="68"/>
        <v>0.60618446210101207</v>
      </c>
      <c r="AI56" s="864">
        <f t="shared" si="68"/>
        <v>0.64043433352571377</v>
      </c>
      <c r="AJ56" s="864">
        <f t="shared" si="68"/>
        <v>0.65940337766302415</v>
      </c>
      <c r="AK56" s="864">
        <f t="shared" si="68"/>
        <v>0.65865223852556554</v>
      </c>
      <c r="AL56" s="864">
        <f t="shared" si="68"/>
        <v>0.66173516706743774</v>
      </c>
      <c r="AM56" s="864">
        <f t="shared" si="68"/>
        <v>1.0124164119566907</v>
      </c>
      <c r="AN56" s="864">
        <f t="shared" si="68"/>
        <v>1.5118511483283443</v>
      </c>
      <c r="AO56" s="864">
        <f t="shared" si="68"/>
        <v>2.1752029464593545</v>
      </c>
      <c r="AP56" s="881">
        <f t="shared" si="68"/>
        <v>1.7978080861462165</v>
      </c>
      <c r="AQ56" s="879">
        <f t="shared" si="77"/>
        <v>1.0043486235017731</v>
      </c>
      <c r="AR56" s="872">
        <f t="shared" si="69"/>
        <v>0.19125556863300308</v>
      </c>
      <c r="AS56" s="880">
        <f t="shared" si="70"/>
        <v>1.4125177920074563</v>
      </c>
      <c r="AT56" s="864">
        <f t="shared" si="70"/>
        <v>0.7877266697045654</v>
      </c>
      <c r="AU56" s="864">
        <f t="shared" si="70"/>
        <v>0.78596111201320051</v>
      </c>
      <c r="AV56" s="864">
        <f t="shared" si="70"/>
        <v>0.75728994422626872</v>
      </c>
      <c r="AW56" s="864">
        <f t="shared" si="70"/>
        <v>1.0702419557631782</v>
      </c>
      <c r="AX56" s="864">
        <f t="shared" si="70"/>
        <v>0.76778400244498857</v>
      </c>
      <c r="AY56" s="864">
        <f t="shared" si="70"/>
        <v>0.86505466542819909</v>
      </c>
      <c r="AZ56" s="864">
        <f t="shared" si="70"/>
        <v>0.86158249199205494</v>
      </c>
      <c r="BA56" s="864">
        <f t="shared" si="70"/>
        <v>0.99980774039682441</v>
      </c>
      <c r="BB56" s="864">
        <f t="shared" si="70"/>
        <v>0.73964285751169678</v>
      </c>
      <c r="BC56" s="864">
        <f t="shared" si="70"/>
        <v>0.70014558330417187</v>
      </c>
      <c r="BD56" s="881">
        <f t="shared" si="70"/>
        <v>0.70706020851636897</v>
      </c>
      <c r="BE56" s="879">
        <f t="shared" si="70"/>
        <v>0.86899982645691332</v>
      </c>
      <c r="BF56" s="880">
        <f t="shared" si="70"/>
        <v>1.2247128152823921</v>
      </c>
      <c r="BG56" s="864">
        <f t="shared" si="71"/>
        <v>1.7770846844459167</v>
      </c>
      <c r="BH56" s="864">
        <f t="shared" si="71"/>
        <v>0.58153306457850462</v>
      </c>
      <c r="BI56" s="864">
        <f t="shared" si="71"/>
        <v>0.65035303575368331</v>
      </c>
      <c r="BJ56" s="864">
        <f t="shared" si="71"/>
        <v>0.9339719257089828</v>
      </c>
      <c r="BK56" s="864">
        <f t="shared" si="71"/>
        <v>0</v>
      </c>
      <c r="BL56" s="864">
        <f t="shared" si="71"/>
        <v>0</v>
      </c>
      <c r="BM56" s="864">
        <f t="shared" si="71"/>
        <v>0</v>
      </c>
      <c r="BN56" s="864">
        <f t="shared" si="71"/>
        <v>0</v>
      </c>
      <c r="BO56" s="864">
        <f t="shared" si="71"/>
        <v>0</v>
      </c>
      <c r="BP56" s="864">
        <f t="shared" si="71"/>
        <v>0</v>
      </c>
      <c r="BQ56" s="881">
        <f t="shared" si="71"/>
        <v>0</v>
      </c>
      <c r="BR56" s="879">
        <f t="shared" si="78"/>
        <v>0.91111535092519513</v>
      </c>
      <c r="BS56" s="872">
        <f t="shared" si="72"/>
        <v>-9.3233272576577986E-2</v>
      </c>
      <c r="BT56" s="864">
        <f t="shared" si="73"/>
        <v>0.86899982645691332</v>
      </c>
      <c r="BU56" s="864" cm="1">
        <f t="array" ref="BU56">INDEX($AS56:$BD56,,$D$4)</f>
        <v>1.0702419557631782</v>
      </c>
      <c r="BV56" s="1105" cm="1">
        <f t="array" ref="BV56">INDEX($BF56:$BQ56,,$D$4)-BU56</f>
        <v>-0.13627003005419536</v>
      </c>
      <c r="BW56" s="882">
        <f t="shared" si="34"/>
        <v>2.8694164912917045E-2</v>
      </c>
      <c r="BX56" s="1479">
        <f t="shared" si="43"/>
        <v>3.1893563884158094E-2</v>
      </c>
      <c r="BY56" s="883">
        <f t="shared" si="35"/>
        <v>3.0018348713603517E-2</v>
      </c>
      <c r="BZ56" s="884">
        <f t="shared" si="36"/>
        <v>2.9728215723919593E-2</v>
      </c>
      <c r="CA56" s="885">
        <f t="shared" si="44"/>
        <v>-2.1653481602385005E-3</v>
      </c>
      <c r="CB56" s="885">
        <f t="shared" si="37"/>
        <v>-2.9013298968392359E-4</v>
      </c>
      <c r="CC56" s="886"/>
    </row>
    <row r="57" spans="1:82">
      <c r="A57" s="463">
        <v>19</v>
      </c>
      <c r="B57" s="482">
        <f t="shared" si="74"/>
        <v>5</v>
      </c>
      <c r="C57" s="483"/>
      <c r="D57" s="483" t="s">
        <v>445</v>
      </c>
      <c r="E57" s="864">
        <f t="shared" si="65"/>
        <v>0.55266565860773831</v>
      </c>
      <c r="F57" s="864">
        <f t="shared" si="65"/>
        <v>0.3816440110708898</v>
      </c>
      <c r="G57" s="864">
        <f t="shared" si="65"/>
        <v>0.28823221711716257</v>
      </c>
      <c r="H57" s="864">
        <f t="shared" si="65"/>
        <v>0.2893428274027216</v>
      </c>
      <c r="I57" s="864">
        <f t="shared" si="65"/>
        <v>0.30460954130661944</v>
      </c>
      <c r="J57" s="864">
        <f t="shared" si="65"/>
        <v>0.31739081296237526</v>
      </c>
      <c r="K57" s="864">
        <f t="shared" si="65"/>
        <v>0.23087348508463418</v>
      </c>
      <c r="L57" s="864">
        <f t="shared" si="65"/>
        <v>0.23341556609951367</v>
      </c>
      <c r="M57" s="864">
        <f t="shared" si="65"/>
        <v>0.23274453034549372</v>
      </c>
      <c r="N57" s="864">
        <f t="shared" si="65"/>
        <v>0.21901193924688017</v>
      </c>
      <c r="O57" s="864">
        <f t="shared" si="65"/>
        <v>0.35407915781752508</v>
      </c>
      <c r="P57" s="864">
        <f t="shared" si="65"/>
        <v>0.1743591535755861</v>
      </c>
      <c r="Q57" s="879">
        <f t="shared" si="75"/>
        <v>0.14263415361924967</v>
      </c>
      <c r="R57" s="864">
        <f t="shared" si="66"/>
        <v>0.15080901532818075</v>
      </c>
      <c r="S57" s="864">
        <f t="shared" si="66"/>
        <v>0.23632096407246608</v>
      </c>
      <c r="T57" s="864">
        <f t="shared" si="66"/>
        <v>0.17019324088245372</v>
      </c>
      <c r="U57" s="864">
        <f t="shared" si="66"/>
        <v>0.19442879093595775</v>
      </c>
      <c r="V57" s="864">
        <f t="shared" si="66"/>
        <v>0.21785472359448835</v>
      </c>
      <c r="W57" s="864">
        <f t="shared" si="66"/>
        <v>0.22316807896369584</v>
      </c>
      <c r="X57" s="864">
        <f t="shared" si="66"/>
        <v>0.36376563042481241</v>
      </c>
      <c r="Y57" s="864">
        <f t="shared" si="66"/>
        <v>0.37659068792166323</v>
      </c>
      <c r="Z57" s="864">
        <f t="shared" si="66"/>
        <v>0.36146725278280195</v>
      </c>
      <c r="AA57" s="864">
        <f t="shared" si="66"/>
        <v>0.19350533852797341</v>
      </c>
      <c r="AB57" s="864">
        <f t="shared" si="66"/>
        <v>0.20957559591380567</v>
      </c>
      <c r="AC57" s="864">
        <f t="shared" si="66"/>
        <v>0.32548831915318621</v>
      </c>
      <c r="AD57" s="879">
        <f t="shared" si="76"/>
        <v>0.23255042210577787</v>
      </c>
      <c r="AE57" s="880">
        <f t="shared" si="67"/>
        <v>0.46028342186982779</v>
      </c>
      <c r="AF57" s="864">
        <f t="shared" si="68"/>
        <v>0.33843064100422482</v>
      </c>
      <c r="AG57" s="864">
        <f t="shared" si="68"/>
        <v>0.19639416580947008</v>
      </c>
      <c r="AH57" s="864">
        <f t="shared" si="68"/>
        <v>0.26852021831351275</v>
      </c>
      <c r="AI57" s="864">
        <f t="shared" si="68"/>
        <v>0.2245554804532891</v>
      </c>
      <c r="AJ57" s="864">
        <f t="shared" si="68"/>
        <v>0.21054846232196789</v>
      </c>
      <c r="AK57" s="864">
        <f t="shared" si="68"/>
        <v>0.21223069132358288</v>
      </c>
      <c r="AL57" s="864">
        <f t="shared" si="68"/>
        <v>0.20159242430557536</v>
      </c>
      <c r="AM57" s="864">
        <f t="shared" si="68"/>
        <v>0.20692248460544901</v>
      </c>
      <c r="AN57" s="864">
        <f t="shared" si="68"/>
        <v>0.3011981453207046</v>
      </c>
      <c r="AO57" s="864">
        <f t="shared" si="68"/>
        <v>0.43146501924233277</v>
      </c>
      <c r="AP57" s="881">
        <f t="shared" si="68"/>
        <v>0.24819036811395254</v>
      </c>
      <c r="AQ57" s="879">
        <f t="shared" si="77"/>
        <v>0.25359604392146062</v>
      </c>
      <c r="AR57" s="872">
        <f t="shared" si="69"/>
        <v>2.1045621815682758E-2</v>
      </c>
      <c r="AS57" s="880">
        <f t="shared" si="70"/>
        <v>0.27748736454987039</v>
      </c>
      <c r="AT57" s="864">
        <f t="shared" si="70"/>
        <v>0.21090549736518913</v>
      </c>
      <c r="AU57" s="864">
        <f t="shared" si="70"/>
        <v>0.2193025637914239</v>
      </c>
      <c r="AV57" s="864">
        <f t="shared" si="70"/>
        <v>0.22880421214988117</v>
      </c>
      <c r="AW57" s="864">
        <f t="shared" si="70"/>
        <v>0.18992578524853149</v>
      </c>
      <c r="AX57" s="864">
        <f t="shared" si="70"/>
        <v>0.19910078636907305</v>
      </c>
      <c r="AY57" s="864">
        <f t="shared" si="70"/>
        <v>0.19001164782225713</v>
      </c>
      <c r="AZ57" s="864">
        <f t="shared" si="70"/>
        <v>0.17807244558038546</v>
      </c>
      <c r="BA57" s="864">
        <f t="shared" si="70"/>
        <v>0.18502952846408868</v>
      </c>
      <c r="BB57" s="864">
        <f t="shared" si="70"/>
        <v>0.18014406007843944</v>
      </c>
      <c r="BC57" s="864">
        <f t="shared" si="70"/>
        <v>0.15753206059426347</v>
      </c>
      <c r="BD57" s="881">
        <f t="shared" si="70"/>
        <v>0.17951148742636125</v>
      </c>
      <c r="BE57" s="879">
        <f t="shared" si="70"/>
        <v>0.19863491008042142</v>
      </c>
      <c r="BF57" s="880">
        <f t="shared" si="70"/>
        <v>0.20940053756763932</v>
      </c>
      <c r="BG57" s="864">
        <f t="shared" si="71"/>
        <v>0.2875632416763293</v>
      </c>
      <c r="BH57" s="864">
        <f t="shared" si="71"/>
        <v>0.14167265203859622</v>
      </c>
      <c r="BI57" s="864">
        <f t="shared" si="71"/>
        <v>0.13201920565645439</v>
      </c>
      <c r="BJ57" s="864">
        <f t="shared" si="71"/>
        <v>0.16986217399703063</v>
      </c>
      <c r="BK57" s="864">
        <f t="shared" si="71"/>
        <v>0</v>
      </c>
      <c r="BL57" s="864">
        <f t="shared" si="71"/>
        <v>0</v>
      </c>
      <c r="BM57" s="864">
        <f t="shared" si="71"/>
        <v>0</v>
      </c>
      <c r="BN57" s="864">
        <f t="shared" si="71"/>
        <v>0</v>
      </c>
      <c r="BO57" s="864">
        <f t="shared" si="71"/>
        <v>0</v>
      </c>
      <c r="BP57" s="864">
        <f t="shared" si="71"/>
        <v>0</v>
      </c>
      <c r="BQ57" s="881">
        <f t="shared" si="71"/>
        <v>0</v>
      </c>
      <c r="BR57" s="879">
        <f t="shared" si="78"/>
        <v>0.17225936790039134</v>
      </c>
      <c r="BS57" s="872">
        <f t="shared" si="72"/>
        <v>-8.1336676021069282E-2</v>
      </c>
      <c r="BT57" s="864">
        <f t="shared" si="73"/>
        <v>0.19863491008042142</v>
      </c>
      <c r="BU57" s="864" cm="1">
        <f t="array" ref="BU57">INDEX($AS57:$BD57,,$D$4)</f>
        <v>0.18992578524853149</v>
      </c>
      <c r="BV57" s="1105" cm="1">
        <f t="array" ref="BV57">INDEX($BF57:$BQ57,,$D$4)-BU57</f>
        <v>-2.0063611251500857E-2</v>
      </c>
      <c r="BW57" s="882">
        <f t="shared" si="34"/>
        <v>8.2067361447929581E-3</v>
      </c>
      <c r="BX57" s="1479">
        <f t="shared" si="43"/>
        <v>8.0530618933681332E-3</v>
      </c>
      <c r="BY57" s="883">
        <f t="shared" si="35"/>
        <v>6.8615571786710943E-3</v>
      </c>
      <c r="BZ57" s="884">
        <f t="shared" si="36"/>
        <v>5.6205437041629957E-3</v>
      </c>
      <c r="CA57" s="885">
        <f t="shared" si="44"/>
        <v>-2.4325181892051375E-3</v>
      </c>
      <c r="CB57" s="885">
        <f t="shared" si="37"/>
        <v>-1.2410134745080986E-3</v>
      </c>
      <c r="CC57" s="886"/>
    </row>
    <row r="58" spans="1:82">
      <c r="A58" s="463">
        <v>20</v>
      </c>
      <c r="B58" s="482">
        <f t="shared" si="74"/>
        <v>6</v>
      </c>
      <c r="C58" s="483"/>
      <c r="D58" s="483" t="s">
        <v>446</v>
      </c>
      <c r="E58" s="864">
        <f t="shared" si="65"/>
        <v>0.29278446148034992</v>
      </c>
      <c r="F58" s="864">
        <f t="shared" si="65"/>
        <v>0.15017826871234352</v>
      </c>
      <c r="G58" s="864">
        <f t="shared" si="65"/>
        <v>0.16850238043617072</v>
      </c>
      <c r="H58" s="864">
        <f t="shared" si="65"/>
        <v>0.13351100585961048</v>
      </c>
      <c r="I58" s="864">
        <f t="shared" si="65"/>
        <v>0.21068079446841101</v>
      </c>
      <c r="J58" s="864">
        <f t="shared" si="65"/>
        <v>0.25224251770988448</v>
      </c>
      <c r="K58" s="864">
        <f t="shared" si="65"/>
        <v>0.25096202192854195</v>
      </c>
      <c r="L58" s="864">
        <f t="shared" si="65"/>
        <v>0.19334724032461764</v>
      </c>
      <c r="M58" s="864">
        <f t="shared" si="65"/>
        <v>0.17407766092690347</v>
      </c>
      <c r="N58" s="864">
        <f t="shared" si="65"/>
        <v>0.20298891329940214</v>
      </c>
      <c r="O58" s="864">
        <f t="shared" si="65"/>
        <v>0.35893033329108165</v>
      </c>
      <c r="P58" s="864">
        <f t="shared" si="65"/>
        <v>0.21733056061255021</v>
      </c>
      <c r="Q58" s="879">
        <f t="shared" si="75"/>
        <v>0.11402198351550413</v>
      </c>
      <c r="R58" s="864">
        <f t="shared" si="66"/>
        <v>0.11345537267656955</v>
      </c>
      <c r="S58" s="864">
        <f t="shared" si="66"/>
        <v>0.22057392067389675</v>
      </c>
      <c r="T58" s="864">
        <f t="shared" si="66"/>
        <v>0.14271348314836213</v>
      </c>
      <c r="U58" s="864">
        <f t="shared" si="66"/>
        <v>0.14141305669069404</v>
      </c>
      <c r="V58" s="864">
        <f t="shared" si="66"/>
        <v>0.17287913216195575</v>
      </c>
      <c r="W58" s="864">
        <f t="shared" si="66"/>
        <v>0.24027518841157741</v>
      </c>
      <c r="X58" s="864">
        <f t="shared" si="66"/>
        <v>0.30495190749797474</v>
      </c>
      <c r="Y58" s="864">
        <f t="shared" si="66"/>
        <v>0.36897245462827516</v>
      </c>
      <c r="Z58" s="864">
        <f t="shared" si="66"/>
        <v>0.33282187713315825</v>
      </c>
      <c r="AA58" s="864">
        <f t="shared" si="66"/>
        <v>0.23507251195271492</v>
      </c>
      <c r="AB58" s="864">
        <f t="shared" si="66"/>
        <v>0.25917365969782191</v>
      </c>
      <c r="AC58" s="864">
        <f t="shared" si="66"/>
        <v>0.44740435252117139</v>
      </c>
      <c r="AD58" s="879">
        <f t="shared" si="76"/>
        <v>0.22975674715586125</v>
      </c>
      <c r="AE58" s="880">
        <f t="shared" si="67"/>
        <v>0.5190109782354051</v>
      </c>
      <c r="AF58" s="864">
        <f t="shared" si="68"/>
        <v>0.39112140909880944</v>
      </c>
      <c r="AG58" s="864">
        <f t="shared" si="68"/>
        <v>0.21406383660450609</v>
      </c>
      <c r="AH58" s="864">
        <f t="shared" si="68"/>
        <v>0.27472774676884909</v>
      </c>
      <c r="AI58" s="864">
        <f t="shared" si="68"/>
        <v>0.22173604873584868</v>
      </c>
      <c r="AJ58" s="864">
        <f t="shared" si="68"/>
        <v>0.30534570779640086</v>
      </c>
      <c r="AK58" s="864">
        <f t="shared" si="68"/>
        <v>0.29308945552707893</v>
      </c>
      <c r="AL58" s="864">
        <f t="shared" si="68"/>
        <v>0.28454531951140821</v>
      </c>
      <c r="AM58" s="864">
        <f t="shared" si="68"/>
        <v>0.24920444525616023</v>
      </c>
      <c r="AN58" s="864">
        <f t="shared" si="68"/>
        <v>0.40218151319599316</v>
      </c>
      <c r="AO58" s="864">
        <f t="shared" si="68"/>
        <v>0.49619082041077567</v>
      </c>
      <c r="AP58" s="881">
        <f t="shared" si="68"/>
        <v>0.30912490432360756</v>
      </c>
      <c r="AQ58" s="879">
        <f t="shared" si="77"/>
        <v>0.30611705046950782</v>
      </c>
      <c r="AR58" s="872">
        <f t="shared" si="69"/>
        <v>7.6360303313646571E-2</v>
      </c>
      <c r="AS58" s="880">
        <f t="shared" si="70"/>
        <v>0.25446042155446902</v>
      </c>
      <c r="AT58" s="864">
        <f t="shared" si="70"/>
        <v>0.24375393378886701</v>
      </c>
      <c r="AU58" s="864">
        <f t="shared" si="70"/>
        <v>0.30527245988585133</v>
      </c>
      <c r="AV58" s="864">
        <f t="shared" si="70"/>
        <v>0.27959204110600044</v>
      </c>
      <c r="AW58" s="864">
        <f t="shared" si="70"/>
        <v>0.28259735725215612</v>
      </c>
      <c r="AX58" s="864">
        <f t="shared" si="70"/>
        <v>0.35421473663406589</v>
      </c>
      <c r="AY58" s="864">
        <f t="shared" si="70"/>
        <v>0.30462182695935847</v>
      </c>
      <c r="AZ58" s="864">
        <f t="shared" si="70"/>
        <v>0.27510353157529116</v>
      </c>
      <c r="BA58" s="864">
        <f t="shared" si="70"/>
        <v>0.31386292523473797</v>
      </c>
      <c r="BB58" s="864">
        <f t="shared" si="70"/>
        <v>0.27906362627108572</v>
      </c>
      <c r="BC58" s="864">
        <f t="shared" si="70"/>
        <v>0.28282016202290522</v>
      </c>
      <c r="BD58" s="881">
        <f t="shared" si="70"/>
        <v>0.28619546663440626</v>
      </c>
      <c r="BE58" s="879">
        <f t="shared" si="70"/>
        <v>0.28953940193002714</v>
      </c>
      <c r="BF58" s="880">
        <f t="shared" si="70"/>
        <v>0.33224167448633146</v>
      </c>
      <c r="BG58" s="864">
        <f t="shared" si="71"/>
        <v>0.38635958699133122</v>
      </c>
      <c r="BH58" s="864">
        <f t="shared" si="71"/>
        <v>0.20188384524414019</v>
      </c>
      <c r="BI58" s="864">
        <f t="shared" si="71"/>
        <v>0.23305708295389591</v>
      </c>
      <c r="BJ58" s="864">
        <f t="shared" si="71"/>
        <v>0.35118734972925519</v>
      </c>
      <c r="BK58" s="864">
        <f t="shared" si="71"/>
        <v>0</v>
      </c>
      <c r="BL58" s="864">
        <f t="shared" si="71"/>
        <v>0</v>
      </c>
      <c r="BM58" s="864">
        <f t="shared" si="71"/>
        <v>0</v>
      </c>
      <c r="BN58" s="864">
        <f t="shared" si="71"/>
        <v>0</v>
      </c>
      <c r="BO58" s="864">
        <f t="shared" si="71"/>
        <v>0</v>
      </c>
      <c r="BP58" s="864">
        <f t="shared" si="71"/>
        <v>0</v>
      </c>
      <c r="BQ58" s="881">
        <f t="shared" si="71"/>
        <v>0</v>
      </c>
      <c r="BR58" s="879">
        <f t="shared" si="78"/>
        <v>0.28347409363433013</v>
      </c>
      <c r="BS58" s="872">
        <f t="shared" si="72"/>
        <v>-2.2642956835177697E-2</v>
      </c>
      <c r="BT58" s="864">
        <f t="shared" si="73"/>
        <v>0.28953940193002714</v>
      </c>
      <c r="BU58" s="864" cm="1">
        <f t="array" ref="BU58">INDEX($AS58:$BD58,,$D$4)</f>
        <v>0.28259735725215612</v>
      </c>
      <c r="BV58" s="1105" cm="1">
        <f t="array" ref="BV58">INDEX($BF58:$BQ58,,$D$4)-BU58</f>
        <v>6.8589992477099071E-2</v>
      </c>
      <c r="BW58" s="882">
        <f t="shared" si="34"/>
        <v>8.108146974407128E-3</v>
      </c>
      <c r="BX58" s="1479">
        <f t="shared" si="43"/>
        <v>9.7208912092087516E-3</v>
      </c>
      <c r="BY58" s="883">
        <f t="shared" si="35"/>
        <v>1.0001722058910794E-2</v>
      </c>
      <c r="BZ58" s="884">
        <f t="shared" si="36"/>
        <v>9.2492997721381164E-3</v>
      </c>
      <c r="CA58" s="885">
        <f t="shared" si="44"/>
        <v>-4.7159143707063526E-4</v>
      </c>
      <c r="CB58" s="885">
        <f t="shared" si="37"/>
        <v>-7.5242228677267764E-4</v>
      </c>
      <c r="CC58" s="886"/>
    </row>
    <row r="59" spans="1:82">
      <c r="A59" s="463">
        <v>21</v>
      </c>
      <c r="B59" s="482">
        <f t="shared" si="74"/>
        <v>7</v>
      </c>
      <c r="C59" s="488" t="s">
        <v>440</v>
      </c>
      <c r="D59" s="488" t="s">
        <v>447</v>
      </c>
      <c r="E59" s="864">
        <f t="shared" si="65"/>
        <v>5.2645605916268545E-2</v>
      </c>
      <c r="F59" s="864">
        <f t="shared" si="65"/>
        <v>0</v>
      </c>
      <c r="G59" s="864">
        <f t="shared" si="65"/>
        <v>2.8940869549721863E-2</v>
      </c>
      <c r="H59" s="864">
        <f t="shared" si="65"/>
        <v>5.1032127384234509E-2</v>
      </c>
      <c r="I59" s="864">
        <f t="shared" si="65"/>
        <v>3.6218264034933022E-2</v>
      </c>
      <c r="J59" s="864">
        <f t="shared" si="65"/>
        <v>1.8638264434619731E-2</v>
      </c>
      <c r="K59" s="864">
        <f t="shared" si="65"/>
        <v>4.1958519586990879E-2</v>
      </c>
      <c r="L59" s="887">
        <f t="shared" si="65"/>
        <v>3.9520348823743195E-2</v>
      </c>
      <c r="M59" s="864">
        <f t="shared" si="65"/>
        <v>5.4232433516330579E-2</v>
      </c>
      <c r="N59" s="864">
        <f t="shared" si="65"/>
        <v>5.1983143816400242E-2</v>
      </c>
      <c r="O59" s="864">
        <f t="shared" si="65"/>
        <v>9.0597953351263E-2</v>
      </c>
      <c r="P59" s="864">
        <f t="shared" si="65"/>
        <v>8.1126849735703582E-2</v>
      </c>
      <c r="Q59" s="888">
        <f t="shared" si="75"/>
        <v>2.6333132957288691E-2</v>
      </c>
      <c r="R59" s="864">
        <f t="shared" si="66"/>
        <v>9.6973762049805901E-2</v>
      </c>
      <c r="S59" s="864">
        <f t="shared" si="66"/>
        <v>0.1926906306573514</v>
      </c>
      <c r="T59" s="864">
        <f t="shared" si="66"/>
        <v>0.11994758638830921</v>
      </c>
      <c r="U59" s="864">
        <f t="shared" si="66"/>
        <v>0.20009595815100359</v>
      </c>
      <c r="V59" s="864">
        <f t="shared" si="66"/>
        <v>0.2205381612200436</v>
      </c>
      <c r="W59" s="864">
        <f t="shared" si="66"/>
        <v>0.31903642683439215</v>
      </c>
      <c r="X59" s="864">
        <f t="shared" si="66"/>
        <v>0.62195032104173542</v>
      </c>
      <c r="Y59" s="887">
        <f t="shared" si="66"/>
        <v>0.42852893562727984</v>
      </c>
      <c r="Z59" s="864">
        <f t="shared" si="66"/>
        <v>0.30701014399622895</v>
      </c>
      <c r="AA59" s="864">
        <f t="shared" si="66"/>
        <v>0.19569354395593203</v>
      </c>
      <c r="AB59" s="864">
        <f t="shared" si="66"/>
        <v>0.18619584528783678</v>
      </c>
      <c r="AC59" s="864">
        <f t="shared" si="66"/>
        <v>0.31114018682520783</v>
      </c>
      <c r="AD59" s="888">
        <f t="shared" si="76"/>
        <v>0.23337928989856116</v>
      </c>
      <c r="AE59" s="889">
        <f t="shared" si="67"/>
        <v>0.6059713490722286</v>
      </c>
      <c r="AF59" s="887">
        <f t="shared" si="68"/>
        <v>0.31393161149521215</v>
      </c>
      <c r="AG59" s="887">
        <f t="shared" si="68"/>
        <v>0.13977145804990543</v>
      </c>
      <c r="AH59" s="887">
        <f t="shared" si="68"/>
        <v>0.21730414463502595</v>
      </c>
      <c r="AI59" s="887">
        <f t="shared" si="68"/>
        <v>0.24624924419715916</v>
      </c>
      <c r="AJ59" s="887">
        <f t="shared" si="68"/>
        <v>0.34233098914506549</v>
      </c>
      <c r="AK59" s="887">
        <f t="shared" si="68"/>
        <v>0.27227555303014855</v>
      </c>
      <c r="AL59" s="887">
        <f t="shared" si="68"/>
        <v>0.28520785780399771</v>
      </c>
      <c r="AM59" s="887">
        <f t="shared" si="68"/>
        <v>0.35029339318468977</v>
      </c>
      <c r="AN59" s="887">
        <f t="shared" si="68"/>
        <v>0.43126584429717468</v>
      </c>
      <c r="AO59" s="887">
        <f t="shared" si="68"/>
        <v>0.54067589076225975</v>
      </c>
      <c r="AP59" s="893">
        <f t="shared" si="68"/>
        <v>0.35354693391113612</v>
      </c>
      <c r="AQ59" s="888">
        <f t="shared" si="77"/>
        <v>0.31349431329757194</v>
      </c>
      <c r="AR59" s="902">
        <f t="shared" si="69"/>
        <v>8.0115023399010776E-2</v>
      </c>
      <c r="AS59" s="889">
        <f t="shared" si="70"/>
        <v>0.36428045286708838</v>
      </c>
      <c r="AT59" s="887">
        <f t="shared" si="70"/>
        <v>0.71322079865108989</v>
      </c>
      <c r="AU59" s="887">
        <f t="shared" si="70"/>
        <v>0.66461884411414851</v>
      </c>
      <c r="AV59" s="887">
        <f t="shared" si="70"/>
        <v>0.6399456023935054</v>
      </c>
      <c r="AW59" s="887">
        <f t="shared" si="70"/>
        <v>0.72003953141064891</v>
      </c>
      <c r="AX59" s="887">
        <f t="shared" si="70"/>
        <v>0.72902266966062668</v>
      </c>
      <c r="AY59" s="887">
        <f t="shared" si="70"/>
        <v>0.72508525604039498</v>
      </c>
      <c r="AZ59" s="887">
        <f t="shared" si="70"/>
        <v>0.76008719764942234</v>
      </c>
      <c r="BA59" s="887">
        <f t="shared" si="70"/>
        <v>0.74588791814345934</v>
      </c>
      <c r="BB59" s="887">
        <f t="shared" si="70"/>
        <v>0.74308976819089778</v>
      </c>
      <c r="BC59" s="887">
        <f t="shared" si="70"/>
        <v>0.75509131039830024</v>
      </c>
      <c r="BD59" s="893">
        <f t="shared" si="70"/>
        <v>0.70992106682705736</v>
      </c>
      <c r="BE59" s="888">
        <f t="shared" si="70"/>
        <v>0.69131808646801118</v>
      </c>
      <c r="BF59" s="889">
        <f t="shared" si="70"/>
        <v>0.4323113569595714</v>
      </c>
      <c r="BG59" s="887">
        <f t="shared" si="71"/>
        <v>0.63844040527855994</v>
      </c>
      <c r="BH59" s="887">
        <f t="shared" si="71"/>
        <v>0.2242600843231517</v>
      </c>
      <c r="BI59" s="887">
        <f t="shared" si="71"/>
        <v>0.24302405398970056</v>
      </c>
      <c r="BJ59" s="887">
        <f t="shared" si="71"/>
        <v>0.23348484252154797</v>
      </c>
      <c r="BK59" s="887">
        <f t="shared" si="71"/>
        <v>0</v>
      </c>
      <c r="BL59" s="887">
        <f t="shared" si="71"/>
        <v>0</v>
      </c>
      <c r="BM59" s="887">
        <f t="shared" si="71"/>
        <v>0</v>
      </c>
      <c r="BN59" s="887">
        <f t="shared" si="71"/>
        <v>0</v>
      </c>
      <c r="BO59" s="887">
        <f t="shared" si="71"/>
        <v>0</v>
      </c>
      <c r="BP59" s="887">
        <f t="shared" si="71"/>
        <v>0</v>
      </c>
      <c r="BQ59" s="893">
        <f t="shared" si="71"/>
        <v>0</v>
      </c>
      <c r="BR59" s="888">
        <f t="shared" si="78"/>
        <v>0.31066039939255502</v>
      </c>
      <c r="BS59" s="902">
        <f t="shared" si="72"/>
        <v>-2.833913905016916E-3</v>
      </c>
      <c r="BT59" s="864">
        <f t="shared" si="73"/>
        <v>0.69131808646801118</v>
      </c>
      <c r="BU59" s="864" cm="1">
        <f t="array" ref="BU59">INDEX($AS59:$BD59,,$D$4)</f>
        <v>0.72003953141064891</v>
      </c>
      <c r="BV59" s="1106" cm="1">
        <f t="array" ref="BV59">INDEX($BF59:$BQ59,,$D$4)-BU59</f>
        <v>-0.48655468888910092</v>
      </c>
      <c r="BW59" s="895">
        <f t="shared" si="34"/>
        <v>8.2359870023605078E-3</v>
      </c>
      <c r="BX59" s="1480">
        <f t="shared" si="43"/>
        <v>9.9551596671837647E-3</v>
      </c>
      <c r="BY59" s="896">
        <f t="shared" si="35"/>
        <v>2.3880588648940087E-2</v>
      </c>
      <c r="BZ59" s="897">
        <f t="shared" si="36"/>
        <v>1.0136344822467098E-2</v>
      </c>
      <c r="CA59" s="898">
        <f t="shared" si="44"/>
        <v>1.8118515528333344E-4</v>
      </c>
      <c r="CB59" s="898">
        <f t="shared" si="37"/>
        <v>-1.3744243826472989E-2</v>
      </c>
      <c r="CC59" s="899"/>
      <c r="CD59" s="454" t="s">
        <v>530</v>
      </c>
    </row>
    <row r="60" spans="1:82">
      <c r="A60" s="463">
        <v>22</v>
      </c>
      <c r="B60" s="903" t="s">
        <v>953</v>
      </c>
      <c r="C60" s="904"/>
      <c r="D60" s="903"/>
      <c r="E60" s="905">
        <f t="shared" ref="E60:P60" si="79">E40+E52</f>
        <v>40.909428769220973</v>
      </c>
      <c r="F60" s="905">
        <f t="shared" si="79"/>
        <v>35.431965454947083</v>
      </c>
      <c r="G60" s="905">
        <f t="shared" si="79"/>
        <v>33.231234868722062</v>
      </c>
      <c r="H60" s="905">
        <f t="shared" si="79"/>
        <v>32.743118962738038</v>
      </c>
      <c r="I60" s="905">
        <f t="shared" si="79"/>
        <v>30.879871305394474</v>
      </c>
      <c r="J60" s="905">
        <f t="shared" si="79"/>
        <v>34.339154188240066</v>
      </c>
      <c r="K60" s="905">
        <f t="shared" si="79"/>
        <v>27.639301735640217</v>
      </c>
      <c r="L60" s="905">
        <f t="shared" si="79"/>
        <v>26.278608598424114</v>
      </c>
      <c r="M60" s="905">
        <f t="shared" si="79"/>
        <v>27.395699938348091</v>
      </c>
      <c r="N60" s="905">
        <f t="shared" si="79"/>
        <v>25.003350594181398</v>
      </c>
      <c r="O60" s="905">
        <f t="shared" si="79"/>
        <v>29.286979231199087</v>
      </c>
      <c r="P60" s="905">
        <f t="shared" si="79"/>
        <v>24.696778059574278</v>
      </c>
      <c r="Q60" s="906">
        <f>Q40+Q52</f>
        <v>24.662195166363766</v>
      </c>
      <c r="R60" s="905">
        <f t="shared" ref="R60:BR60" si="80">R40+R52</f>
        <v>24.364822958066338</v>
      </c>
      <c r="S60" s="905">
        <f t="shared" si="80"/>
        <v>29.047249077270415</v>
      </c>
      <c r="T60" s="905">
        <f t="shared" si="80"/>
        <v>25.71030381574792</v>
      </c>
      <c r="U60" s="905">
        <f t="shared" si="80"/>
        <v>27.526169454808382</v>
      </c>
      <c r="V60" s="905">
        <f t="shared" si="80"/>
        <v>26.896716481475924</v>
      </c>
      <c r="W60" s="905">
        <f t="shared" si="80"/>
        <v>28.597726223852337</v>
      </c>
      <c r="X60" s="905">
        <f t="shared" si="80"/>
        <v>35.26972082808949</v>
      </c>
      <c r="Y60" s="905">
        <f t="shared" si="80"/>
        <v>33.310285536494717</v>
      </c>
      <c r="Z60" s="905">
        <f t="shared" si="80"/>
        <v>32.066393545912732</v>
      </c>
      <c r="AA60" s="905">
        <f t="shared" si="80"/>
        <v>27.725302433409919</v>
      </c>
      <c r="AB60" s="905">
        <f t="shared" si="80"/>
        <v>26.763307571471056</v>
      </c>
      <c r="AC60" s="905">
        <f t="shared" si="80"/>
        <v>32.731667542678196</v>
      </c>
      <c r="AD60" s="1264">
        <f t="shared" si="80"/>
        <v>28.336529651111952</v>
      </c>
      <c r="AE60" s="907">
        <f t="shared" si="80"/>
        <v>38.101761204736121</v>
      </c>
      <c r="AF60" s="905">
        <f>AF40+AF52</f>
        <v>31.267797609068936</v>
      </c>
      <c r="AG60" s="905">
        <f t="shared" ref="AG60:AQ60" si="81">AG40+AG52</f>
        <v>28.162549372026469</v>
      </c>
      <c r="AH60" s="905">
        <f t="shared" si="81"/>
        <v>30.337385296603539</v>
      </c>
      <c r="AI60" s="905">
        <f t="shared" si="81"/>
        <v>29.288123024415718</v>
      </c>
      <c r="AJ60" s="905">
        <f t="shared" si="81"/>
        <v>30.6150848659872</v>
      </c>
      <c r="AK60" s="905">
        <f t="shared" si="81"/>
        <v>30.907228952124839</v>
      </c>
      <c r="AL60" s="905">
        <f t="shared" si="81"/>
        <v>31.067073625697716</v>
      </c>
      <c r="AM60" s="905">
        <f t="shared" si="81"/>
        <v>31.462900284322039</v>
      </c>
      <c r="AN60" s="905">
        <f t="shared" si="81"/>
        <v>34.081132007750966</v>
      </c>
      <c r="AO60" s="905">
        <f t="shared" si="81"/>
        <v>37.025618583315982</v>
      </c>
      <c r="AP60" s="908">
        <f t="shared" si="81"/>
        <v>33.531065170429912</v>
      </c>
      <c r="AQ60" s="906">
        <f t="shared" si="81"/>
        <v>31.490636391395718</v>
      </c>
      <c r="AR60" s="909">
        <f>AR40+AR52</f>
        <v>3.1541067402837655</v>
      </c>
      <c r="AS60" s="907">
        <f t="shared" si="80"/>
        <v>29.297021407602521</v>
      </c>
      <c r="AT60" s="905">
        <f t="shared" si="80"/>
        <v>30.606726701903291</v>
      </c>
      <c r="AU60" s="905">
        <f t="shared" si="80"/>
        <v>28.559886570012289</v>
      </c>
      <c r="AV60" s="905">
        <f t="shared" si="80"/>
        <v>28.770540640599663</v>
      </c>
      <c r="AW60" s="905">
        <f t="shared" si="80"/>
        <v>29.019213745675827</v>
      </c>
      <c r="AX60" s="905">
        <f t="shared" si="80"/>
        <v>28.914553288242466</v>
      </c>
      <c r="AY60" s="905">
        <f t="shared" si="80"/>
        <v>28.74099460829693</v>
      </c>
      <c r="AZ60" s="905">
        <f t="shared" si="80"/>
        <v>28.73151874520255</v>
      </c>
      <c r="BA60" s="905">
        <f t="shared" si="80"/>
        <v>28.95196458309184</v>
      </c>
      <c r="BB60" s="905">
        <f t="shared" si="80"/>
        <v>28.505227395146918</v>
      </c>
      <c r="BC60" s="905">
        <f t="shared" si="80"/>
        <v>28.693342018892228</v>
      </c>
      <c r="BD60" s="908">
        <f t="shared" si="80"/>
        <v>29.027872208947031</v>
      </c>
      <c r="BE60" s="906">
        <f t="shared" si="80"/>
        <v>28.948955012408984</v>
      </c>
      <c r="BF60" s="1523">
        <f t="shared" si="80"/>
        <v>32.995066743875221</v>
      </c>
      <c r="BG60" s="1524">
        <f>BG40+BG52</f>
        <v>37.141356528449236</v>
      </c>
      <c r="BH60" s="1524">
        <f t="shared" ref="BH60:BQ60" si="82">BH40+BH52</f>
        <v>28.469087487311626</v>
      </c>
      <c r="BI60" s="1524">
        <f t="shared" si="82"/>
        <v>28.173126148595721</v>
      </c>
      <c r="BJ60" s="905">
        <f t="shared" si="82"/>
        <v>31.145554982635055</v>
      </c>
      <c r="BK60" s="905">
        <f t="shared" si="82"/>
        <v>0</v>
      </c>
      <c r="BL60" s="905">
        <f t="shared" si="82"/>
        <v>0</v>
      </c>
      <c r="BM60" s="905">
        <f t="shared" si="82"/>
        <v>0</v>
      </c>
      <c r="BN60" s="905">
        <f t="shared" si="82"/>
        <v>0</v>
      </c>
      <c r="BO60" s="905">
        <f t="shared" si="82"/>
        <v>0</v>
      </c>
      <c r="BP60" s="905">
        <f t="shared" si="82"/>
        <v>0</v>
      </c>
      <c r="BQ60" s="908">
        <f t="shared" si="82"/>
        <v>0</v>
      </c>
      <c r="BR60" s="906">
        <f t="shared" si="80"/>
        <v>30.648168036270789</v>
      </c>
      <c r="BS60" s="909">
        <f>BS40+BS52</f>
        <v>-0.84246835512492879</v>
      </c>
      <c r="BT60" s="905">
        <f>BT40+BT52</f>
        <v>28.948955012408984</v>
      </c>
      <c r="BU60" s="905">
        <f>BU40+BU52</f>
        <v>29.019213745675827</v>
      </c>
      <c r="BV60" s="1103" cm="1">
        <f t="array" ref="BV60">INDEX($BF60:$BQ60,,$D$4)-BU60</f>
        <v>2.1263412369592274</v>
      </c>
      <c r="BW60" s="910">
        <f t="shared" si="34"/>
        <v>1</v>
      </c>
      <c r="BX60" s="1481">
        <f t="shared" si="43"/>
        <v>1</v>
      </c>
      <c r="BY60" s="911">
        <f t="shared" si="35"/>
        <v>1</v>
      </c>
      <c r="BZ60" s="912">
        <f t="shared" si="36"/>
        <v>1</v>
      </c>
      <c r="CA60" s="861">
        <f t="shared" si="44"/>
        <v>0</v>
      </c>
      <c r="CB60" s="862">
        <f t="shared" si="37"/>
        <v>0</v>
      </c>
      <c r="CC60" s="913"/>
    </row>
    <row r="61" spans="1:82">
      <c r="A61" s="831">
        <v>27</v>
      </c>
      <c r="B61" s="903" t="s">
        <v>740</v>
      </c>
      <c r="C61" s="914"/>
      <c r="D61" s="903"/>
      <c r="E61" s="915">
        <f>E60-E53-E55</f>
        <v>34.936044819926416</v>
      </c>
      <c r="F61" s="915">
        <f t="shared" ref="F61:Q61" si="83">F60-F53-F55</f>
        <v>31.463040735008772</v>
      </c>
      <c r="G61" s="915">
        <f t="shared" si="83"/>
        <v>30.03283648854725</v>
      </c>
      <c r="H61" s="915">
        <f t="shared" si="83"/>
        <v>30.262536196744676</v>
      </c>
      <c r="I61" s="915">
        <f t="shared" si="83"/>
        <v>28.860945218014528</v>
      </c>
      <c r="J61" s="915">
        <f t="shared" si="83"/>
        <v>31.822856736734835</v>
      </c>
      <c r="K61" s="915">
        <f t="shared" si="83"/>
        <v>25.838031357535154</v>
      </c>
      <c r="L61" s="915">
        <f t="shared" si="83"/>
        <v>24.624948031568689</v>
      </c>
      <c r="M61" s="915">
        <f t="shared" si="83"/>
        <v>25.983214530413946</v>
      </c>
      <c r="N61" s="915">
        <f t="shared" si="83"/>
        <v>23.818514369441882</v>
      </c>
      <c r="O61" s="915">
        <f t="shared" si="83"/>
        <v>27.581115383955893</v>
      </c>
      <c r="P61" s="915">
        <f t="shared" si="83"/>
        <v>23.8993984455876</v>
      </c>
      <c r="Q61" s="906">
        <f t="shared" si="83"/>
        <v>23.607002294303594</v>
      </c>
      <c r="R61" s="915">
        <f>R60-R53-R55</f>
        <v>22.4794942057284</v>
      </c>
      <c r="S61" s="915">
        <f t="shared" ref="S61:BR61" si="84">S60-S53-S55</f>
        <v>25.43986720054523</v>
      </c>
      <c r="T61" s="915">
        <f t="shared" si="84"/>
        <v>23.544927607982196</v>
      </c>
      <c r="U61" s="915">
        <f t="shared" si="84"/>
        <v>25.135542943359582</v>
      </c>
      <c r="V61" s="915">
        <f t="shared" si="84"/>
        <v>24.451070642469613</v>
      </c>
      <c r="W61" s="915">
        <f t="shared" si="84"/>
        <v>25.505868423396297</v>
      </c>
      <c r="X61" s="915">
        <f t="shared" si="84"/>
        <v>29.461646235178126</v>
      </c>
      <c r="Y61" s="915">
        <f t="shared" si="84"/>
        <v>28.356646105367268</v>
      </c>
      <c r="Z61" s="915">
        <f t="shared" si="84"/>
        <v>28.136785010554238</v>
      </c>
      <c r="AA61" s="915">
        <f t="shared" si="84"/>
        <v>25.302761548679008</v>
      </c>
      <c r="AB61" s="915">
        <f t="shared" si="84"/>
        <v>24.613785788465375</v>
      </c>
      <c r="AC61" s="915">
        <f t="shared" si="84"/>
        <v>29.453732269392777</v>
      </c>
      <c r="AD61" s="906">
        <f t="shared" si="84"/>
        <v>25.471641005310175</v>
      </c>
      <c r="AE61" s="907">
        <f t="shared" si="84"/>
        <v>31.899650694558268</v>
      </c>
      <c r="AF61" s="905">
        <f t="shared" si="84"/>
        <v>27.408909224662526</v>
      </c>
      <c r="AG61" s="905">
        <f>AG60-AG53-AG55</f>
        <v>25.743659224948125</v>
      </c>
      <c r="AH61" s="905">
        <f t="shared" ref="AH61:AQ61" si="85">AH60-AH53-AH55</f>
        <v>27.544928983154918</v>
      </c>
      <c r="AI61" s="905">
        <f t="shared" si="85"/>
        <v>26.879966961975086</v>
      </c>
      <c r="AJ61" s="905">
        <f t="shared" si="85"/>
        <v>27.696159888674991</v>
      </c>
      <c r="AK61" s="905">
        <f t="shared" si="85"/>
        <v>28.138463031702781</v>
      </c>
      <c r="AL61" s="905">
        <f t="shared" si="85"/>
        <v>28.203608127945742</v>
      </c>
      <c r="AM61" s="905">
        <f t="shared" si="85"/>
        <v>28.519439612317949</v>
      </c>
      <c r="AN61" s="905">
        <f t="shared" si="85"/>
        <v>29.899387147612803</v>
      </c>
      <c r="AO61" s="905">
        <f t="shared" si="85"/>
        <v>31.243402298719705</v>
      </c>
      <c r="AP61" s="908">
        <f t="shared" si="85"/>
        <v>29.996174808525037</v>
      </c>
      <c r="AQ61" s="906">
        <f t="shared" si="85"/>
        <v>28.23225824373063</v>
      </c>
      <c r="AR61" s="909">
        <f t="shared" ref="AR61:AR64" si="86">AQ61-AD61</f>
        <v>2.7606172384204548</v>
      </c>
      <c r="AS61" s="907">
        <f t="shared" ref="AS61:BE61" si="87">AS60-AS53-AS55</f>
        <v>26.484508117862745</v>
      </c>
      <c r="AT61" s="905">
        <f t="shared" si="87"/>
        <v>27.060384016873762</v>
      </c>
      <c r="AU61" s="905">
        <f t="shared" si="87"/>
        <v>25.762322943252141</v>
      </c>
      <c r="AV61" s="905">
        <f t="shared" si="87"/>
        <v>25.971469278163848</v>
      </c>
      <c r="AW61" s="905">
        <f t="shared" si="87"/>
        <v>26.209540750037512</v>
      </c>
      <c r="AX61" s="905">
        <f t="shared" si="87"/>
        <v>26.127775580223361</v>
      </c>
      <c r="AY61" s="905">
        <f t="shared" si="87"/>
        <v>26.018576662587737</v>
      </c>
      <c r="AZ61" s="905">
        <f t="shared" si="87"/>
        <v>26.03401995689115</v>
      </c>
      <c r="BA61" s="905">
        <f t="shared" si="87"/>
        <v>26.245174754177761</v>
      </c>
      <c r="BB61" s="905">
        <f t="shared" si="87"/>
        <v>25.810960468680978</v>
      </c>
      <c r="BC61" s="905">
        <f t="shared" si="87"/>
        <v>25.961654718447594</v>
      </c>
      <c r="BD61" s="908">
        <f t="shared" si="87"/>
        <v>26.324630987454853</v>
      </c>
      <c r="BE61" s="906">
        <f t="shared" si="87"/>
        <v>26.147540400047991</v>
      </c>
      <c r="BF61" s="907">
        <f t="shared" si="84"/>
        <v>28.996336186821384</v>
      </c>
      <c r="BG61" s="905">
        <f t="shared" si="84"/>
        <v>30.824932720818513</v>
      </c>
      <c r="BH61" s="905">
        <f>BH60-BH53-BH55</f>
        <v>25.792417859699544</v>
      </c>
      <c r="BI61" s="905">
        <f>BI60-BI53-BI55</f>
        <v>25.515490049360643</v>
      </c>
      <c r="BJ61" s="905">
        <f t="shared" si="84"/>
        <v>27.897941021811359</v>
      </c>
      <c r="BK61" s="905">
        <f t="shared" si="84"/>
        <v>0</v>
      </c>
      <c r="BL61" s="905">
        <f t="shared" si="84"/>
        <v>0</v>
      </c>
      <c r="BM61" s="905">
        <f t="shared" si="84"/>
        <v>0</v>
      </c>
      <c r="BN61" s="905">
        <f t="shared" si="84"/>
        <v>0</v>
      </c>
      <c r="BO61" s="905">
        <f t="shared" si="84"/>
        <v>0</v>
      </c>
      <c r="BP61" s="905">
        <f t="shared" si="84"/>
        <v>0</v>
      </c>
      <c r="BQ61" s="908">
        <f t="shared" si="84"/>
        <v>0</v>
      </c>
      <c r="BR61" s="906">
        <f t="shared" si="84"/>
        <v>27.241541554685718</v>
      </c>
      <c r="BS61" s="909">
        <f>BR61-AD61</f>
        <v>1.7699005493755422</v>
      </c>
      <c r="BT61" s="905">
        <f>BE61</f>
        <v>26.147540400047991</v>
      </c>
      <c r="BU61" s="905">
        <f t="shared" ref="BU61" si="88">BU60-BU53-BU55</f>
        <v>26.209540750037512</v>
      </c>
      <c r="BV61" s="1107" cm="1">
        <f t="array" ref="BV61">INDEX($BF61:$BQ61,,$D$4)-BU61</f>
        <v>1.6884002717738475</v>
      </c>
      <c r="BW61" s="916"/>
      <c r="BX61" s="1482"/>
      <c r="BY61" s="917"/>
      <c r="BZ61" s="912"/>
      <c r="CA61" s="918"/>
      <c r="CB61" s="918"/>
      <c r="CC61" s="913"/>
    </row>
    <row r="62" spans="1:82">
      <c r="A62" s="530">
        <v>24</v>
      </c>
      <c r="B62" s="919" t="s">
        <v>525</v>
      </c>
      <c r="C62" s="919"/>
      <c r="D62" s="919"/>
      <c r="E62" s="847">
        <f>E31</f>
        <v>841.88200000000006</v>
      </c>
      <c r="F62" s="847">
        <f t="shared" ref="F62:BQ62" si="89">F31</f>
        <v>1307.212</v>
      </c>
      <c r="G62" s="847">
        <f t="shared" si="89"/>
        <v>1683.5150000000001</v>
      </c>
      <c r="H62" s="847">
        <f t="shared" si="89"/>
        <v>1492.932</v>
      </c>
      <c r="I62" s="847">
        <f t="shared" si="89"/>
        <v>1899.635</v>
      </c>
      <c r="J62" s="847">
        <f t="shared" si="89"/>
        <v>1515.6790000000001</v>
      </c>
      <c r="K62" s="847">
        <f t="shared" si="89"/>
        <v>2178.2570000000001</v>
      </c>
      <c r="L62" s="847">
        <f t="shared" si="89"/>
        <v>2374.6089999999999</v>
      </c>
      <c r="M62" s="847">
        <f t="shared" si="89"/>
        <v>2017.2435</v>
      </c>
      <c r="N62" s="847">
        <f t="shared" si="89"/>
        <v>2500.7439999999997</v>
      </c>
      <c r="O62" s="847">
        <f t="shared" si="89"/>
        <v>1739.5754999999999</v>
      </c>
      <c r="P62" s="847">
        <f t="shared" si="89"/>
        <v>3906.0309999999995</v>
      </c>
      <c r="Q62" s="920">
        <f>SUM(E62:P62)/(12-COUNTIF(E10:P10,0))</f>
        <v>1954.7762499999999</v>
      </c>
      <c r="R62" s="847">
        <f t="shared" si="89"/>
        <v>4748.3130000000001</v>
      </c>
      <c r="S62" s="847">
        <f t="shared" si="89"/>
        <v>2926.5019999999995</v>
      </c>
      <c r="T62" s="847">
        <f t="shared" si="89"/>
        <v>4896.4380000000001</v>
      </c>
      <c r="U62" s="847">
        <f t="shared" si="89"/>
        <v>4526.3689999999997</v>
      </c>
      <c r="V62" s="847">
        <f t="shared" si="89"/>
        <v>4417.8749999999991</v>
      </c>
      <c r="W62" s="847">
        <f t="shared" si="89"/>
        <v>3495.0745000000011</v>
      </c>
      <c r="X62" s="847">
        <f t="shared" si="89"/>
        <v>1866.424</v>
      </c>
      <c r="Y62" s="847">
        <f t="shared" si="89"/>
        <v>2192.5824999999995</v>
      </c>
      <c r="Z62" s="847">
        <f t="shared" si="89"/>
        <v>2799.3996999999999</v>
      </c>
      <c r="AA62" s="847">
        <f t="shared" si="89"/>
        <v>4293.2714999999989</v>
      </c>
      <c r="AB62" s="847">
        <f t="shared" si="89"/>
        <v>4775.3970000000008</v>
      </c>
      <c r="AC62" s="847">
        <f t="shared" si="89"/>
        <v>3318.6420999999996</v>
      </c>
      <c r="AD62" s="920">
        <f>SUM(R62:AC62)/(12-COUNTIF(R10:AC10,0))</f>
        <v>3688.0240250000002</v>
      </c>
      <c r="AE62" s="923">
        <f t="shared" ref="AE62" si="90">AE31</f>
        <v>1839.7309999999998</v>
      </c>
      <c r="AF62" s="924">
        <f>AF31</f>
        <v>2957.2660000000001</v>
      </c>
      <c r="AG62" s="924">
        <f t="shared" ref="AG62:AP62" si="91">AG31</f>
        <v>4821.92</v>
      </c>
      <c r="AH62" s="924">
        <f t="shared" si="91"/>
        <v>4088.2489999999993</v>
      </c>
      <c r="AI62" s="924">
        <f t="shared" si="91"/>
        <v>4828.9710000000005</v>
      </c>
      <c r="AJ62" s="924">
        <f t="shared" si="91"/>
        <v>4232.4530000000004</v>
      </c>
      <c r="AK62" s="924">
        <f t="shared" si="91"/>
        <v>4561.6410000000005</v>
      </c>
      <c r="AL62" s="924">
        <f t="shared" si="91"/>
        <v>4570.5645000000004</v>
      </c>
      <c r="AM62" s="924">
        <f t="shared" si="91"/>
        <v>4555.5080000000007</v>
      </c>
      <c r="AN62" s="924">
        <f t="shared" si="91"/>
        <v>3173.9179999999997</v>
      </c>
      <c r="AO62" s="924">
        <f t="shared" si="91"/>
        <v>2323.2630000000004</v>
      </c>
      <c r="AP62" s="925">
        <f t="shared" si="91"/>
        <v>3552.8617999999997</v>
      </c>
      <c r="AQ62" s="920">
        <f>SUM(AE62:AP62)/(12-COUNTIF(AE10:AP10,0))</f>
        <v>3792.1955249999996</v>
      </c>
      <c r="AR62" s="926">
        <f t="shared" si="86"/>
        <v>104.17149999999947</v>
      </c>
      <c r="AS62" s="921">
        <f t="shared" ref="AS62:BD62" si="92">AS31</f>
        <v>3955</v>
      </c>
      <c r="AT62" s="847">
        <f t="shared" si="92"/>
        <v>3245</v>
      </c>
      <c r="AU62" s="847">
        <f t="shared" si="92"/>
        <v>4145</v>
      </c>
      <c r="AV62" s="847">
        <f t="shared" si="92"/>
        <v>4155</v>
      </c>
      <c r="AW62" s="847">
        <f t="shared" si="92"/>
        <v>4145</v>
      </c>
      <c r="AX62" s="847">
        <f t="shared" si="92"/>
        <v>4230</v>
      </c>
      <c r="AY62" s="847">
        <f t="shared" si="92"/>
        <v>4330</v>
      </c>
      <c r="AZ62" s="847">
        <f t="shared" si="92"/>
        <v>4370</v>
      </c>
      <c r="BA62" s="847">
        <f t="shared" si="92"/>
        <v>4355</v>
      </c>
      <c r="BB62" s="847">
        <f t="shared" si="92"/>
        <v>4380</v>
      </c>
      <c r="BC62" s="847">
        <f t="shared" si="92"/>
        <v>4320</v>
      </c>
      <c r="BD62" s="848">
        <f t="shared" si="92"/>
        <v>4370</v>
      </c>
      <c r="BE62" s="922">
        <f>SUM(AS62:BD62)/(12-COUNTIF(AS10:BD10,0))</f>
        <v>4166.666666666667</v>
      </c>
      <c r="BF62" s="923">
        <f t="shared" si="89"/>
        <v>2868.56925</v>
      </c>
      <c r="BG62" s="924">
        <f>BG31</f>
        <v>1811.1000000000001</v>
      </c>
      <c r="BH62" s="924">
        <f t="shared" si="89"/>
        <v>4279.4889999999996</v>
      </c>
      <c r="BI62" s="924">
        <f t="shared" si="89"/>
        <v>4370.2853999999998</v>
      </c>
      <c r="BJ62" s="924">
        <f t="shared" si="89"/>
        <v>3592.6819999999998</v>
      </c>
      <c r="BK62" s="924">
        <f t="shared" si="89"/>
        <v>0</v>
      </c>
      <c r="BL62" s="924">
        <f t="shared" si="89"/>
        <v>0</v>
      </c>
      <c r="BM62" s="924">
        <f t="shared" si="89"/>
        <v>0</v>
      </c>
      <c r="BN62" s="924">
        <f t="shared" si="89"/>
        <v>0</v>
      </c>
      <c r="BO62" s="924">
        <f t="shared" si="89"/>
        <v>0</v>
      </c>
      <c r="BP62" s="924">
        <f t="shared" si="89"/>
        <v>0</v>
      </c>
      <c r="BQ62" s="925">
        <f t="shared" si="89"/>
        <v>0</v>
      </c>
      <c r="BR62" s="920">
        <f>SUM(BF62:BQ62)/(12-COUNTIF(BF10:BQ10,0))</f>
        <v>3384.4251300000005</v>
      </c>
      <c r="BS62" s="926">
        <f>BR62-AQ62</f>
        <v>-407.7703949999991</v>
      </c>
      <c r="BT62" s="924">
        <f>BE62</f>
        <v>4166.666666666667</v>
      </c>
      <c r="BU62" s="924" cm="1">
        <f t="array" ref="BU62">INDEX($AS62:$BD62,,$D$4)</f>
        <v>4145</v>
      </c>
      <c r="BV62" s="1108" cm="1">
        <f t="array" ref="BV62">INDEX($BF62:$BQ62,,$D$4)-BU62</f>
        <v>-552.31800000000021</v>
      </c>
      <c r="BW62" s="927"/>
      <c r="BX62" s="1483"/>
      <c r="BY62" s="928"/>
      <c r="BZ62" s="929"/>
      <c r="CA62" s="930"/>
      <c r="CB62" s="931"/>
      <c r="CC62" s="924"/>
    </row>
    <row r="63" spans="1:82">
      <c r="A63" s="463">
        <v>25</v>
      </c>
      <c r="B63" s="1564" t="s">
        <v>531</v>
      </c>
      <c r="C63" s="1564"/>
      <c r="D63" s="1564"/>
      <c r="E63" s="531">
        <f t="shared" ref="E63:G63" si="93">SUM(E41,E44,E46,E48,E51)</f>
        <v>23.272827611678363</v>
      </c>
      <c r="F63" s="531">
        <f t="shared" si="93"/>
        <v>22.988958065392605</v>
      </c>
      <c r="G63" s="531">
        <f t="shared" si="93"/>
        <v>22.681416894019357</v>
      </c>
      <c r="H63" s="531">
        <f>SUM(H41,H44,H46,H48,H51)</f>
        <v>22.022091720989302</v>
      </c>
      <c r="I63" s="531">
        <f t="shared" ref="I63:AQ63" si="94">SUM(I41,I44,I46,I48,I51)</f>
        <v>21.697313536752585</v>
      </c>
      <c r="J63" s="531">
        <f t="shared" si="94"/>
        <v>22.551223679948059</v>
      </c>
      <c r="K63" s="531">
        <f t="shared" si="94"/>
        <v>19.165582575655666</v>
      </c>
      <c r="L63" s="531">
        <f t="shared" si="94"/>
        <v>18.316712544044094</v>
      </c>
      <c r="M63" s="531">
        <f t="shared" si="94"/>
        <v>19.152547569770331</v>
      </c>
      <c r="N63" s="531">
        <f t="shared" si="94"/>
        <v>17.787451636792891</v>
      </c>
      <c r="O63" s="531">
        <f t="shared" si="94"/>
        <v>19.180631646628733</v>
      </c>
      <c r="P63" s="531">
        <f t="shared" si="94"/>
        <v>19.131844695783933</v>
      </c>
      <c r="Q63" s="932">
        <f t="shared" si="94"/>
        <v>19.760467905924752</v>
      </c>
      <c r="R63" s="531">
        <f t="shared" si="94"/>
        <v>17.948177509556348</v>
      </c>
      <c r="S63" s="531">
        <f t="shared" si="94"/>
        <v>19.396253595809295</v>
      </c>
      <c r="T63" s="531">
        <f t="shared" si="94"/>
        <v>19.383062338985635</v>
      </c>
      <c r="U63" s="531">
        <f>SUM(U41,U44,U46,U48,U51)</f>
        <v>19.937223798176124</v>
      </c>
      <c r="V63" s="531">
        <f t="shared" si="94"/>
        <v>19.122937523781076</v>
      </c>
      <c r="W63" s="531">
        <f t="shared" si="94"/>
        <v>18.628787451937896</v>
      </c>
      <c r="X63" s="531">
        <f t="shared" si="94"/>
        <v>19.143955212370578</v>
      </c>
      <c r="Y63" s="531">
        <f t="shared" si="94"/>
        <v>18.69607359042805</v>
      </c>
      <c r="Z63" s="531">
        <f t="shared" si="94"/>
        <v>19.616423624724003</v>
      </c>
      <c r="AA63" s="531">
        <f t="shared" si="94"/>
        <v>19.368928154266165</v>
      </c>
      <c r="AB63" s="531">
        <f t="shared" si="94"/>
        <v>18.911342412100201</v>
      </c>
      <c r="AC63" s="531">
        <f t="shared" si="94"/>
        <v>18.660515558360363</v>
      </c>
      <c r="AD63" s="932">
        <f t="shared" si="94"/>
        <v>19.06531599293432</v>
      </c>
      <c r="AE63" s="933">
        <f t="shared" si="94"/>
        <v>18.809168361423463</v>
      </c>
      <c r="AF63" s="531">
        <f t="shared" si="94"/>
        <v>19.134725949147043</v>
      </c>
      <c r="AG63" s="531">
        <f t="shared" si="94"/>
        <v>19.943095257355971</v>
      </c>
      <c r="AH63" s="531">
        <f t="shared" si="94"/>
        <v>20.632131751151366</v>
      </c>
      <c r="AI63" s="531">
        <f t="shared" si="94"/>
        <v>20.818085604552159</v>
      </c>
      <c r="AJ63" s="531">
        <f t="shared" si="94"/>
        <v>20.751640374033379</v>
      </c>
      <c r="AK63" s="531">
        <f t="shared" si="94"/>
        <v>21.370348103005817</v>
      </c>
      <c r="AL63" s="531">
        <f t="shared" si="94"/>
        <v>21.271780421519004</v>
      </c>
      <c r="AM63" s="531">
        <f t="shared" si="94"/>
        <v>20.991409533362731</v>
      </c>
      <c r="AN63" s="531">
        <f t="shared" si="94"/>
        <v>19.679565105362808</v>
      </c>
      <c r="AO63" s="531">
        <f t="shared" si="94"/>
        <v>18.586108130902094</v>
      </c>
      <c r="AP63" s="937">
        <f t="shared" si="94"/>
        <v>19.327182839530295</v>
      </c>
      <c r="AQ63" s="932">
        <f t="shared" si="94"/>
        <v>20.320393161312861</v>
      </c>
      <c r="AR63" s="938">
        <f t="shared" si="86"/>
        <v>1.2550771683785413</v>
      </c>
      <c r="AS63" s="933">
        <f t="shared" ref="AS63:BR63" si="95">SUM(AS41,AS44,AS46,AS48,AS51)</f>
        <v>18.431726470342596</v>
      </c>
      <c r="AT63" s="934">
        <f t="shared" si="95"/>
        <v>18.451474250159915</v>
      </c>
      <c r="AU63" s="934">
        <f t="shared" si="95"/>
        <v>18.438634792425869</v>
      </c>
      <c r="AV63" s="934">
        <f t="shared" si="95"/>
        <v>18.437790087302357</v>
      </c>
      <c r="AW63" s="934">
        <f t="shared" si="95"/>
        <v>18.438634792425869</v>
      </c>
      <c r="AX63" s="934">
        <f t="shared" si="95"/>
        <v>18.444677171187934</v>
      </c>
      <c r="AY63" s="934">
        <f t="shared" si="95"/>
        <v>18.442961478007483</v>
      </c>
      <c r="AZ63" s="934">
        <f t="shared" si="95"/>
        <v>18.452384834709342</v>
      </c>
      <c r="BA63" s="934">
        <f t="shared" si="95"/>
        <v>18.44092185880886</v>
      </c>
      <c r="BB63" s="934">
        <f t="shared" si="95"/>
        <v>18.45155212918171</v>
      </c>
      <c r="BC63" s="934">
        <f t="shared" si="95"/>
        <v>18.443783935563964</v>
      </c>
      <c r="BD63" s="935">
        <f t="shared" si="95"/>
        <v>18.452384834709342</v>
      </c>
      <c r="BE63" s="936">
        <f t="shared" si="95"/>
        <v>18.443916461714945</v>
      </c>
      <c r="BF63" s="933">
        <f t="shared" si="95"/>
        <v>19.575337209777519</v>
      </c>
      <c r="BG63" s="531">
        <f t="shared" si="95"/>
        <v>18.521581012658768</v>
      </c>
      <c r="BH63" s="531">
        <f t="shared" si="95"/>
        <v>19.19105057386151</v>
      </c>
      <c r="BI63" s="531">
        <f t="shared" si="95"/>
        <v>18.446340251474307</v>
      </c>
      <c r="BJ63" s="531">
        <f t="shared" si="95"/>
        <v>19.589332330935022</v>
      </c>
      <c r="BK63" s="531">
        <f t="shared" si="95"/>
        <v>0</v>
      </c>
      <c r="BL63" s="531">
        <f t="shared" si="95"/>
        <v>0</v>
      </c>
      <c r="BM63" s="531">
        <f t="shared" si="95"/>
        <v>0</v>
      </c>
      <c r="BN63" s="531">
        <f t="shared" si="95"/>
        <v>0</v>
      </c>
      <c r="BO63" s="531">
        <f t="shared" si="95"/>
        <v>0</v>
      </c>
      <c r="BP63" s="531">
        <f t="shared" si="95"/>
        <v>0</v>
      </c>
      <c r="BQ63" s="937">
        <f t="shared" si="95"/>
        <v>0</v>
      </c>
      <c r="BR63" s="932">
        <f t="shared" si="95"/>
        <v>19.076772942025617</v>
      </c>
      <c r="BS63" s="938">
        <f t="shared" ref="BS63:BS64" si="96">BR63-AQ63</f>
        <v>-1.2436202192872443</v>
      </c>
      <c r="BT63" s="531">
        <f t="shared" ref="BT63:BU63" si="97">SUM(BT41,BT44,BT46,BT48,BT51)</f>
        <v>18.443916461714945</v>
      </c>
      <c r="BU63" s="531">
        <f t="shared" si="97"/>
        <v>18.438634792425869</v>
      </c>
      <c r="BV63" s="1104" cm="1">
        <f t="array" ref="BV63">INDEX($BF63:$BQ63,,$D$4)-BU63</f>
        <v>1.1506975385091529</v>
      </c>
      <c r="BW63" s="939">
        <f>AD63/$AD$60</f>
        <v>0.67281760426108417</v>
      </c>
      <c r="BX63" s="1484">
        <f>AQ63/$AQ$60</f>
        <v>0.64528366174476748</v>
      </c>
      <c r="BY63" s="940">
        <f>BE63/$BE$60</f>
        <v>0.63711855760627456</v>
      </c>
      <c r="BZ63" s="941">
        <f>BR63/$BR$60</f>
        <v>0.6224441512931238</v>
      </c>
      <c r="CA63" s="876">
        <f t="shared" ref="CA63:CA64" si="98">BZ63-BX63</f>
        <v>-2.2839510451643674E-2</v>
      </c>
      <c r="CB63" s="876">
        <f>BZ63-BY63</f>
        <v>-1.4674406313150756E-2</v>
      </c>
      <c r="CC63" s="901"/>
    </row>
    <row r="64" spans="1:82" ht="16.5" thickBot="1">
      <c r="A64" s="463">
        <v>26</v>
      </c>
      <c r="B64" s="1565" t="s">
        <v>532</v>
      </c>
      <c r="C64" s="1565"/>
      <c r="D64" s="1565"/>
      <c r="E64" s="532">
        <f t="shared" ref="E64:K64" si="99">E60-E63</f>
        <v>17.636601157542611</v>
      </c>
      <c r="F64" s="532">
        <f t="shared" si="99"/>
        <v>12.443007389554477</v>
      </c>
      <c r="G64" s="532">
        <f t="shared" si="99"/>
        <v>10.549817974702705</v>
      </c>
      <c r="H64" s="532">
        <f t="shared" si="99"/>
        <v>10.721027241748736</v>
      </c>
      <c r="I64" s="532">
        <f t="shared" si="99"/>
        <v>9.1825577686418889</v>
      </c>
      <c r="J64" s="532">
        <f t="shared" si="99"/>
        <v>11.787930508292007</v>
      </c>
      <c r="K64" s="532">
        <f t="shared" si="99"/>
        <v>8.4737191599845509</v>
      </c>
      <c r="L64" s="532">
        <f>L60-L63</f>
        <v>7.9618960543800199</v>
      </c>
      <c r="M64" s="532">
        <f t="shared" ref="M64:P64" si="100">M60-M63</f>
        <v>8.2431523685777606</v>
      </c>
      <c r="N64" s="532">
        <f t="shared" si="100"/>
        <v>7.2158989573885073</v>
      </c>
      <c r="O64" s="532">
        <f t="shared" si="100"/>
        <v>10.106347584570354</v>
      </c>
      <c r="P64" s="532">
        <f t="shared" si="100"/>
        <v>5.5649333637903453</v>
      </c>
      <c r="Q64" s="942">
        <f>Q60-Q63</f>
        <v>4.9017272604390136</v>
      </c>
      <c r="R64" s="532">
        <f t="shared" ref="R64:X64" si="101">R60-R63</f>
        <v>6.4166454485099891</v>
      </c>
      <c r="S64" s="532">
        <f t="shared" si="101"/>
        <v>9.6509954814611199</v>
      </c>
      <c r="T64" s="532">
        <f t="shared" si="101"/>
        <v>6.3272414767622855</v>
      </c>
      <c r="U64" s="532">
        <f t="shared" si="101"/>
        <v>7.5889456566322586</v>
      </c>
      <c r="V64" s="532">
        <f t="shared" si="101"/>
        <v>7.7737789576948479</v>
      </c>
      <c r="W64" s="532">
        <f t="shared" si="101"/>
        <v>9.9689387719144413</v>
      </c>
      <c r="X64" s="532">
        <f t="shared" si="101"/>
        <v>16.125765615718912</v>
      </c>
      <c r="Y64" s="532">
        <f>Y60-Y63</f>
        <v>14.614211946066668</v>
      </c>
      <c r="Z64" s="532">
        <f t="shared" ref="Z64:AC64" si="102">Z60-Z63</f>
        <v>12.449969921188728</v>
      </c>
      <c r="AA64" s="532">
        <f t="shared" si="102"/>
        <v>8.3563742791437541</v>
      </c>
      <c r="AB64" s="532">
        <f t="shared" si="102"/>
        <v>7.8519651593708559</v>
      </c>
      <c r="AC64" s="532">
        <f t="shared" si="102"/>
        <v>14.071151984317833</v>
      </c>
      <c r="AD64" s="942">
        <f>AD60-AD63</f>
        <v>9.2712136581776328</v>
      </c>
      <c r="AE64" s="943">
        <f t="shared" ref="AE64:AQ64" si="103">AE60-AE63</f>
        <v>19.292592843312658</v>
      </c>
      <c r="AF64" s="532">
        <f t="shared" si="103"/>
        <v>12.133071659921892</v>
      </c>
      <c r="AG64" s="532">
        <f t="shared" si="103"/>
        <v>8.2194541146704978</v>
      </c>
      <c r="AH64" s="532">
        <f t="shared" si="103"/>
        <v>9.7052535454521731</v>
      </c>
      <c r="AI64" s="532">
        <f t="shared" si="103"/>
        <v>8.4700374198635586</v>
      </c>
      <c r="AJ64" s="532">
        <f t="shared" si="103"/>
        <v>9.8634444919538211</v>
      </c>
      <c r="AK64" s="532">
        <f t="shared" si="103"/>
        <v>9.5368808491190222</v>
      </c>
      <c r="AL64" s="532">
        <f t="shared" si="103"/>
        <v>9.7952932041787122</v>
      </c>
      <c r="AM64" s="532">
        <f t="shared" si="103"/>
        <v>10.471490750959308</v>
      </c>
      <c r="AN64" s="532">
        <f t="shared" si="103"/>
        <v>14.401566902388158</v>
      </c>
      <c r="AO64" s="532">
        <f t="shared" si="103"/>
        <v>18.439510452413888</v>
      </c>
      <c r="AP64" s="944">
        <f t="shared" si="103"/>
        <v>14.203882330899617</v>
      </c>
      <c r="AQ64" s="942">
        <f t="shared" si="103"/>
        <v>11.170243230082857</v>
      </c>
      <c r="AR64" s="945">
        <f t="shared" si="86"/>
        <v>1.8990295719052241</v>
      </c>
      <c r="AS64" s="943">
        <f>AS60-AS63</f>
        <v>10.865294937259925</v>
      </c>
      <c r="AT64" s="532">
        <f t="shared" ref="AT64:BR64" si="104">AT60-AT63</f>
        <v>12.155252451743376</v>
      </c>
      <c r="AU64" s="532">
        <f t="shared" si="104"/>
        <v>10.121251777586419</v>
      </c>
      <c r="AV64" s="532">
        <f t="shared" si="104"/>
        <v>10.332750553297306</v>
      </c>
      <c r="AW64" s="532">
        <f t="shared" si="104"/>
        <v>10.580578953249958</v>
      </c>
      <c r="AX64" s="532">
        <f t="shared" si="104"/>
        <v>10.469876117054532</v>
      </c>
      <c r="AY64" s="532">
        <f t="shared" si="104"/>
        <v>10.298033130289447</v>
      </c>
      <c r="AZ64" s="532">
        <f t="shared" si="104"/>
        <v>10.279133910493208</v>
      </c>
      <c r="BA64" s="532">
        <f t="shared" si="104"/>
        <v>10.51104272428298</v>
      </c>
      <c r="BB64" s="532">
        <f t="shared" si="104"/>
        <v>10.053675265965207</v>
      </c>
      <c r="BC64" s="532">
        <f t="shared" si="104"/>
        <v>10.249558083328264</v>
      </c>
      <c r="BD64" s="944">
        <f t="shared" si="104"/>
        <v>10.575487374237689</v>
      </c>
      <c r="BE64" s="942">
        <f t="shared" si="104"/>
        <v>10.505038550694039</v>
      </c>
      <c r="BF64" s="943">
        <f t="shared" si="104"/>
        <v>13.419729534097701</v>
      </c>
      <c r="BG64" s="532">
        <f>BG60-BG63</f>
        <v>18.619775515790469</v>
      </c>
      <c r="BH64" s="532">
        <f t="shared" ref="BH64:BQ64" si="105">BH60-BH63</f>
        <v>9.2780369134501157</v>
      </c>
      <c r="BI64" s="532">
        <f t="shared" si="105"/>
        <v>9.7267858971214132</v>
      </c>
      <c r="BJ64" s="532">
        <f t="shared" si="105"/>
        <v>11.556222651700033</v>
      </c>
      <c r="BK64" s="532">
        <f t="shared" si="105"/>
        <v>0</v>
      </c>
      <c r="BL64" s="532">
        <f t="shared" si="105"/>
        <v>0</v>
      </c>
      <c r="BM64" s="532">
        <f t="shared" si="105"/>
        <v>0</v>
      </c>
      <c r="BN64" s="532">
        <f t="shared" si="105"/>
        <v>0</v>
      </c>
      <c r="BO64" s="532">
        <f t="shared" si="105"/>
        <v>0</v>
      </c>
      <c r="BP64" s="532">
        <f t="shared" si="105"/>
        <v>0</v>
      </c>
      <c r="BQ64" s="944">
        <f t="shared" si="105"/>
        <v>0</v>
      </c>
      <c r="BR64" s="942">
        <f t="shared" si="104"/>
        <v>11.571395094245172</v>
      </c>
      <c r="BS64" s="945">
        <f t="shared" si="96"/>
        <v>0.40115186416231552</v>
      </c>
      <c r="BT64" s="532">
        <f>BT60-BT63</f>
        <v>10.505038550694039</v>
      </c>
      <c r="BU64" s="532">
        <f>BU60-BU63</f>
        <v>10.580578953249958</v>
      </c>
      <c r="BV64" s="1106" cm="1">
        <f t="array" ref="BV64">INDEX($BF64:$BQ64,,$D$4)-BU64</f>
        <v>0.97564369845007448</v>
      </c>
      <c r="BW64" s="946">
        <f>AD64/$AD$60</f>
        <v>0.32718239573891583</v>
      </c>
      <c r="BX64" s="1485">
        <f>AQ64/$AQ$60</f>
        <v>0.35471633825523247</v>
      </c>
      <c r="BY64" s="947">
        <f>BE64/$BE$60</f>
        <v>0.36288144239372538</v>
      </c>
      <c r="BZ64" s="948">
        <f>BR64/$BR$60</f>
        <v>0.3775558487068762</v>
      </c>
      <c r="CA64" s="949">
        <f t="shared" si="98"/>
        <v>2.283951045164373E-2</v>
      </c>
      <c r="CB64" s="950">
        <f>BZ64-BY64</f>
        <v>1.4674406313150812E-2</v>
      </c>
      <c r="CC64" s="899"/>
    </row>
    <row r="65" spans="1:81" ht="16.5" thickTop="1">
      <c r="A65" s="463"/>
      <c r="B65" s="507"/>
      <c r="C65" s="507"/>
      <c r="D65" s="507"/>
      <c r="E65" s="507"/>
      <c r="F65" s="507"/>
      <c r="G65" s="507"/>
      <c r="H65" s="507"/>
      <c r="I65" s="533"/>
      <c r="J65" s="533"/>
      <c r="K65" s="533"/>
      <c r="L65" s="533"/>
      <c r="M65" s="533"/>
      <c r="N65" s="533"/>
      <c r="O65" s="533"/>
      <c r="P65" s="533"/>
      <c r="Q65" s="533"/>
      <c r="R65" s="1030"/>
      <c r="S65" s="507"/>
      <c r="T65" s="507"/>
      <c r="U65" s="507"/>
      <c r="V65" s="533"/>
      <c r="W65" s="533"/>
      <c r="X65" s="533"/>
      <c r="Y65" s="533"/>
      <c r="Z65" s="533"/>
      <c r="AA65" s="533"/>
      <c r="AB65" s="533"/>
      <c r="AC65" s="533"/>
      <c r="AD65" s="533"/>
      <c r="AE65" s="1031"/>
      <c r="AF65" s="533"/>
      <c r="AG65" s="533"/>
      <c r="AH65" s="533"/>
      <c r="AI65" s="533"/>
      <c r="AJ65" s="533"/>
      <c r="AK65" s="533"/>
      <c r="AL65" s="533"/>
      <c r="AM65" s="533"/>
      <c r="AN65" s="533"/>
      <c r="AO65" s="533"/>
      <c r="AP65" s="533"/>
      <c r="AQ65" s="533"/>
      <c r="AR65" s="534"/>
      <c r="AS65" s="534"/>
      <c r="AT65" s="534"/>
      <c r="AU65" s="534"/>
      <c r="AV65" s="534"/>
      <c r="AW65" s="534"/>
      <c r="AX65" s="534"/>
      <c r="AY65" s="534"/>
      <c r="AZ65" s="534"/>
      <c r="BA65" s="534"/>
      <c r="BB65" s="534"/>
      <c r="BC65" s="534"/>
      <c r="BD65" s="534"/>
      <c r="BE65" s="534"/>
      <c r="BF65" s="1031"/>
      <c r="BG65" s="533"/>
      <c r="BH65" s="533"/>
      <c r="BI65" s="533"/>
      <c r="BJ65" s="533"/>
      <c r="BK65" s="533"/>
      <c r="BL65" s="533"/>
      <c r="BM65" s="533"/>
      <c r="BN65" s="533"/>
      <c r="BO65" s="533"/>
      <c r="BP65" s="533"/>
      <c r="BQ65" s="533"/>
      <c r="BR65" s="533"/>
      <c r="BS65" s="534"/>
      <c r="BT65" s="534"/>
      <c r="BU65" s="507"/>
      <c r="BV65" s="510"/>
      <c r="BW65" s="510"/>
      <c r="BX65" s="510"/>
      <c r="BY65" s="507"/>
      <c r="BZ65" s="507"/>
      <c r="CA65" s="507"/>
      <c r="CB65" s="507"/>
      <c r="CC65" s="507"/>
    </row>
    <row r="66" spans="1:81">
      <c r="A66" s="463"/>
      <c r="B66" s="507"/>
      <c r="C66" s="507"/>
      <c r="D66" s="507"/>
      <c r="E66" s="507"/>
      <c r="F66" s="507"/>
      <c r="G66" s="507"/>
      <c r="H66" s="507"/>
      <c r="I66" s="533"/>
      <c r="J66" s="533"/>
      <c r="K66" s="533"/>
      <c r="L66" s="533"/>
      <c r="M66" s="533"/>
      <c r="N66" s="533"/>
      <c r="O66" s="533"/>
      <c r="P66" s="533"/>
      <c r="Q66" s="533"/>
      <c r="R66" s="507"/>
      <c r="S66" s="507"/>
      <c r="T66" s="507"/>
      <c r="U66" s="507"/>
      <c r="V66" s="533"/>
      <c r="W66" s="533"/>
      <c r="X66" s="533"/>
      <c r="Y66" s="533"/>
      <c r="Z66" s="533"/>
      <c r="AA66" s="533"/>
      <c r="AB66" s="533"/>
      <c r="AC66" s="533"/>
      <c r="AD66" s="533"/>
      <c r="AE66" s="1031"/>
      <c r="AF66" s="533"/>
      <c r="AG66" s="533"/>
      <c r="AH66" s="533"/>
      <c r="AI66" s="533"/>
      <c r="AJ66" s="533"/>
      <c r="AK66" s="533"/>
      <c r="AL66" s="533"/>
      <c r="AM66" s="533"/>
      <c r="AN66" s="533"/>
      <c r="AO66" s="533"/>
      <c r="AP66" s="533"/>
      <c r="AQ66" s="533"/>
      <c r="AR66" s="535"/>
      <c r="AS66" s="534"/>
      <c r="AT66" s="534"/>
      <c r="AU66" s="534"/>
      <c r="AV66" s="534"/>
      <c r="AW66" s="534"/>
      <c r="AX66" s="534"/>
      <c r="AY66" s="534"/>
      <c r="AZ66" s="534"/>
      <c r="BA66" s="534"/>
      <c r="BB66" s="534"/>
      <c r="BC66" s="534"/>
      <c r="BD66" s="534"/>
      <c r="BE66" s="534"/>
      <c r="BF66" s="1031"/>
      <c r="BG66" s="533"/>
      <c r="BH66" s="533"/>
      <c r="BI66" s="533"/>
      <c r="BJ66" s="533"/>
      <c r="BK66" s="533"/>
      <c r="BL66" s="533"/>
      <c r="BM66" s="533"/>
      <c r="BN66" s="533"/>
      <c r="BO66" s="533"/>
      <c r="BP66" s="533"/>
      <c r="BQ66" s="533"/>
      <c r="BR66" s="533"/>
      <c r="BS66" s="535"/>
      <c r="BT66" s="534"/>
      <c r="BU66" s="507"/>
      <c r="BV66" s="510"/>
      <c r="BW66" s="510"/>
      <c r="BX66" s="510"/>
      <c r="BY66" s="507"/>
      <c r="BZ66" s="507"/>
      <c r="CA66" s="507"/>
      <c r="CB66" s="507"/>
      <c r="CC66" s="507"/>
    </row>
    <row r="67" spans="1:81" ht="21">
      <c r="B67" s="458" t="s">
        <v>1029</v>
      </c>
      <c r="AQ67" s="461"/>
      <c r="BR67" s="461"/>
    </row>
    <row r="68" spans="1:81" ht="16.5" thickBot="1">
      <c r="D68" s="460" t="s">
        <v>533</v>
      </c>
    </row>
    <row r="69" spans="1:81" ht="32.5" thickTop="1">
      <c r="B69" s="464" t="s">
        <v>0</v>
      </c>
      <c r="C69" s="536" t="s">
        <v>505</v>
      </c>
      <c r="D69" s="464" t="s">
        <v>534</v>
      </c>
      <c r="E69" s="1467" t="s">
        <v>761</v>
      </c>
      <c r="F69" s="1467" t="s">
        <v>762</v>
      </c>
      <c r="G69" s="1467" t="s">
        <v>763</v>
      </c>
      <c r="H69" s="1467" t="s">
        <v>764</v>
      </c>
      <c r="I69" s="1467" t="s">
        <v>765</v>
      </c>
      <c r="J69" s="1467" t="s">
        <v>766</v>
      </c>
      <c r="K69" s="1467" t="s">
        <v>767</v>
      </c>
      <c r="L69" s="1467" t="s">
        <v>768</v>
      </c>
      <c r="M69" s="1467" t="s">
        <v>769</v>
      </c>
      <c r="N69" s="1467" t="s">
        <v>559</v>
      </c>
      <c r="O69" s="1467" t="s">
        <v>560</v>
      </c>
      <c r="P69" s="1468" t="s">
        <v>561</v>
      </c>
      <c r="Q69" s="1469" t="s">
        <v>770</v>
      </c>
      <c r="R69" s="1470" t="s">
        <v>506</v>
      </c>
      <c r="S69" s="1470" t="s">
        <v>507</v>
      </c>
      <c r="T69" s="1470" t="s">
        <v>508</v>
      </c>
      <c r="U69" s="1470" t="s">
        <v>509</v>
      </c>
      <c r="V69" s="1470" t="s">
        <v>510</v>
      </c>
      <c r="W69" s="1470" t="s">
        <v>511</v>
      </c>
      <c r="X69" s="1470" t="s">
        <v>512</v>
      </c>
      <c r="Y69" s="1470" t="s">
        <v>513</v>
      </c>
      <c r="Z69" s="1470" t="s">
        <v>514</v>
      </c>
      <c r="AA69" s="1470" t="s">
        <v>515</v>
      </c>
      <c r="AB69" s="1470" t="s">
        <v>516</v>
      </c>
      <c r="AC69" s="1471" t="s">
        <v>517</v>
      </c>
      <c r="AD69" s="1472" t="s">
        <v>518</v>
      </c>
      <c r="AE69" s="951" t="s">
        <v>721</v>
      </c>
      <c r="AF69" s="951" t="s">
        <v>722</v>
      </c>
      <c r="AG69" s="951" t="s">
        <v>723</v>
      </c>
      <c r="AH69" s="951" t="s">
        <v>724</v>
      </c>
      <c r="AI69" s="951" t="s">
        <v>725</v>
      </c>
      <c r="AJ69" s="951" t="s">
        <v>726</v>
      </c>
      <c r="AK69" s="951" t="s">
        <v>727</v>
      </c>
      <c r="AL69" s="951" t="s">
        <v>728</v>
      </c>
      <c r="AM69" s="951" t="s">
        <v>729</v>
      </c>
      <c r="AN69" s="951" t="s">
        <v>730</v>
      </c>
      <c r="AO69" s="951" t="s">
        <v>731</v>
      </c>
      <c r="AP69" s="1230" t="s">
        <v>732</v>
      </c>
      <c r="AQ69" s="804" t="s">
        <v>736</v>
      </c>
      <c r="AR69" s="804"/>
      <c r="AS69" s="805" t="s">
        <v>995</v>
      </c>
      <c r="AT69" s="806" t="s">
        <v>996</v>
      </c>
      <c r="AU69" s="806" t="s">
        <v>997</v>
      </c>
      <c r="AV69" s="806" t="s">
        <v>998</v>
      </c>
      <c r="AW69" s="806" t="s">
        <v>999</v>
      </c>
      <c r="AX69" s="806" t="s">
        <v>1000</v>
      </c>
      <c r="AY69" s="806" t="s">
        <v>1001</v>
      </c>
      <c r="AZ69" s="806" t="s">
        <v>1002</v>
      </c>
      <c r="BA69" s="806" t="s">
        <v>1003</v>
      </c>
      <c r="BB69" s="806" t="s">
        <v>1004</v>
      </c>
      <c r="BC69" s="806" t="s">
        <v>1005</v>
      </c>
      <c r="BD69" s="807" t="s">
        <v>1006</v>
      </c>
      <c r="BE69" s="808" t="s">
        <v>1007</v>
      </c>
      <c r="BF69" s="466" t="str">
        <f>BF8</f>
        <v>T1.26</v>
      </c>
      <c r="BG69" s="466" t="str">
        <f t="shared" ref="BG69:BR69" si="106">BG8</f>
        <v>T2.26</v>
      </c>
      <c r="BH69" s="466" t="str">
        <f t="shared" si="106"/>
        <v>T3.26</v>
      </c>
      <c r="BI69" s="466" t="str">
        <f t="shared" si="106"/>
        <v>T4.26</v>
      </c>
      <c r="BJ69" s="466" t="str">
        <f t="shared" si="106"/>
        <v>T5.26</v>
      </c>
      <c r="BK69" s="466" t="str">
        <f t="shared" si="106"/>
        <v>T6.26</v>
      </c>
      <c r="BL69" s="466" t="str">
        <f t="shared" si="106"/>
        <v>T7.26</v>
      </c>
      <c r="BM69" s="466" t="str">
        <f t="shared" si="106"/>
        <v>T8.26</v>
      </c>
      <c r="BN69" s="466" t="str">
        <f t="shared" si="106"/>
        <v>T9.26</v>
      </c>
      <c r="BO69" s="466" t="str">
        <f t="shared" si="106"/>
        <v>T10.26</v>
      </c>
      <c r="BP69" s="466" t="str">
        <f t="shared" si="106"/>
        <v>T11.26</v>
      </c>
      <c r="BQ69" s="810" t="str">
        <f t="shared" si="106"/>
        <v>T12.26</v>
      </c>
      <c r="BR69" s="811" t="str">
        <f t="shared" si="106"/>
        <v>BQ TT 2026</v>
      </c>
      <c r="BS69" s="808" t="s">
        <v>1007</v>
      </c>
      <c r="BU69" s="456"/>
      <c r="BV69" s="454"/>
      <c r="BW69" s="454"/>
      <c r="BX69" s="454"/>
    </row>
    <row r="70" spans="1:81">
      <c r="B70" s="521" t="s">
        <v>520</v>
      </c>
      <c r="C70" s="507"/>
      <c r="D70" s="522" t="s">
        <v>521</v>
      </c>
      <c r="E70" s="952">
        <f t="shared" ref="E70:AC70" si="107">SUM(E71:E81)</f>
        <v>0.6358653345706291</v>
      </c>
      <c r="F70" s="952">
        <f t="shared" si="107"/>
        <v>0.72226927333721669</v>
      </c>
      <c r="G70" s="952">
        <f t="shared" si="107"/>
        <v>0.7573400542299209</v>
      </c>
      <c r="H70" s="952">
        <f t="shared" si="107"/>
        <v>0.75023792355869834</v>
      </c>
      <c r="I70" s="952">
        <f t="shared" si="107"/>
        <v>0.77985543948182168</v>
      </c>
      <c r="J70" s="952">
        <f t="shared" si="107"/>
        <v>0.74935411513318539</v>
      </c>
      <c r="K70" s="952">
        <f t="shared" si="107"/>
        <v>0.77803844975352188</v>
      </c>
      <c r="L70" s="952">
        <f t="shared" si="107"/>
        <v>0.77568930945572889</v>
      </c>
      <c r="M70" s="952">
        <f t="shared" si="107"/>
        <v>0.77538442977759081</v>
      </c>
      <c r="N70" s="952">
        <f t="shared" si="107"/>
        <v>0.79672094534725479</v>
      </c>
      <c r="O70" s="952">
        <f t="shared" si="107"/>
        <v>0.7390135047997124</v>
      </c>
      <c r="P70" s="953">
        <f t="shared" si="107"/>
        <v>0.84896890486452536</v>
      </c>
      <c r="Q70" s="954">
        <f t="shared" si="107"/>
        <v>0.85569852837427351</v>
      </c>
      <c r="R70" s="952">
        <f t="shared" si="107"/>
        <v>0.80848561423907594</v>
      </c>
      <c r="S70" s="952">
        <f t="shared" si="107"/>
        <v>0.73402017833199706</v>
      </c>
      <c r="T70" s="952">
        <f t="shared" si="107"/>
        <v>0.8141748789143598</v>
      </c>
      <c r="U70" s="952">
        <f t="shared" si="107"/>
        <v>0.80006822896834895</v>
      </c>
      <c r="V70" s="952">
        <f t="shared" si="107"/>
        <v>0.78161281326701049</v>
      </c>
      <c r="W70" s="952">
        <f t="shared" si="107"/>
        <v>0.7416315776218203</v>
      </c>
      <c r="X70" s="952">
        <f t="shared" si="107"/>
        <v>0.61738783908356965</v>
      </c>
      <c r="Y70" s="952">
        <f t="shared" si="107"/>
        <v>0.6359034761962048</v>
      </c>
      <c r="Z70" s="952">
        <f t="shared" si="107"/>
        <v>0.68366849288831477</v>
      </c>
      <c r="AA70" s="952">
        <f t="shared" si="107"/>
        <v>0.76477720922050074</v>
      </c>
      <c r="AB70" s="952">
        <f t="shared" si="107"/>
        <v>0.77848715023296422</v>
      </c>
      <c r="AC70" s="953">
        <f t="shared" si="107"/>
        <v>0.64370806282672244</v>
      </c>
      <c r="AD70" s="954">
        <f>SUM(AD71:AD81)</f>
        <v>0.7448059488983404</v>
      </c>
      <c r="AE70" s="952">
        <f t="shared" ref="AE70:AQ70" si="108">SUM(AE71:AE81)</f>
        <v>0.56392281491719243</v>
      </c>
      <c r="AF70" s="952">
        <f t="shared" si="108"/>
        <v>0.6800190818326689</v>
      </c>
      <c r="AG70" s="952">
        <f t="shared" si="108"/>
        <v>0.77286704381460436</v>
      </c>
      <c r="AH70" s="952">
        <f t="shared" si="108"/>
        <v>0.75202826488776386</v>
      </c>
      <c r="AI70" s="952">
        <f t="shared" si="108"/>
        <v>0.7744312237036326</v>
      </c>
      <c r="AJ70" s="952">
        <f t="shared" si="108"/>
        <v>0.74562613233247443</v>
      </c>
      <c r="AK70" s="952">
        <f t="shared" si="108"/>
        <v>0.75965765762802229</v>
      </c>
      <c r="AL70" s="952">
        <f t="shared" si="108"/>
        <v>0.75624495888202137</v>
      </c>
      <c r="AM70" s="952">
        <f t="shared" si="108"/>
        <v>0.74168557321969664</v>
      </c>
      <c r="AN70" s="952">
        <f t="shared" si="108"/>
        <v>0.66555190289702737</v>
      </c>
      <c r="AO70" s="952">
        <f t="shared" si="108"/>
        <v>0.58163542820796754</v>
      </c>
      <c r="AP70" s="953">
        <f t="shared" si="108"/>
        <v>0.63792477527973102</v>
      </c>
      <c r="AQ70" s="954">
        <f t="shared" si="108"/>
        <v>0.71567874606163262</v>
      </c>
      <c r="AR70" s="954"/>
      <c r="AS70" s="952">
        <f t="shared" ref="AS70:BS70" si="109">SUM(AS71:AS81)</f>
        <v>0.68770399622265188</v>
      </c>
      <c r="AT70" s="952">
        <f t="shared" si="109"/>
        <v>0.66125179577039095</v>
      </c>
      <c r="AU70" s="952">
        <f t="shared" si="109"/>
        <v>0.70451501123380622</v>
      </c>
      <c r="AV70" s="952">
        <f t="shared" si="109"/>
        <v>0.70014169304293339</v>
      </c>
      <c r="AW70" s="952">
        <f t="shared" si="109"/>
        <v>0.69349147243143494</v>
      </c>
      <c r="AX70" s="952">
        <f t="shared" si="109"/>
        <v>0.69692660414395746</v>
      </c>
      <c r="AY70" s="952">
        <f t="shared" si="109"/>
        <v>0.70233625819118661</v>
      </c>
      <c r="AZ70" s="952">
        <f t="shared" si="109"/>
        <v>0.70308472174806347</v>
      </c>
      <c r="BA70" s="952">
        <f t="shared" si="109"/>
        <v>0.6972930879737369</v>
      </c>
      <c r="BB70" s="952">
        <f t="shared" si="109"/>
        <v>0.71031799275430951</v>
      </c>
      <c r="BC70" s="952">
        <f t="shared" si="109"/>
        <v>0.70491946243648707</v>
      </c>
      <c r="BD70" s="953">
        <f t="shared" si="109"/>
        <v>0.6963310143179432</v>
      </c>
      <c r="BE70" s="954">
        <f t="shared" si="109"/>
        <v>0.6971582060491428</v>
      </c>
      <c r="BF70" s="952">
        <f t="shared" si="109"/>
        <v>0.65990678942569636</v>
      </c>
      <c r="BG70" s="952">
        <f t="shared" si="109"/>
        <v>0.55513038385190383</v>
      </c>
      <c r="BH70" s="952">
        <f t="shared" si="109"/>
        <v>0.75161840865782203</v>
      </c>
      <c r="BI70" s="952">
        <f t="shared" si="109"/>
        <v>0.73470537937697888</v>
      </c>
      <c r="BJ70" s="952">
        <f t="shared" si="109"/>
        <v>0.71059489851913848</v>
      </c>
      <c r="BK70" s="952">
        <f t="shared" si="109"/>
        <v>0</v>
      </c>
      <c r="BL70" s="952">
        <f t="shared" si="109"/>
        <v>0</v>
      </c>
      <c r="BM70" s="952">
        <f t="shared" si="109"/>
        <v>0</v>
      </c>
      <c r="BN70" s="952">
        <f t="shared" si="109"/>
        <v>0</v>
      </c>
      <c r="BO70" s="952">
        <f t="shared" si="109"/>
        <v>0</v>
      </c>
      <c r="BP70" s="952">
        <f t="shared" si="109"/>
        <v>0</v>
      </c>
      <c r="BQ70" s="953">
        <f t="shared" si="109"/>
        <v>0</v>
      </c>
      <c r="BR70" s="954">
        <f t="shared" si="109"/>
        <v>0.69646506925809459</v>
      </c>
      <c r="BS70" s="954">
        <f t="shared" si="109"/>
        <v>0.6971582060491428</v>
      </c>
      <c r="BU70" s="456"/>
      <c r="BV70" s="454"/>
      <c r="BW70" s="454"/>
      <c r="BX70" s="454"/>
    </row>
    <row r="71" spans="1:81">
      <c r="B71" s="523">
        <v>1</v>
      </c>
      <c r="C71" s="524" t="s">
        <v>425</v>
      </c>
      <c r="D71" s="524" t="s">
        <v>923</v>
      </c>
      <c r="E71" s="955">
        <f t="shared" ref="E71:AD80" si="110">E41/E$60</f>
        <v>0.55703483178111923</v>
      </c>
      <c r="F71" s="955">
        <f t="shared" si="110"/>
        <v>0.63503585233586812</v>
      </c>
      <c r="G71" s="955">
        <f t="shared" si="110"/>
        <v>0.65967575257273703</v>
      </c>
      <c r="H71" s="955">
        <f t="shared" si="110"/>
        <v>0.6437162184831654</v>
      </c>
      <c r="I71" s="955">
        <f t="shared" si="110"/>
        <v>0.67373681947334074</v>
      </c>
      <c r="J71" s="955">
        <f t="shared" si="110"/>
        <v>0.63447681563222358</v>
      </c>
      <c r="K71" s="955">
        <f t="shared" si="110"/>
        <v>0.66550586213107965</v>
      </c>
      <c r="L71" s="955">
        <f t="shared" si="110"/>
        <v>0.66842847675765726</v>
      </c>
      <c r="M71" s="955">
        <f t="shared" si="110"/>
        <v>0.6667474580592756</v>
      </c>
      <c r="N71" s="955">
        <f t="shared" si="110"/>
        <v>0.67337658925781885</v>
      </c>
      <c r="O71" s="955">
        <f t="shared" si="110"/>
        <v>0.61495539690656342</v>
      </c>
      <c r="P71" s="956">
        <f t="shared" si="110"/>
        <v>0.74396002384063964</v>
      </c>
      <c r="Q71" s="957">
        <f t="shared" si="110"/>
        <v>0.78363762793459935</v>
      </c>
      <c r="R71" s="955">
        <f t="shared" si="110"/>
        <v>0.71213352655584772</v>
      </c>
      <c r="S71" s="955">
        <f t="shared" si="110"/>
        <v>0.64323463993718388</v>
      </c>
      <c r="T71" s="955">
        <f t="shared" si="110"/>
        <v>0.73259045150432578</v>
      </c>
      <c r="U71" s="955">
        <f t="shared" si="110"/>
        <v>0.70874511341577273</v>
      </c>
      <c r="V71" s="955">
        <f t="shared" si="110"/>
        <v>0.69439837426923423</v>
      </c>
      <c r="W71" s="955">
        <f t="shared" si="110"/>
        <v>0.63460115989598742</v>
      </c>
      <c r="X71" s="955">
        <f t="shared" si="110"/>
        <v>0.51839349087342856</v>
      </c>
      <c r="Y71" s="955">
        <f t="shared" si="110"/>
        <v>0.54521456999611406</v>
      </c>
      <c r="Z71" s="955">
        <f t="shared" si="110"/>
        <v>0.59243323635590905</v>
      </c>
      <c r="AA71" s="955">
        <f t="shared" si="110"/>
        <v>0.67412693009428848</v>
      </c>
      <c r="AB71" s="955">
        <f t="shared" si="110"/>
        <v>0.68448211946350257</v>
      </c>
      <c r="AC71" s="956">
        <f t="shared" si="110"/>
        <v>0.55861459818911952</v>
      </c>
      <c r="AD71" s="957">
        <f t="shared" si="110"/>
        <v>0.65312789759722734</v>
      </c>
      <c r="AE71" s="955">
        <f>IFERROR(AE41/AE$60,0)</f>
        <v>0.48062196514202232</v>
      </c>
      <c r="AF71" s="955">
        <f t="shared" ref="AF71:AP71" si="111">IFERROR(AF41/AF$60,0)</f>
        <v>0.59464075996852661</v>
      </c>
      <c r="AG71" s="955">
        <f t="shared" si="111"/>
        <v>0.68847750703002075</v>
      </c>
      <c r="AH71" s="955">
        <f t="shared" si="111"/>
        <v>0.65948796136741794</v>
      </c>
      <c r="AI71" s="955">
        <f t="shared" si="111"/>
        <v>0.68763904937680975</v>
      </c>
      <c r="AJ71" s="955">
        <f t="shared" si="111"/>
        <v>0.6540242798953213</v>
      </c>
      <c r="AK71" s="955">
        <f t="shared" si="111"/>
        <v>0.66393562071722445</v>
      </c>
      <c r="AL71" s="955">
        <f t="shared" si="111"/>
        <v>0.65919794134355691</v>
      </c>
      <c r="AM71" s="955">
        <f t="shared" si="111"/>
        <v>0.64345193740579421</v>
      </c>
      <c r="AN71" s="955">
        <f t="shared" si="111"/>
        <v>0.56013153943161531</v>
      </c>
      <c r="AO71" s="955">
        <f t="shared" si="111"/>
        <v>0.48576512569986863</v>
      </c>
      <c r="AP71" s="956">
        <f t="shared" si="111"/>
        <v>0.55722550917478653</v>
      </c>
      <c r="AQ71" s="957">
        <f t="shared" ref="AQ71:AQ81" si="112">AQ41/AQ$60</f>
        <v>0.62396446525623883</v>
      </c>
      <c r="AR71" s="957"/>
      <c r="AS71" s="955">
        <f t="shared" ref="AS71:BJ81" si="113">AS41/AS$60</f>
        <v>0.60800867164383676</v>
      </c>
      <c r="AT71" s="955">
        <f t="shared" si="113"/>
        <v>0.58238581288194435</v>
      </c>
      <c r="AU71" s="955">
        <f t="shared" si="113"/>
        <v>0.62390894486362192</v>
      </c>
      <c r="AV71" s="955">
        <f t="shared" si="113"/>
        <v>0.61926878616244418</v>
      </c>
      <c r="AW71" s="955">
        <f t="shared" si="113"/>
        <v>0.61403347628521743</v>
      </c>
      <c r="AX71" s="955">
        <f t="shared" si="113"/>
        <v>0.61619206435688756</v>
      </c>
      <c r="AY71" s="955">
        <f t="shared" si="113"/>
        <v>0.62014745666319759</v>
      </c>
      <c r="AZ71" s="955">
        <f t="shared" si="113"/>
        <v>0.62059648281973956</v>
      </c>
      <c r="BA71" s="955">
        <f t="shared" si="113"/>
        <v>0.61545692634795657</v>
      </c>
      <c r="BB71" s="955">
        <f t="shared" si="113"/>
        <v>0.62545327233125814</v>
      </c>
      <c r="BC71" s="955">
        <f t="shared" si="113"/>
        <v>0.62124718078828645</v>
      </c>
      <c r="BD71" s="956">
        <f t="shared" si="113"/>
        <v>0.61426064408008219</v>
      </c>
      <c r="BE71" s="957">
        <f t="shared" si="113"/>
        <v>0.61564684923847379</v>
      </c>
      <c r="BF71" s="955">
        <f t="shared" si="113"/>
        <v>0.57352075400072655</v>
      </c>
      <c r="BG71" s="955">
        <f t="shared" si="113"/>
        <v>0.4874406187673746</v>
      </c>
      <c r="BH71" s="955">
        <f t="shared" si="113"/>
        <v>0.64844504566225136</v>
      </c>
      <c r="BI71" s="955">
        <f t="shared" si="113"/>
        <v>0.6311168408281097</v>
      </c>
      <c r="BJ71" s="955">
        <f t="shared" si="113"/>
        <v>0.60225075859203048</v>
      </c>
      <c r="BK71" s="955">
        <f t="shared" ref="BK71:BQ81" si="114">IFERROR(BK41/BK$60,0)</f>
        <v>0</v>
      </c>
      <c r="BL71" s="955">
        <f t="shared" si="114"/>
        <v>0</v>
      </c>
      <c r="BM71" s="955">
        <f t="shared" si="114"/>
        <v>0</v>
      </c>
      <c r="BN71" s="955">
        <f t="shared" si="114"/>
        <v>0</v>
      </c>
      <c r="BO71" s="955">
        <f t="shared" si="114"/>
        <v>0</v>
      </c>
      <c r="BP71" s="955">
        <f t="shared" si="114"/>
        <v>0</v>
      </c>
      <c r="BQ71" s="956">
        <f t="shared" si="114"/>
        <v>0</v>
      </c>
      <c r="BR71" s="957">
        <f t="shared" ref="BR71:BR81" si="115">BR41/BR$60</f>
        <v>0.59998033057964817</v>
      </c>
      <c r="BS71" s="957">
        <f t="shared" ref="BS71:BS81" si="116">BE71</f>
        <v>0.61564684923847379</v>
      </c>
      <c r="BU71" s="456"/>
      <c r="BV71" s="454"/>
      <c r="BW71" s="454"/>
      <c r="BX71" s="454"/>
    </row>
    <row r="72" spans="1:81">
      <c r="B72" s="525">
        <f>B71+1</f>
        <v>2</v>
      </c>
      <c r="C72" s="526" t="s">
        <v>425</v>
      </c>
      <c r="D72" s="526" t="s">
        <v>428</v>
      </c>
      <c r="E72" s="958">
        <f t="shared" si="110"/>
        <v>3.9980277280425393E-2</v>
      </c>
      <c r="F72" s="958">
        <f t="shared" si="110"/>
        <v>4.7895743872994057E-2</v>
      </c>
      <c r="G72" s="958">
        <f t="shared" si="110"/>
        <v>4.6025916590600888E-2</v>
      </c>
      <c r="H72" s="958">
        <f t="shared" si="110"/>
        <v>4.8865076363090704E-2</v>
      </c>
      <c r="I72" s="958">
        <f t="shared" si="110"/>
        <v>4.7519622996129475E-2</v>
      </c>
      <c r="J72" s="958">
        <f t="shared" si="110"/>
        <v>5.1027329478913724E-2</v>
      </c>
      <c r="K72" s="958">
        <f t="shared" si="110"/>
        <v>5.207598906763377E-2</v>
      </c>
      <c r="L72" s="958">
        <f t="shared" si="110"/>
        <v>4.7737054490641917E-2</v>
      </c>
      <c r="M72" s="958">
        <f t="shared" si="110"/>
        <v>5.2756193929967367E-2</v>
      </c>
      <c r="N72" s="958">
        <f t="shared" si="110"/>
        <v>5.3371329536941084E-2</v>
      </c>
      <c r="O72" s="958">
        <f t="shared" si="110"/>
        <v>5.5209922014871002E-2</v>
      </c>
      <c r="P72" s="959">
        <f t="shared" si="110"/>
        <v>5.4145925886859403E-2</v>
      </c>
      <c r="Q72" s="960">
        <f t="shared" si="110"/>
        <v>3.152219654025417E-2</v>
      </c>
      <c r="R72" s="958">
        <f t="shared" si="110"/>
        <v>4.7703491804289837E-2</v>
      </c>
      <c r="S72" s="958">
        <f t="shared" si="110"/>
        <v>4.8823663663341454E-2</v>
      </c>
      <c r="T72" s="958">
        <f t="shared" si="110"/>
        <v>4.0655638031358472E-2</v>
      </c>
      <c r="U72" s="958">
        <f t="shared" si="110"/>
        <v>4.7543794864408191E-2</v>
      </c>
      <c r="V72" s="958">
        <f t="shared" si="110"/>
        <v>4.7468984669265593E-2</v>
      </c>
      <c r="W72" s="958">
        <f t="shared" si="110"/>
        <v>4.8453602264094842E-2</v>
      </c>
      <c r="X72" s="958">
        <f t="shared" si="110"/>
        <v>4.6522599956313734E-2</v>
      </c>
      <c r="Y72" s="958">
        <f t="shared" si="110"/>
        <v>4.8538311026246284E-2</v>
      </c>
      <c r="Z72" s="958">
        <f t="shared" si="110"/>
        <v>5.2012533356190625E-2</v>
      </c>
      <c r="AA72" s="958">
        <f t="shared" si="110"/>
        <v>4.6810830376907905E-2</v>
      </c>
      <c r="AB72" s="958">
        <f t="shared" si="110"/>
        <v>5.0353102130720716E-2</v>
      </c>
      <c r="AC72" s="959">
        <f t="shared" si="110"/>
        <v>4.4989010086324957E-2</v>
      </c>
      <c r="AD72" s="960">
        <f t="shared" si="110"/>
        <v>4.7338188666920536E-2</v>
      </c>
      <c r="AE72" s="958">
        <f t="shared" ref="AE72:AP81" si="117">IFERROR(AE42/AE$60,0)</f>
        <v>4.594329881917554E-2</v>
      </c>
      <c r="AF72" s="958">
        <f t="shared" si="117"/>
        <v>4.5464752701987542E-2</v>
      </c>
      <c r="AG72" s="958">
        <f t="shared" si="117"/>
        <v>4.8318878518260257E-2</v>
      </c>
      <c r="AH72" s="958">
        <f t="shared" si="117"/>
        <v>4.9949398187919082E-2</v>
      </c>
      <c r="AI72" s="958">
        <f t="shared" si="117"/>
        <v>4.6874045359833291E-2</v>
      </c>
      <c r="AJ72" s="958">
        <f t="shared" si="117"/>
        <v>4.9601247859685615E-2</v>
      </c>
      <c r="AK72" s="958">
        <f t="shared" si="117"/>
        <v>5.0597861728878209E-2</v>
      </c>
      <c r="AL72" s="958">
        <f t="shared" si="117"/>
        <v>5.1295689266221814E-2</v>
      </c>
      <c r="AM72" s="958">
        <f t="shared" si="117"/>
        <v>4.9410814145119698E-2</v>
      </c>
      <c r="AN72" s="958">
        <f t="shared" si="117"/>
        <v>5.7919032009387694E-2</v>
      </c>
      <c r="AO72" s="958">
        <f t="shared" si="117"/>
        <v>5.0604678966183099E-2</v>
      </c>
      <c r="AP72" s="959">
        <f t="shared" si="117"/>
        <v>4.142546656873803E-2</v>
      </c>
      <c r="AQ72" s="960">
        <f t="shared" si="112"/>
        <v>4.9050406560504273E-2</v>
      </c>
      <c r="AR72" s="960"/>
      <c r="AS72" s="958">
        <f t="shared" si="113"/>
        <v>4.0539837459186899E-2</v>
      </c>
      <c r="AT72" s="958">
        <f t="shared" si="113"/>
        <v>3.9207039303456988E-2</v>
      </c>
      <c r="AU72" s="958">
        <f t="shared" si="113"/>
        <v>4.0905134083797923E-2</v>
      </c>
      <c r="AV72" s="958">
        <f t="shared" si="113"/>
        <v>4.0874982746168048E-2</v>
      </c>
      <c r="AW72" s="958">
        <f t="shared" si="113"/>
        <v>4.0325714205612824E-2</v>
      </c>
      <c r="AX72" s="958">
        <f t="shared" si="113"/>
        <v>4.1008510949275788E-2</v>
      </c>
      <c r="AY72" s="958">
        <f t="shared" si="113"/>
        <v>4.3038993293296558E-2</v>
      </c>
      <c r="AZ72" s="958">
        <f t="shared" si="113"/>
        <v>4.3192279469990665E-2</v>
      </c>
      <c r="BA72" s="958">
        <f t="shared" si="113"/>
        <v>4.3078353907415705E-2</v>
      </c>
      <c r="BB72" s="958">
        <f t="shared" si="113"/>
        <v>4.4704980657466177E-2</v>
      </c>
      <c r="BC72" s="958">
        <f t="shared" si="113"/>
        <v>4.4592193490203075E-2</v>
      </c>
      <c r="BD72" s="959">
        <f t="shared" si="113"/>
        <v>4.3845790554000744E-2</v>
      </c>
      <c r="BE72" s="960">
        <f t="shared" si="113"/>
        <v>4.2190070017251877E-2</v>
      </c>
      <c r="BF72" s="958">
        <f t="shared" si="113"/>
        <v>4.33306363610972E-2</v>
      </c>
      <c r="BG72" s="958">
        <f t="shared" si="113"/>
        <v>3.7267521882112388E-2</v>
      </c>
      <c r="BH72" s="958">
        <f t="shared" si="113"/>
        <v>4.6988183733967966E-2</v>
      </c>
      <c r="BI72" s="958">
        <f t="shared" si="113"/>
        <v>4.6753665547935953E-2</v>
      </c>
      <c r="BJ72" s="958">
        <f t="shared" si="113"/>
        <v>5.2620352620113588E-2</v>
      </c>
      <c r="BK72" s="958">
        <f t="shared" si="114"/>
        <v>0</v>
      </c>
      <c r="BL72" s="958">
        <f t="shared" si="114"/>
        <v>0</v>
      </c>
      <c r="BM72" s="958">
        <f t="shared" si="114"/>
        <v>0</v>
      </c>
      <c r="BN72" s="958">
        <f t="shared" si="114"/>
        <v>0</v>
      </c>
      <c r="BO72" s="958">
        <f t="shared" si="114"/>
        <v>0</v>
      </c>
      <c r="BP72" s="958">
        <f t="shared" si="114"/>
        <v>0</v>
      </c>
      <c r="BQ72" s="959">
        <f t="shared" si="114"/>
        <v>0</v>
      </c>
      <c r="BR72" s="960">
        <f t="shared" si="115"/>
        <v>4.6231813403968779E-2</v>
      </c>
      <c r="BS72" s="960">
        <f t="shared" si="116"/>
        <v>4.2190070017251877E-2</v>
      </c>
      <c r="BU72" s="456"/>
      <c r="BV72" s="454"/>
      <c r="BW72" s="454"/>
      <c r="BX72" s="454"/>
    </row>
    <row r="73" spans="1:81">
      <c r="B73" s="525">
        <f t="shared" ref="B73:B81" si="118">B72+1</f>
        <v>3</v>
      </c>
      <c r="C73" s="526" t="s">
        <v>425</v>
      </c>
      <c r="D73" s="526" t="s">
        <v>429</v>
      </c>
      <c r="E73" s="958">
        <f t="shared" si="110"/>
        <v>0</v>
      </c>
      <c r="F73" s="958">
        <f>F43/F$60</f>
        <v>0</v>
      </c>
      <c r="G73" s="958">
        <f t="shared" si="110"/>
        <v>8.1088268348875094E-3</v>
      </c>
      <c r="H73" s="958">
        <f t="shared" si="110"/>
        <v>6.5468863024677887E-3</v>
      </c>
      <c r="I73" s="958">
        <f t="shared" si="110"/>
        <v>7.4092663929480416E-3</v>
      </c>
      <c r="J73" s="958">
        <f t="shared" si="110"/>
        <v>1.196814665377669E-2</v>
      </c>
      <c r="K73" s="958">
        <f t="shared" si="110"/>
        <v>1.0498730406877307E-2</v>
      </c>
      <c r="L73" s="958">
        <f t="shared" si="110"/>
        <v>1.1093490715622621E-2</v>
      </c>
      <c r="M73" s="958">
        <f t="shared" si="110"/>
        <v>7.3658844214597096E-3</v>
      </c>
      <c r="N73" s="958">
        <f t="shared" si="110"/>
        <v>1.2809124435286963E-2</v>
      </c>
      <c r="O73" s="958">
        <f t="shared" si="110"/>
        <v>1.0141395012750463E-2</v>
      </c>
      <c r="P73" s="959">
        <f t="shared" si="110"/>
        <v>6.6165310884724613E-3</v>
      </c>
      <c r="Q73" s="960">
        <f t="shared" si="110"/>
        <v>9.9911712517858752E-3</v>
      </c>
      <c r="R73" s="958">
        <f t="shared" si="110"/>
        <v>1.0032752359481992E-2</v>
      </c>
      <c r="S73" s="958">
        <f t="shared" si="110"/>
        <v>6.1685033184704892E-3</v>
      </c>
      <c r="T73" s="958">
        <f t="shared" si="110"/>
        <v>7.8742518944562214E-3</v>
      </c>
      <c r="U73" s="958">
        <f t="shared" si="110"/>
        <v>1.1956011765947898E-2</v>
      </c>
      <c r="V73" s="958">
        <f t="shared" si="110"/>
        <v>9.6644092089267063E-3</v>
      </c>
      <c r="W73" s="958">
        <f t="shared" si="110"/>
        <v>2.6933205226645354E-2</v>
      </c>
      <c r="X73" s="958">
        <f t="shared" si="110"/>
        <v>1.2707115714107943E-2</v>
      </c>
      <c r="Y73" s="958">
        <f t="shared" si="110"/>
        <v>1.2114867235037619E-2</v>
      </c>
      <c r="Z73" s="958">
        <f t="shared" si="110"/>
        <v>8.5561757092364066E-3</v>
      </c>
      <c r="AA73" s="958">
        <f t="shared" si="110"/>
        <v>9.7633679738039283E-3</v>
      </c>
      <c r="AB73" s="958">
        <f t="shared" si="110"/>
        <v>1.4287826439017444E-2</v>
      </c>
      <c r="AC73" s="959">
        <f t="shared" si="110"/>
        <v>1.7553813835783173E-2</v>
      </c>
      <c r="AD73" s="960">
        <f t="shared" si="110"/>
        <v>1.2287112452854318E-2</v>
      </c>
      <c r="AE73" s="958">
        <f t="shared" si="117"/>
        <v>1.0582305032885828E-2</v>
      </c>
      <c r="AF73" s="958">
        <f t="shared" si="117"/>
        <v>1.1074839634339854E-2</v>
      </c>
      <c r="AG73" s="958">
        <f t="shared" si="117"/>
        <v>7.8406847374806153E-3</v>
      </c>
      <c r="AH73" s="958">
        <f t="shared" si="117"/>
        <v>1.0203987718508195E-2</v>
      </c>
      <c r="AI73" s="958">
        <f t="shared" si="117"/>
        <v>7.9832604020075842E-3</v>
      </c>
      <c r="AJ73" s="958">
        <f t="shared" si="117"/>
        <v>8.9978911151844167E-3</v>
      </c>
      <c r="AK73" s="958">
        <f t="shared" si="117"/>
        <v>8.3632553863535863E-3</v>
      </c>
      <c r="AL73" s="958">
        <f t="shared" si="117"/>
        <v>1.082281114176231E-2</v>
      </c>
      <c r="AM73" s="958">
        <f t="shared" si="117"/>
        <v>1.5099006208029793E-2</v>
      </c>
      <c r="AN73" s="958">
        <f t="shared" si="117"/>
        <v>1.9800147956551117E-2</v>
      </c>
      <c r="AO73" s="958">
        <f t="shared" si="117"/>
        <v>1.6445948192774919E-2</v>
      </c>
      <c r="AP73" s="959">
        <f t="shared" si="117"/>
        <v>1.0793282820969308E-2</v>
      </c>
      <c r="AQ73" s="960">
        <f t="shared" si="112"/>
        <v>1.1239803456889734E-2</v>
      </c>
      <c r="AR73" s="960"/>
      <c r="AS73" s="958">
        <f t="shared" si="113"/>
        <v>5.7480222485410152E-3</v>
      </c>
      <c r="AT73" s="958">
        <f t="shared" si="113"/>
        <v>5.323229701223741E-3</v>
      </c>
      <c r="AU73" s="958">
        <f t="shared" si="113"/>
        <v>5.4036722584227719E-3</v>
      </c>
      <c r="AV73" s="958">
        <f t="shared" si="113"/>
        <v>6.0149411750860943E-3</v>
      </c>
      <c r="AW73" s="958">
        <f t="shared" si="113"/>
        <v>5.5653685276692445E-3</v>
      </c>
      <c r="AX73" s="958">
        <f t="shared" si="113"/>
        <v>5.6937133267826066E-3</v>
      </c>
      <c r="AY73" s="958">
        <f t="shared" si="113"/>
        <v>5.6252157828336983E-3</v>
      </c>
      <c r="AZ73" s="958">
        <f t="shared" si="113"/>
        <v>5.8925029852134022E-3</v>
      </c>
      <c r="BA73" s="958">
        <f t="shared" si="113"/>
        <v>5.4480939238161731E-3</v>
      </c>
      <c r="BB73" s="958">
        <f t="shared" si="113"/>
        <v>6.1041726182951977E-3</v>
      </c>
      <c r="BC73" s="958">
        <f t="shared" si="113"/>
        <v>5.5751960787120657E-3</v>
      </c>
      <c r="BD73" s="959">
        <f t="shared" si="113"/>
        <v>5.2986167040101678E-3</v>
      </c>
      <c r="BE73" s="960">
        <f t="shared" si="113"/>
        <v>5.6403500453105415E-3</v>
      </c>
      <c r="BF73" s="958">
        <f t="shared" si="113"/>
        <v>1.2023871833951925E-2</v>
      </c>
      <c r="BG73" s="958">
        <f t="shared" si="113"/>
        <v>1.0060059478348388E-2</v>
      </c>
      <c r="BH73" s="958">
        <f t="shared" si="113"/>
        <v>1.9353336195913281E-2</v>
      </c>
      <c r="BI73" s="958">
        <f t="shared" si="113"/>
        <v>2.0992119159449287E-2</v>
      </c>
      <c r="BJ73" s="958">
        <f t="shared" si="113"/>
        <v>1.783231376011676E-2</v>
      </c>
      <c r="BK73" s="958">
        <f t="shared" si="114"/>
        <v>0</v>
      </c>
      <c r="BL73" s="958">
        <f t="shared" si="114"/>
        <v>0</v>
      </c>
      <c r="BM73" s="958">
        <f t="shared" si="114"/>
        <v>0</v>
      </c>
      <c r="BN73" s="958">
        <f t="shared" si="114"/>
        <v>0</v>
      </c>
      <c r="BO73" s="958">
        <f t="shared" si="114"/>
        <v>0</v>
      </c>
      <c r="BP73" s="958">
        <f t="shared" si="114"/>
        <v>0</v>
      </c>
      <c r="BQ73" s="959">
        <f t="shared" si="114"/>
        <v>0</v>
      </c>
      <c r="BR73" s="960">
        <f t="shared" si="115"/>
        <v>1.6612203111782155E-2</v>
      </c>
      <c r="BS73" s="960">
        <f t="shared" si="116"/>
        <v>5.6403500453105415E-3</v>
      </c>
      <c r="BU73" s="456"/>
      <c r="BV73" s="454"/>
      <c r="BW73" s="454"/>
      <c r="BX73" s="454"/>
    </row>
    <row r="74" spans="1:81">
      <c r="B74" s="525">
        <f t="shared" si="118"/>
        <v>4</v>
      </c>
      <c r="C74" s="526" t="s">
        <v>425</v>
      </c>
      <c r="D74" s="526" t="s">
        <v>431</v>
      </c>
      <c r="E74" s="958">
        <f t="shared" si="110"/>
        <v>1.9601561818778234E-3</v>
      </c>
      <c r="F74" s="958">
        <f t="shared" si="110"/>
        <v>3.1645898015389092E-3</v>
      </c>
      <c r="G74" s="958">
        <f t="shared" si="110"/>
        <v>9.1623187923119201E-3</v>
      </c>
      <c r="H74" s="958">
        <f t="shared" si="110"/>
        <v>1.3690560895902664E-2</v>
      </c>
      <c r="I74" s="958">
        <f t="shared" si="110"/>
        <v>1.6810833805924751E-2</v>
      </c>
      <c r="J74" s="958">
        <f t="shared" si="110"/>
        <v>8.7794818878279002E-3</v>
      </c>
      <c r="K74" s="958">
        <f t="shared" si="110"/>
        <v>1.751798436258983E-2</v>
      </c>
      <c r="L74" s="958">
        <f t="shared" si="110"/>
        <v>1.890387957238852E-2</v>
      </c>
      <c r="M74" s="958">
        <f t="shared" si="110"/>
        <v>2.0855080874932444E-2</v>
      </c>
      <c r="N74" s="958">
        <f t="shared" si="110"/>
        <v>2.8454924371407713E-2</v>
      </c>
      <c r="O74" s="958">
        <f t="shared" si="110"/>
        <v>3.0494238768376449E-2</v>
      </c>
      <c r="P74" s="959">
        <f t="shared" si="110"/>
        <v>2.1179654529117076E-2</v>
      </c>
      <c r="Q74" s="960">
        <f t="shared" si="110"/>
        <v>1.0629588979552355E-2</v>
      </c>
      <c r="R74" s="958">
        <f t="shared" si="110"/>
        <v>1.4950216140480503E-2</v>
      </c>
      <c r="S74" s="958">
        <f t="shared" si="110"/>
        <v>1.7850926096540671E-2</v>
      </c>
      <c r="T74" s="958">
        <f t="shared" si="110"/>
        <v>1.4042482548542722E-2</v>
      </c>
      <c r="U74" s="958">
        <f t="shared" si="110"/>
        <v>8.3941149953537918E-3</v>
      </c>
      <c r="V74" s="958">
        <f t="shared" si="110"/>
        <v>8.1802090004489039E-3</v>
      </c>
      <c r="W74" s="958">
        <f t="shared" si="110"/>
        <v>5.9148426383342952E-3</v>
      </c>
      <c r="X74" s="958">
        <f t="shared" si="110"/>
        <v>1.6365190069143068E-2</v>
      </c>
      <c r="Y74" s="958">
        <f t="shared" si="110"/>
        <v>7.5210020769084706E-3</v>
      </c>
      <c r="Z74" s="958">
        <f t="shared" si="110"/>
        <v>1.1940906500086487E-2</v>
      </c>
      <c r="AA74" s="958">
        <f t="shared" si="110"/>
        <v>1.5907493144177748E-2</v>
      </c>
      <c r="AB74" s="958">
        <f t="shared" si="110"/>
        <v>1.3463241744198716E-2</v>
      </c>
      <c r="AC74" s="959">
        <f t="shared" si="110"/>
        <v>2.9611341792138502E-3</v>
      </c>
      <c r="AD74" s="960">
        <f t="shared" si="110"/>
        <v>1.1369586897380967E-2</v>
      </c>
      <c r="AE74" s="958">
        <f t="shared" si="117"/>
        <v>4.7505833858951796E-3</v>
      </c>
      <c r="AF74" s="958">
        <f t="shared" si="117"/>
        <v>9.5271291753435301E-3</v>
      </c>
      <c r="AG74" s="958">
        <f t="shared" si="117"/>
        <v>1.1564582671544683E-2</v>
      </c>
      <c r="AH74" s="958">
        <f t="shared" si="117"/>
        <v>1.3203780108146981E-2</v>
      </c>
      <c r="AI74" s="958">
        <f t="shared" si="117"/>
        <v>1.386517331958104E-2</v>
      </c>
      <c r="AJ74" s="958">
        <f t="shared" si="117"/>
        <v>1.5171481783174772E-2</v>
      </c>
      <c r="AK74" s="958">
        <f t="shared" si="117"/>
        <v>1.8066202832023832E-2</v>
      </c>
      <c r="AL74" s="958">
        <f t="shared" si="117"/>
        <v>1.6116965401452184E-2</v>
      </c>
      <c r="AM74" s="958">
        <f t="shared" si="117"/>
        <v>1.3691971623831145E-2</v>
      </c>
      <c r="AN74" s="958">
        <f t="shared" si="117"/>
        <v>5.7443217123529866E-3</v>
      </c>
      <c r="AO74" s="958">
        <f t="shared" si="117"/>
        <v>6.7268528976930564E-3</v>
      </c>
      <c r="AP74" s="959">
        <f t="shared" si="117"/>
        <v>9.5967528387300681E-3</v>
      </c>
      <c r="AQ74" s="960">
        <f t="shared" si="112"/>
        <v>1.2205124413144813E-2</v>
      </c>
      <c r="AR74" s="960"/>
      <c r="AS74" s="958">
        <f t="shared" si="113"/>
        <v>1.0883912770800631E-2</v>
      </c>
      <c r="AT74" s="958">
        <f t="shared" si="113"/>
        <v>1.0690678039872007E-2</v>
      </c>
      <c r="AU74" s="958">
        <f t="shared" si="113"/>
        <v>1.1283025032870818E-2</v>
      </c>
      <c r="AV74" s="958">
        <f t="shared" si="113"/>
        <v>1.1173455757362791E-2</v>
      </c>
      <c r="AW74" s="958">
        <f t="shared" si="113"/>
        <v>1.1104433012194109E-2</v>
      </c>
      <c r="AX74" s="958">
        <f t="shared" si="113"/>
        <v>1.1181195436228086E-2</v>
      </c>
      <c r="AY74" s="958">
        <f t="shared" si="113"/>
        <v>1.1089727976493191E-2</v>
      </c>
      <c r="AZ74" s="958">
        <f t="shared" si="113"/>
        <v>1.1245619310410074E-2</v>
      </c>
      <c r="BA74" s="958">
        <f t="shared" si="113"/>
        <v>1.0945721269424752E-2</v>
      </c>
      <c r="BB74" s="958">
        <f t="shared" si="113"/>
        <v>1.130901493326472E-2</v>
      </c>
      <c r="BC74" s="958">
        <f t="shared" si="113"/>
        <v>1.1133858588526257E-2</v>
      </c>
      <c r="BD74" s="959">
        <f t="shared" si="113"/>
        <v>1.1130809716010501E-2</v>
      </c>
      <c r="BE74" s="960">
        <f t="shared" si="113"/>
        <v>1.110487457308461E-2</v>
      </c>
      <c r="BF74" s="958">
        <f t="shared" si="113"/>
        <v>9.4156386904460324E-3</v>
      </c>
      <c r="BG74" s="958">
        <f t="shared" si="113"/>
        <v>4.2898083246667145E-3</v>
      </c>
      <c r="BH74" s="958">
        <f t="shared" si="113"/>
        <v>1.4473365025482807E-2</v>
      </c>
      <c r="BI74" s="958">
        <f t="shared" si="113"/>
        <v>1.1261732682443872E-2</v>
      </c>
      <c r="BJ74" s="958">
        <f t="shared" si="113"/>
        <v>1.6220778582212672E-2</v>
      </c>
      <c r="BK74" s="958">
        <f t="shared" si="114"/>
        <v>0</v>
      </c>
      <c r="BL74" s="958">
        <f t="shared" si="114"/>
        <v>0</v>
      </c>
      <c r="BM74" s="958">
        <f>IFERROR(BM44/BM$60,0)</f>
        <v>0</v>
      </c>
      <c r="BN74" s="958">
        <f t="shared" si="114"/>
        <v>0</v>
      </c>
      <c r="BO74" s="958">
        <f t="shared" si="114"/>
        <v>0</v>
      </c>
      <c r="BP74" s="958">
        <f t="shared" si="114"/>
        <v>0</v>
      </c>
      <c r="BQ74" s="959">
        <f t="shared" si="114"/>
        <v>0</v>
      </c>
      <c r="BR74" s="960">
        <f t="shared" si="115"/>
        <v>1.1847919649107167E-2</v>
      </c>
      <c r="BS74" s="960">
        <f t="shared" si="116"/>
        <v>1.110487457308461E-2</v>
      </c>
      <c r="BU74" s="456"/>
      <c r="BV74" s="454"/>
      <c r="BW74" s="454"/>
      <c r="BX74" s="454"/>
    </row>
    <row r="75" spans="1:81">
      <c r="B75" s="525">
        <f t="shared" si="118"/>
        <v>5</v>
      </c>
      <c r="C75" s="526" t="s">
        <v>425</v>
      </c>
      <c r="D75" s="526" t="s">
        <v>433</v>
      </c>
      <c r="E75" s="958">
        <f t="shared" si="110"/>
        <v>1.4697345295632883E-2</v>
      </c>
      <c r="F75" s="958">
        <f t="shared" si="110"/>
        <v>1.4526559279128406E-2</v>
      </c>
      <c r="G75" s="958">
        <f t="shared" si="110"/>
        <v>1.0011439231102398E-2</v>
      </c>
      <c r="H75" s="958">
        <f t="shared" si="110"/>
        <v>1.1464993015099427E-2</v>
      </c>
      <c r="I75" s="958">
        <f t="shared" si="110"/>
        <v>1.3623153966074948E-2</v>
      </c>
      <c r="J75" s="958">
        <f t="shared" si="110"/>
        <v>1.6778735423438971E-2</v>
      </c>
      <c r="K75" s="958">
        <f t="shared" si="110"/>
        <v>1.2653869336239057E-2</v>
      </c>
      <c r="L75" s="958">
        <f t="shared" si="110"/>
        <v>1.0343936595996316E-2</v>
      </c>
      <c r="M75" s="958">
        <f t="shared" si="110"/>
        <v>6.3364564873638817E-3</v>
      </c>
      <c r="N75" s="958">
        <f t="shared" si="110"/>
        <v>1.0078613636823087E-2</v>
      </c>
      <c r="O75" s="958">
        <f t="shared" si="110"/>
        <v>6.7502907164975028E-3</v>
      </c>
      <c r="P75" s="959">
        <f t="shared" si="110"/>
        <v>6.8389698380631045E-3</v>
      </c>
      <c r="Q75" s="960">
        <f t="shared" si="110"/>
        <v>6.7462934636062866E-3</v>
      </c>
      <c r="R75" s="958">
        <f t="shared" si="110"/>
        <v>9.072238769260204E-3</v>
      </c>
      <c r="S75" s="958">
        <f t="shared" si="110"/>
        <v>5.9950030238488834E-3</v>
      </c>
      <c r="T75" s="958">
        <f t="shared" si="110"/>
        <v>6.7824600318609381E-3</v>
      </c>
      <c r="U75" s="958">
        <f t="shared" si="110"/>
        <v>1.0721373215249106E-2</v>
      </c>
      <c r="V75" s="958">
        <f t="shared" si="110"/>
        <v>8.1322578524463014E-3</v>
      </c>
      <c r="W75" s="958">
        <f t="shared" si="110"/>
        <v>9.1330104693453165E-3</v>
      </c>
      <c r="X75" s="958">
        <f t="shared" si="110"/>
        <v>7.9108610344448878E-3</v>
      </c>
      <c r="Y75" s="958">
        <f t="shared" si="110"/>
        <v>7.7344840515663092E-3</v>
      </c>
      <c r="Z75" s="958">
        <f t="shared" si="110"/>
        <v>6.6297107401019602E-3</v>
      </c>
      <c r="AA75" s="958">
        <f t="shared" si="110"/>
        <v>5.1873914592492059E-3</v>
      </c>
      <c r="AB75" s="958">
        <f t="shared" si="110"/>
        <v>3.0636468392571726E-3</v>
      </c>
      <c r="AC75" s="959">
        <f t="shared" si="110"/>
        <v>6.5635618254792638E-3</v>
      </c>
      <c r="AD75" s="960">
        <f t="shared" si="110"/>
        <v>7.2011888967003961E-3</v>
      </c>
      <c r="AE75" s="958">
        <f t="shared" si="117"/>
        <v>9.3003504778183168E-3</v>
      </c>
      <c r="AF75" s="958">
        <f t="shared" si="117"/>
        <v>7.0299455137337701E-3</v>
      </c>
      <c r="AG75" s="958">
        <f t="shared" si="117"/>
        <v>5.0861907655360885E-3</v>
      </c>
      <c r="AH75" s="958">
        <f t="shared" si="117"/>
        <v>8.0718178833796353E-3</v>
      </c>
      <c r="AI75" s="958">
        <f t="shared" si="117"/>
        <v>5.2402173853702419E-3</v>
      </c>
      <c r="AJ75" s="958">
        <f t="shared" si="117"/>
        <v>5.6336947799673414E-3</v>
      </c>
      <c r="AK75" s="958">
        <f t="shared" si="117"/>
        <v>5.2527230136301239E-3</v>
      </c>
      <c r="AL75" s="958">
        <f t="shared" si="117"/>
        <v>5.9384084534314166E-3</v>
      </c>
      <c r="AM75" s="958">
        <f t="shared" si="117"/>
        <v>5.8303587697076768E-3</v>
      </c>
      <c r="AN75" s="958">
        <f t="shared" si="117"/>
        <v>5.3916200054071181E-3</v>
      </c>
      <c r="AO75" s="958">
        <f t="shared" si="117"/>
        <v>8.112096353812397E-3</v>
      </c>
      <c r="AP75" s="959">
        <f t="shared" si="117"/>
        <v>5.8897426713384691E-3</v>
      </c>
      <c r="AQ75" s="960">
        <f t="shared" si="112"/>
        <v>6.1876369625455657E-3</v>
      </c>
      <c r="AR75" s="960"/>
      <c r="AS75" s="958">
        <f t="shared" si="113"/>
        <v>7.3647296420596437E-3</v>
      </c>
      <c r="AT75" s="958">
        <f t="shared" si="113"/>
        <v>8.5001223546818105E-3</v>
      </c>
      <c r="AU75" s="958">
        <f t="shared" si="113"/>
        <v>7.7111125881650314E-3</v>
      </c>
      <c r="AV75" s="958">
        <f t="shared" si="113"/>
        <v>7.5966984545858506E-3</v>
      </c>
      <c r="AW75" s="958">
        <f t="shared" si="113"/>
        <v>7.4196772249402031E-3</v>
      </c>
      <c r="AX75" s="958">
        <f t="shared" si="113"/>
        <v>7.5262371016481247E-3</v>
      </c>
      <c r="AY75" s="958">
        <f t="shared" si="113"/>
        <v>7.2909795845705989E-3</v>
      </c>
      <c r="AZ75" s="958">
        <f t="shared" si="113"/>
        <v>7.0588881381091666E-3</v>
      </c>
      <c r="BA75" s="958">
        <f t="shared" si="113"/>
        <v>7.2156376821955913E-3</v>
      </c>
      <c r="BB75" s="958">
        <f t="shared" si="113"/>
        <v>7.4727070942792505E-3</v>
      </c>
      <c r="BC75" s="958">
        <f t="shared" si="113"/>
        <v>7.2815798715379233E-3</v>
      </c>
      <c r="BD75" s="959">
        <f t="shared" si="113"/>
        <v>6.9744867736517054E-3</v>
      </c>
      <c r="BE75" s="960">
        <f t="shared" si="113"/>
        <v>7.4305090793390632E-3</v>
      </c>
      <c r="BF75" s="958">
        <f t="shared" si="113"/>
        <v>7.6455738288423907E-3</v>
      </c>
      <c r="BG75" s="958">
        <f t="shared" si="113"/>
        <v>5.727426410008409E-3</v>
      </c>
      <c r="BH75" s="958">
        <f t="shared" si="113"/>
        <v>6.6800419652915388E-3</v>
      </c>
      <c r="BI75" s="958">
        <f t="shared" si="113"/>
        <v>7.0961384456261272E-3</v>
      </c>
      <c r="BJ75" s="958">
        <f t="shared" si="113"/>
        <v>6.1219816551365998E-3</v>
      </c>
      <c r="BK75" s="958">
        <f t="shared" si="114"/>
        <v>0</v>
      </c>
      <c r="BL75" s="958">
        <f t="shared" si="114"/>
        <v>0</v>
      </c>
      <c r="BM75" s="958">
        <f t="shared" si="114"/>
        <v>0</v>
      </c>
      <c r="BN75" s="958">
        <f t="shared" si="114"/>
        <v>0</v>
      </c>
      <c r="BO75" s="958">
        <f t="shared" si="114"/>
        <v>0</v>
      </c>
      <c r="BP75" s="958">
        <f t="shared" si="114"/>
        <v>0</v>
      </c>
      <c r="BQ75" s="959">
        <f t="shared" si="114"/>
        <v>0</v>
      </c>
      <c r="BR75" s="960">
        <f t="shared" si="115"/>
        <v>6.7128382264099997E-3</v>
      </c>
      <c r="BS75" s="960">
        <f t="shared" si="116"/>
        <v>7.4305090793390632E-3</v>
      </c>
      <c r="BU75" s="456"/>
      <c r="BV75" s="454"/>
      <c r="BW75" s="454"/>
      <c r="BX75" s="454"/>
    </row>
    <row r="76" spans="1:81">
      <c r="B76" s="525">
        <f t="shared" si="118"/>
        <v>6</v>
      </c>
      <c r="C76" s="526" t="s">
        <v>425</v>
      </c>
      <c r="D76" s="526" t="s">
        <v>434</v>
      </c>
      <c r="E76" s="958">
        <f t="shared" si="110"/>
        <v>4.4148700323470872E-3</v>
      </c>
      <c r="F76" s="958">
        <f t="shared" si="110"/>
        <v>6.3813397879634512E-3</v>
      </c>
      <c r="G76" s="958">
        <f t="shared" si="110"/>
        <v>5.4649794772303898E-3</v>
      </c>
      <c r="H76" s="958">
        <f t="shared" si="110"/>
        <v>5.6869503878966207E-3</v>
      </c>
      <c r="I76" s="958">
        <f t="shared" si="110"/>
        <v>6.4032283624648615E-3</v>
      </c>
      <c r="J76" s="958">
        <f t="shared" si="110"/>
        <v>7.1067527318568842E-3</v>
      </c>
      <c r="K76" s="958">
        <f t="shared" si="110"/>
        <v>6.4308310876345885E-3</v>
      </c>
      <c r="L76" s="958">
        <f t="shared" si="110"/>
        <v>6.2725170830403697E-3</v>
      </c>
      <c r="M76" s="958">
        <f t="shared" si="110"/>
        <v>6.8937100841393586E-3</v>
      </c>
      <c r="N76" s="958">
        <f t="shared" si="110"/>
        <v>6.7066901816184819E-3</v>
      </c>
      <c r="O76" s="958">
        <f t="shared" si="110"/>
        <v>6.2949598573939494E-3</v>
      </c>
      <c r="P76" s="959">
        <f t="shared" si="110"/>
        <v>7.1006273172452396E-3</v>
      </c>
      <c r="Q76" s="960">
        <f t="shared" si="110"/>
        <v>3.9959824769162438E-3</v>
      </c>
      <c r="R76" s="958">
        <f t="shared" si="110"/>
        <v>7.9005611529981406E-3</v>
      </c>
      <c r="S76" s="958">
        <f t="shared" si="110"/>
        <v>5.0269570261170992E-3</v>
      </c>
      <c r="T76" s="958">
        <f t="shared" si="110"/>
        <v>6.0460383007116866E-3</v>
      </c>
      <c r="U76" s="958">
        <f t="shared" si="110"/>
        <v>5.4266839421008555E-3</v>
      </c>
      <c r="V76" s="958">
        <f t="shared" si="110"/>
        <v>5.8323389964888171E-3</v>
      </c>
      <c r="W76" s="958">
        <f t="shared" si="110"/>
        <v>7.833537034273497E-3</v>
      </c>
      <c r="X76" s="958">
        <f t="shared" si="110"/>
        <v>4.8831727908021007E-3</v>
      </c>
      <c r="Y76" s="958">
        <f t="shared" si="110"/>
        <v>4.9494020003921814E-3</v>
      </c>
      <c r="Z76" s="958">
        <f t="shared" si="110"/>
        <v>5.7525505828362865E-3</v>
      </c>
      <c r="AA76" s="958">
        <f t="shared" si="110"/>
        <v>5.9413994564285356E-3</v>
      </c>
      <c r="AB76" s="958">
        <f t="shared" si="110"/>
        <v>6.4513755713288927E-3</v>
      </c>
      <c r="AC76" s="959">
        <f t="shared" si="110"/>
        <v>5.6362401356944841E-3</v>
      </c>
      <c r="AD76" s="960">
        <f t="shared" si="110"/>
        <v>6.0586076733934128E-3</v>
      </c>
      <c r="AE76" s="958">
        <f t="shared" si="117"/>
        <v>4.2875024258651794E-3</v>
      </c>
      <c r="AF76" s="958">
        <f t="shared" si="117"/>
        <v>5.4897435711614984E-3</v>
      </c>
      <c r="AG76" s="958">
        <f t="shared" si="117"/>
        <v>5.8178185352123421E-3</v>
      </c>
      <c r="AH76" s="958">
        <f t="shared" si="117"/>
        <v>5.3409580878689871E-3</v>
      </c>
      <c r="AI76" s="958">
        <f t="shared" si="117"/>
        <v>6.75801168836636E-3</v>
      </c>
      <c r="AJ76" s="958">
        <f t="shared" si="117"/>
        <v>5.8345020568543017E-3</v>
      </c>
      <c r="AK76" s="958">
        <f t="shared" si="117"/>
        <v>6.0717188416314653E-3</v>
      </c>
      <c r="AL76" s="958">
        <f t="shared" si="117"/>
        <v>6.1320510836785176E-3</v>
      </c>
      <c r="AM76" s="958">
        <f t="shared" si="117"/>
        <v>6.184370819860144E-3</v>
      </c>
      <c r="AN76" s="958">
        <f t="shared" si="117"/>
        <v>5.8773320336379595E-3</v>
      </c>
      <c r="AO76" s="958">
        <f t="shared" si="117"/>
        <v>6.2074759352648201E-3</v>
      </c>
      <c r="AP76" s="959">
        <f t="shared" si="117"/>
        <v>6.1726949502058925E-3</v>
      </c>
      <c r="AQ76" s="960">
        <f t="shared" si="112"/>
        <v>5.9250110663598898E-3</v>
      </c>
      <c r="AR76" s="960"/>
      <c r="AS76" s="958">
        <f t="shared" si="113"/>
        <v>5.8601002519920575E-3</v>
      </c>
      <c r="AT76" s="958">
        <f t="shared" si="113"/>
        <v>5.6616156062891127E-3</v>
      </c>
      <c r="AU76" s="958">
        <f t="shared" si="113"/>
        <v>6.0137573022598497E-3</v>
      </c>
      <c r="AV76" s="958">
        <f t="shared" si="113"/>
        <v>5.9829523423846863E-3</v>
      </c>
      <c r="AW76" s="958">
        <f t="shared" si="113"/>
        <v>5.9185692595726284E-3</v>
      </c>
      <c r="AX76" s="958">
        <f t="shared" si="113"/>
        <v>6.0123425301377917E-3</v>
      </c>
      <c r="AY76" s="958">
        <f t="shared" si="113"/>
        <v>5.9893332851009692E-3</v>
      </c>
      <c r="AZ76" s="958">
        <f t="shared" si="113"/>
        <v>6.0049938623881159E-3</v>
      </c>
      <c r="BA76" s="958">
        <f t="shared" si="113"/>
        <v>5.976963999719075E-3</v>
      </c>
      <c r="BB76" s="958">
        <f t="shared" si="113"/>
        <v>6.0652668409689739E-3</v>
      </c>
      <c r="BC76" s="958">
        <f t="shared" si="113"/>
        <v>5.9865553286341695E-3</v>
      </c>
      <c r="BD76" s="959">
        <f t="shared" si="113"/>
        <v>5.9436872423894735E-3</v>
      </c>
      <c r="BE76" s="960">
        <f t="shared" si="113"/>
        <v>5.9566582486962737E-3</v>
      </c>
      <c r="BF76" s="958">
        <f t="shared" si="113"/>
        <v>6.4094699864020851E-3</v>
      </c>
      <c r="BG76" s="958">
        <f t="shared" si="113"/>
        <v>5.1683065638340681E-3</v>
      </c>
      <c r="BH76" s="958">
        <f t="shared" si="113"/>
        <v>6.6804824447623144E-3</v>
      </c>
      <c r="BI76" s="958">
        <f t="shared" si="113"/>
        <v>8.320004583665665E-3</v>
      </c>
      <c r="BJ76" s="958">
        <f t="shared" si="113"/>
        <v>7.0187779834237152E-3</v>
      </c>
      <c r="BK76" s="958">
        <f t="shared" si="114"/>
        <v>0</v>
      </c>
      <c r="BL76" s="958">
        <f t="shared" si="114"/>
        <v>0</v>
      </c>
      <c r="BM76" s="958">
        <f t="shared" si="114"/>
        <v>0</v>
      </c>
      <c r="BN76" s="958">
        <f t="shared" si="114"/>
        <v>0</v>
      </c>
      <c r="BO76" s="958">
        <f t="shared" si="114"/>
        <v>0</v>
      </c>
      <c r="BP76" s="958">
        <f t="shared" si="114"/>
        <v>0</v>
      </c>
      <c r="BQ76" s="959">
        <f t="shared" si="114"/>
        <v>0</v>
      </c>
      <c r="BR76" s="960">
        <f t="shared" si="115"/>
        <v>6.8988737275178583E-3</v>
      </c>
      <c r="BS76" s="960">
        <f t="shared" si="116"/>
        <v>5.9566582486962737E-3</v>
      </c>
      <c r="BU76" s="456"/>
      <c r="BV76" s="454"/>
      <c r="BW76" s="454"/>
      <c r="BX76" s="454"/>
    </row>
    <row r="77" spans="1:81">
      <c r="B77" s="525">
        <f t="shared" si="118"/>
        <v>7</v>
      </c>
      <c r="C77" s="526" t="s">
        <v>425</v>
      </c>
      <c r="D77" s="526" t="s">
        <v>435</v>
      </c>
      <c r="E77" s="958">
        <f t="shared" si="110"/>
        <v>5.3015473728359394E-3</v>
      </c>
      <c r="F77" s="958">
        <f t="shared" si="110"/>
        <v>5.5316806742799944E-3</v>
      </c>
      <c r="G77" s="958">
        <f t="shared" si="110"/>
        <v>5.392660260513586E-3</v>
      </c>
      <c r="H77" s="958">
        <f t="shared" si="110"/>
        <v>6.1201444771942243E-3</v>
      </c>
      <c r="I77" s="958">
        <f t="shared" si="110"/>
        <v>3.2382020056361234E-3</v>
      </c>
      <c r="J77" s="958">
        <f t="shared" si="110"/>
        <v>7.2200472679249299E-3</v>
      </c>
      <c r="K77" s="958">
        <f t="shared" si="110"/>
        <v>5.320207685374027E-3</v>
      </c>
      <c r="L77" s="958">
        <f t="shared" si="110"/>
        <v>5.8910553660653656E-3</v>
      </c>
      <c r="M77" s="958">
        <f t="shared" si="110"/>
        <v>6.3971193289320853E-3</v>
      </c>
      <c r="N77" s="958">
        <f t="shared" si="110"/>
        <v>6.2097522596570543E-3</v>
      </c>
      <c r="O77" s="958">
        <f t="shared" si="110"/>
        <v>8.768223009018989E-3</v>
      </c>
      <c r="P77" s="959">
        <f t="shared" si="110"/>
        <v>4.0830418757139535E-3</v>
      </c>
      <c r="Q77" s="960">
        <f t="shared" si="110"/>
        <v>3.5509568741079862E-3</v>
      </c>
      <c r="R77" s="958">
        <f t="shared" si="110"/>
        <v>3.3222617023303054E-3</v>
      </c>
      <c r="S77" s="958">
        <f t="shared" si="110"/>
        <v>3.1724852462807662E-3</v>
      </c>
      <c r="T77" s="958">
        <f t="shared" si="110"/>
        <v>3.2779509696732557E-3</v>
      </c>
      <c r="U77" s="958">
        <f t="shared" si="110"/>
        <v>3.1353448063004348E-3</v>
      </c>
      <c r="V77" s="958">
        <f t="shared" si="110"/>
        <v>3.3067083416329197E-3</v>
      </c>
      <c r="W77" s="958">
        <f t="shared" si="110"/>
        <v>3.5554498396656582E-3</v>
      </c>
      <c r="X77" s="958">
        <f t="shared" si="110"/>
        <v>4.7982067206295779E-3</v>
      </c>
      <c r="Y77" s="958">
        <f t="shared" si="110"/>
        <v>3.6670015925592916E-3</v>
      </c>
      <c r="Z77" s="958">
        <f t="shared" si="110"/>
        <v>2.9420413118432438E-3</v>
      </c>
      <c r="AA77" s="958">
        <f t="shared" si="110"/>
        <v>2.6143881594841126E-3</v>
      </c>
      <c r="AB77" s="958">
        <f t="shared" si="110"/>
        <v>2.4790723214658584E-3</v>
      </c>
      <c r="AC77" s="959">
        <f t="shared" si="110"/>
        <v>2.6797894681244408E-3</v>
      </c>
      <c r="AD77" s="960">
        <f t="shared" si="110"/>
        <v>3.1677199014415107E-3</v>
      </c>
      <c r="AE77" s="958">
        <f t="shared" si="117"/>
        <v>2.4794897886216971E-3</v>
      </c>
      <c r="AF77" s="958">
        <f t="shared" si="117"/>
        <v>2.3959711069965503E-3</v>
      </c>
      <c r="AG77" s="958">
        <f t="shared" si="117"/>
        <v>2.0836048148316828E-3</v>
      </c>
      <c r="AH77" s="958">
        <f t="shared" si="117"/>
        <v>1.9160368690167226E-3</v>
      </c>
      <c r="AI77" s="958">
        <f t="shared" si="117"/>
        <v>1.7563539858125247E-3</v>
      </c>
      <c r="AJ77" s="958">
        <f t="shared" si="117"/>
        <v>1.7793165228192987E-3</v>
      </c>
      <c r="AK77" s="958">
        <f t="shared" si="117"/>
        <v>1.8390618519243435E-3</v>
      </c>
      <c r="AL77" s="958">
        <f t="shared" si="117"/>
        <v>1.319668653339228E-3</v>
      </c>
      <c r="AM77" s="958">
        <f t="shared" si="117"/>
        <v>1.9211140946263946E-3</v>
      </c>
      <c r="AN77" s="958">
        <f t="shared" si="117"/>
        <v>1.9950336404546526E-3</v>
      </c>
      <c r="AO77" s="958">
        <f t="shared" si="117"/>
        <v>2.2318068205395935E-3</v>
      </c>
      <c r="AP77" s="959">
        <f t="shared" si="117"/>
        <v>1.6005493782148524E-3</v>
      </c>
      <c r="AQ77" s="960">
        <f t="shared" si="112"/>
        <v>1.8948650195759317E-3</v>
      </c>
      <c r="AR77" s="960"/>
      <c r="AS77" s="958">
        <f t="shared" si="113"/>
        <v>2.0015583076094675E-3</v>
      </c>
      <c r="AT77" s="958">
        <f t="shared" si="113"/>
        <v>2.3351060853754784E-3</v>
      </c>
      <c r="AU77" s="958">
        <f t="shared" si="113"/>
        <v>1.9591026371247756E-3</v>
      </c>
      <c r="AV77" s="958">
        <f t="shared" si="113"/>
        <v>1.9400778227713317E-3</v>
      </c>
      <c r="AW77" s="958">
        <f t="shared" si="113"/>
        <v>1.928093213884299E-3</v>
      </c>
      <c r="AX77" s="958">
        <f t="shared" si="113"/>
        <v>1.8961877993163804E-3</v>
      </c>
      <c r="AY77" s="958">
        <f t="shared" si="113"/>
        <v>1.8635820246918498E-3</v>
      </c>
      <c r="AZ77" s="958">
        <f t="shared" si="113"/>
        <v>1.8471330626740538E-3</v>
      </c>
      <c r="BA77" s="958">
        <f t="shared" si="113"/>
        <v>1.8393823047982089E-3</v>
      </c>
      <c r="BB77" s="958">
        <f t="shared" si="113"/>
        <v>1.8575460197350518E-3</v>
      </c>
      <c r="BC77" s="958">
        <f t="shared" si="113"/>
        <v>1.8709979879596411E-3</v>
      </c>
      <c r="BD77" s="959">
        <f t="shared" si="113"/>
        <v>1.8282751774945922E-3</v>
      </c>
      <c r="BE77" s="960">
        <f t="shared" si="113"/>
        <v>1.9227222528806643E-3</v>
      </c>
      <c r="BF77" s="958">
        <f t="shared" si="113"/>
        <v>1.7051789488404644E-3</v>
      </c>
      <c r="BG77" s="958">
        <f t="shared" si="113"/>
        <v>1.5991008287286248E-3</v>
      </c>
      <c r="BH77" s="958">
        <f t="shared" si="113"/>
        <v>2.8106909503469754E-3</v>
      </c>
      <c r="BI77" s="958">
        <f t="shared" si="113"/>
        <v>3.2127473304394819E-3</v>
      </c>
      <c r="BJ77" s="958">
        <f t="shared" si="113"/>
        <v>3.189709887017922E-3</v>
      </c>
      <c r="BK77" s="958">
        <f t="shared" si="114"/>
        <v>0</v>
      </c>
      <c r="BL77" s="958">
        <f t="shared" si="114"/>
        <v>0</v>
      </c>
      <c r="BM77" s="958">
        <f t="shared" si="114"/>
        <v>0</v>
      </c>
      <c r="BN77" s="958">
        <f t="shared" si="114"/>
        <v>0</v>
      </c>
      <c r="BO77" s="958">
        <f t="shared" si="114"/>
        <v>0</v>
      </c>
      <c r="BP77" s="958">
        <f t="shared" si="114"/>
        <v>0</v>
      </c>
      <c r="BQ77" s="959">
        <f t="shared" si="114"/>
        <v>0</v>
      </c>
      <c r="BR77" s="960">
        <f t="shared" si="115"/>
        <v>2.6297611607979106E-3</v>
      </c>
      <c r="BS77" s="960">
        <f t="shared" si="116"/>
        <v>1.9227222528806643E-3</v>
      </c>
      <c r="BU77" s="456"/>
      <c r="BV77" s="454"/>
      <c r="BW77" s="454"/>
      <c r="BX77" s="454"/>
    </row>
    <row r="78" spans="1:81">
      <c r="B78" s="525">
        <f t="shared" si="118"/>
        <v>8</v>
      </c>
      <c r="C78" s="526" t="s">
        <v>425</v>
      </c>
      <c r="D78" s="526" t="s">
        <v>436</v>
      </c>
      <c r="E78" s="958">
        <f t="shared" si="110"/>
        <v>5.4767853006419199E-3</v>
      </c>
      <c r="F78" s="958">
        <f t="shared" si="110"/>
        <v>4.2379425864923241E-3</v>
      </c>
      <c r="G78" s="958">
        <f t="shared" si="110"/>
        <v>8.2300233459320932E-3</v>
      </c>
      <c r="H78" s="958">
        <f t="shared" si="110"/>
        <v>7.8122632676971369E-3</v>
      </c>
      <c r="I78" s="958">
        <f t="shared" si="110"/>
        <v>4.76432878462104E-3</v>
      </c>
      <c r="J78" s="958">
        <f t="shared" si="110"/>
        <v>5.1738803224485944E-3</v>
      </c>
      <c r="K78" s="958">
        <f t="shared" si="110"/>
        <v>3.4044911935660173E-3</v>
      </c>
      <c r="L78" s="958">
        <f t="shared" si="110"/>
        <v>2.3171988694403798E-3</v>
      </c>
      <c r="M78" s="958">
        <f t="shared" si="110"/>
        <v>3.7986773078986166E-3</v>
      </c>
      <c r="N78" s="958">
        <f t="shared" si="110"/>
        <v>2.864516788219894E-3</v>
      </c>
      <c r="O78" s="958">
        <f t="shared" si="110"/>
        <v>2.7354468561194088E-3</v>
      </c>
      <c r="P78" s="959">
        <f t="shared" si="110"/>
        <v>2.4279547889995258E-3</v>
      </c>
      <c r="Q78" s="960">
        <f t="shared" si="110"/>
        <v>2.6461697047594811E-3</v>
      </c>
      <c r="R78" s="958">
        <f t="shared" si="110"/>
        <v>1.4601736841425273E-3</v>
      </c>
      <c r="S78" s="958">
        <f t="shared" si="110"/>
        <v>1.6358597289071557E-3</v>
      </c>
      <c r="T78" s="958">
        <f t="shared" si="110"/>
        <v>1.0404625988252492E-3</v>
      </c>
      <c r="U78" s="958">
        <f t="shared" si="110"/>
        <v>1.7347874193451576E-3</v>
      </c>
      <c r="V78" s="958">
        <f t="shared" si="110"/>
        <v>2.565733079519187E-3</v>
      </c>
      <c r="W78" s="958">
        <f t="shared" si="110"/>
        <v>2.9532836343017857E-3</v>
      </c>
      <c r="X78" s="958">
        <f t="shared" si="110"/>
        <v>2.8378902412715956E-3</v>
      </c>
      <c r="Y78" s="958">
        <f t="shared" si="110"/>
        <v>3.1801552359563504E-3</v>
      </c>
      <c r="Z78" s="958">
        <f t="shared" si="110"/>
        <v>1.6160413361122597E-3</v>
      </c>
      <c r="AA78" s="958">
        <f t="shared" si="110"/>
        <v>2.2873531437685155E-3</v>
      </c>
      <c r="AB78" s="958">
        <f t="shared" si="110"/>
        <v>2.1297841499731524E-3</v>
      </c>
      <c r="AC78" s="959">
        <f t="shared" si="110"/>
        <v>2.824845007643185E-3</v>
      </c>
      <c r="AD78" s="960">
        <f t="shared" si="110"/>
        <v>2.1295750318425254E-3</v>
      </c>
      <c r="AE78" s="958">
        <f t="shared" si="117"/>
        <v>3.0067383957966438E-3</v>
      </c>
      <c r="AF78" s="958">
        <f t="shared" si="117"/>
        <v>2.0374986553932041E-3</v>
      </c>
      <c r="AG78" s="958">
        <f t="shared" si="117"/>
        <v>2.0832165898888072E-3</v>
      </c>
      <c r="AH78" s="958">
        <f t="shared" si="117"/>
        <v>1.5776548657609759E-3</v>
      </c>
      <c r="AI78" s="958">
        <f t="shared" si="117"/>
        <v>2.082414001201125E-3</v>
      </c>
      <c r="AJ78" s="958">
        <f t="shared" si="117"/>
        <v>2.4001102766929615E-3</v>
      </c>
      <c r="AK78" s="958">
        <f t="shared" si="117"/>
        <v>3.3607799819264004E-3</v>
      </c>
      <c r="AL78" s="958">
        <f t="shared" si="117"/>
        <v>3.1000860466903995E-3</v>
      </c>
      <c r="AM78" s="958">
        <f t="shared" si="117"/>
        <v>3.1294839787921339E-3</v>
      </c>
      <c r="AN78" s="958">
        <f t="shared" si="117"/>
        <v>4.3125415284263708E-3</v>
      </c>
      <c r="AO78" s="958">
        <f t="shared" si="117"/>
        <v>2.0479352431618959E-3</v>
      </c>
      <c r="AP78" s="959">
        <f t="shared" si="117"/>
        <v>2.3527154060409257E-3</v>
      </c>
      <c r="AQ78" s="960">
        <f t="shared" si="112"/>
        <v>2.6299328380214515E-3</v>
      </c>
      <c r="AR78" s="960"/>
      <c r="AS78" s="958">
        <f t="shared" si="113"/>
        <v>3.9051640465466351E-3</v>
      </c>
      <c r="AT78" s="958">
        <f t="shared" si="113"/>
        <v>3.6447491116545845E-3</v>
      </c>
      <c r="AU78" s="958">
        <f t="shared" si="113"/>
        <v>3.9861445680477951E-3</v>
      </c>
      <c r="AV78" s="958">
        <f t="shared" si="113"/>
        <v>3.9474351819462098E-3</v>
      </c>
      <c r="AW78" s="958">
        <f t="shared" si="113"/>
        <v>3.9230503525299549E-3</v>
      </c>
      <c r="AX78" s="958">
        <f t="shared" si="113"/>
        <v>3.8581330824690695E-3</v>
      </c>
      <c r="AY78" s="958">
        <f t="shared" si="113"/>
        <v>3.9927538689063253E-3</v>
      </c>
      <c r="AZ78" s="958">
        <f t="shared" si="113"/>
        <v>3.9575117084508947E-3</v>
      </c>
      <c r="BA78" s="958">
        <f t="shared" si="113"/>
        <v>3.9409055875044043E-3</v>
      </c>
      <c r="BB78" s="958">
        <f t="shared" si="113"/>
        <v>3.979821633123477E-3</v>
      </c>
      <c r="BC78" s="958">
        <f t="shared" si="113"/>
        <v>4.0086426871267294E-3</v>
      </c>
      <c r="BD78" s="959">
        <f t="shared" si="113"/>
        <v>3.9171083921428094E-3</v>
      </c>
      <c r="BE78" s="960">
        <f t="shared" si="113"/>
        <v>3.9264745983556134E-3</v>
      </c>
      <c r="BF78" s="958">
        <f t="shared" si="113"/>
        <v>2.6661726926221763E-3</v>
      </c>
      <c r="BG78" s="958">
        <f t="shared" si="113"/>
        <v>1.1896219249905812E-3</v>
      </c>
      <c r="BH78" s="958">
        <f t="shared" si="113"/>
        <v>2.8628169125323659E-3</v>
      </c>
      <c r="BI78" s="958">
        <f t="shared" si="113"/>
        <v>3.7223265131715454E-3</v>
      </c>
      <c r="BJ78" s="958">
        <f t="shared" si="113"/>
        <v>3.4467302611473193E-3</v>
      </c>
      <c r="BK78" s="958">
        <f t="shared" si="114"/>
        <v>0</v>
      </c>
      <c r="BL78" s="958">
        <f t="shared" si="114"/>
        <v>0</v>
      </c>
      <c r="BM78" s="958">
        <f t="shared" si="114"/>
        <v>0</v>
      </c>
      <c r="BN78" s="958">
        <f t="shared" si="114"/>
        <v>0</v>
      </c>
      <c r="BO78" s="958">
        <f t="shared" si="114"/>
        <v>0</v>
      </c>
      <c r="BP78" s="958">
        <f t="shared" si="114"/>
        <v>0</v>
      </c>
      <c r="BQ78" s="959">
        <f t="shared" si="114"/>
        <v>0</v>
      </c>
      <c r="BR78" s="960">
        <f t="shared" si="115"/>
        <v>2.9407029735247672E-3</v>
      </c>
      <c r="BS78" s="960">
        <f t="shared" si="116"/>
        <v>3.9264745983556134E-3</v>
      </c>
      <c r="BU78" s="456"/>
      <c r="BV78" s="454"/>
      <c r="BW78" s="454"/>
      <c r="BX78" s="454"/>
    </row>
    <row r="79" spans="1:81">
      <c r="B79" s="525">
        <f t="shared" si="118"/>
        <v>9</v>
      </c>
      <c r="C79" s="526" t="s">
        <v>425</v>
      </c>
      <c r="D79" s="526" t="s">
        <v>437</v>
      </c>
      <c r="E79" s="958">
        <f t="shared" si="110"/>
        <v>2.6959767145218606E-3</v>
      </c>
      <c r="F79" s="958">
        <f t="shared" si="110"/>
        <v>2.4445097901859623E-3</v>
      </c>
      <c r="G79" s="958">
        <f t="shared" si="110"/>
        <v>2.8542785420917079E-3</v>
      </c>
      <c r="H79" s="958">
        <f t="shared" si="110"/>
        <v>2.2156689013996668E-3</v>
      </c>
      <c r="I79" s="958">
        <f t="shared" si="110"/>
        <v>2.7746620892535878E-3</v>
      </c>
      <c r="J79" s="958">
        <f t="shared" si="110"/>
        <v>3.7151060369135136E-3</v>
      </c>
      <c r="K79" s="958">
        <f t="shared" si="110"/>
        <v>2.244157750251385E-3</v>
      </c>
      <c r="L79" s="958">
        <f t="shared" si="110"/>
        <v>1.5057375019554475E-3</v>
      </c>
      <c r="M79" s="958">
        <f t="shared" si="110"/>
        <v>1.0705740926027075E-3</v>
      </c>
      <c r="N79" s="958">
        <f t="shared" si="110"/>
        <v>8.9405693211893386E-4</v>
      </c>
      <c r="O79" s="958">
        <f t="shared" si="110"/>
        <v>9.8617665883327728E-4</v>
      </c>
      <c r="P79" s="959">
        <f t="shared" si="110"/>
        <v>1.2298156429019554E-3</v>
      </c>
      <c r="Q79" s="960">
        <f t="shared" si="110"/>
        <v>1.2306544023286956E-3</v>
      </c>
      <c r="R79" s="958">
        <f t="shared" si="110"/>
        <v>5.9938764585506404E-4</v>
      </c>
      <c r="S79" s="958">
        <f t="shared" si="110"/>
        <v>7.728432415737347E-4</v>
      </c>
      <c r="T79" s="958">
        <f t="shared" si="110"/>
        <v>5.7175395198297979E-4</v>
      </c>
      <c r="U79" s="958">
        <f t="shared" si="110"/>
        <v>1.2400679959872984E-3</v>
      </c>
      <c r="V79" s="958">
        <f t="shared" si="110"/>
        <v>9.6488821729109843E-4</v>
      </c>
      <c r="W79" s="958">
        <f t="shared" si="110"/>
        <v>8.1887155293336792E-4</v>
      </c>
      <c r="X79" s="958">
        <f t="shared" si="110"/>
        <v>1.1095236497678915E-3</v>
      </c>
      <c r="Y79" s="958">
        <f t="shared" si="110"/>
        <v>1.0888623956325141E-3</v>
      </c>
      <c r="Z79" s="958">
        <f t="shared" si="110"/>
        <v>6.7238777806138993E-4</v>
      </c>
      <c r="AA79" s="958">
        <f t="shared" si="110"/>
        <v>7.3425281331224569E-4</v>
      </c>
      <c r="AB79" s="958">
        <f t="shared" si="110"/>
        <v>5.850086386648269E-4</v>
      </c>
      <c r="AC79" s="959">
        <f t="shared" si="110"/>
        <v>6.6078490128946763E-4</v>
      </c>
      <c r="AD79" s="960">
        <f t="shared" si="110"/>
        <v>8.013038195309538E-4</v>
      </c>
      <c r="AE79" s="958">
        <f t="shared" si="117"/>
        <v>6.5234443289459703E-4</v>
      </c>
      <c r="AF79" s="958">
        <f t="shared" si="117"/>
        <v>5.7363965820824575E-4</v>
      </c>
      <c r="AG79" s="958">
        <f t="shared" si="117"/>
        <v>5.0410561843482334E-4</v>
      </c>
      <c r="AH79" s="958">
        <f t="shared" si="117"/>
        <v>8.0091584990084038E-4</v>
      </c>
      <c r="AI79" s="958">
        <f t="shared" si="117"/>
        <v>6.0081949894527609E-4</v>
      </c>
      <c r="AJ79" s="958">
        <f t="shared" si="117"/>
        <v>5.6107626151953561E-4</v>
      </c>
      <c r="AK79" s="958">
        <f t="shared" si="117"/>
        <v>9.8485607577745104E-4</v>
      </c>
      <c r="AL79" s="958">
        <f t="shared" si="117"/>
        <v>6.7470244469524071E-4</v>
      </c>
      <c r="AM79" s="958">
        <f t="shared" si="117"/>
        <v>9.8738106932072132E-4</v>
      </c>
      <c r="AN79" s="958">
        <f t="shared" si="117"/>
        <v>1.2641457327709745E-3</v>
      </c>
      <c r="AO79" s="958">
        <f t="shared" si="117"/>
        <v>6.283731235875588E-4</v>
      </c>
      <c r="AP79" s="959">
        <f t="shared" si="117"/>
        <v>6.7142480533061014E-4</v>
      </c>
      <c r="AQ79" s="960">
        <f t="shared" si="112"/>
        <v>7.4751031307809346E-4</v>
      </c>
      <c r="AR79" s="960"/>
      <c r="AS79" s="958">
        <f t="shared" si="113"/>
        <v>1.0171646173419021E-3</v>
      </c>
      <c r="AT79" s="958">
        <f t="shared" si="113"/>
        <v>1.3100092046314674E-3</v>
      </c>
      <c r="AU79" s="958">
        <f t="shared" si="113"/>
        <v>1.0636914085985216E-3</v>
      </c>
      <c r="AV79" s="958">
        <f t="shared" si="113"/>
        <v>1.0144633245464099E-3</v>
      </c>
      <c r="AW79" s="958">
        <f t="shared" si="113"/>
        <v>1.0172419194505239E-3</v>
      </c>
      <c r="AX79" s="958">
        <f t="shared" si="113"/>
        <v>1.0900019166325428E-3</v>
      </c>
      <c r="AY79" s="958">
        <f t="shared" si="113"/>
        <v>1.0106233385059205E-3</v>
      </c>
      <c r="AZ79" s="958">
        <f t="shared" si="113"/>
        <v>1.063428124573081E-3</v>
      </c>
      <c r="BA79" s="958">
        <f t="shared" si="113"/>
        <v>9.716286328095851E-4</v>
      </c>
      <c r="BB79" s="958">
        <f t="shared" si="113"/>
        <v>1.0694230534834034E-3</v>
      </c>
      <c r="BC79" s="958">
        <f t="shared" si="113"/>
        <v>9.7834159888177705E-4</v>
      </c>
      <c r="BD79" s="959">
        <f t="shared" si="113"/>
        <v>9.2910449535344277E-4</v>
      </c>
      <c r="BE79" s="960">
        <f t="shared" si="113"/>
        <v>1.0399566074525037E-3</v>
      </c>
      <c r="BF79" s="958">
        <f t="shared" si="113"/>
        <v>7.3988773151478196E-4</v>
      </c>
      <c r="BG79" s="958">
        <f t="shared" si="113"/>
        <v>6.1626771253774808E-4</v>
      </c>
      <c r="BH79" s="958">
        <f t="shared" si="113"/>
        <v>8.1513660818689391E-4</v>
      </c>
      <c r="BI79" s="958">
        <f t="shared" si="113"/>
        <v>8.9012447818674905E-4</v>
      </c>
      <c r="BJ79" s="958">
        <f t="shared" si="113"/>
        <v>7.5190553534476708E-4</v>
      </c>
      <c r="BK79" s="958">
        <f t="shared" si="114"/>
        <v>0</v>
      </c>
      <c r="BL79" s="958">
        <f t="shared" si="114"/>
        <v>0</v>
      </c>
      <c r="BM79" s="958">
        <f t="shared" si="114"/>
        <v>0</v>
      </c>
      <c r="BN79" s="958">
        <f t="shared" si="114"/>
        <v>0</v>
      </c>
      <c r="BO79" s="958">
        <f t="shared" si="114"/>
        <v>0</v>
      </c>
      <c r="BP79" s="958">
        <f t="shared" si="114"/>
        <v>0</v>
      </c>
      <c r="BQ79" s="959">
        <f t="shared" si="114"/>
        <v>0</v>
      </c>
      <c r="BR79" s="960">
        <f t="shared" si="115"/>
        <v>7.7998601252810419E-4</v>
      </c>
      <c r="BS79" s="960">
        <f t="shared" si="116"/>
        <v>1.0399566074525037E-3</v>
      </c>
      <c r="BU79" s="456"/>
      <c r="BV79" s="454"/>
      <c r="BW79" s="454"/>
      <c r="BX79" s="454"/>
    </row>
    <row r="80" spans="1:81">
      <c r="B80" s="525">
        <f t="shared" si="118"/>
        <v>10</v>
      </c>
      <c r="C80" s="526" t="s">
        <v>425</v>
      </c>
      <c r="D80" s="526" t="s">
        <v>438</v>
      </c>
      <c r="E80" s="958">
        <f t="shared" si="110"/>
        <v>4.3035446112269071E-3</v>
      </c>
      <c r="F80" s="958">
        <f t="shared" si="110"/>
        <v>3.0510552087654624E-3</v>
      </c>
      <c r="G80" s="958">
        <f t="shared" si="110"/>
        <v>2.4138585825133961E-3</v>
      </c>
      <c r="H80" s="958">
        <f t="shared" si="110"/>
        <v>2.45356026462E-3</v>
      </c>
      <c r="I80" s="958">
        <f t="shared" si="110"/>
        <v>2.6543933584220231E-3</v>
      </c>
      <c r="J80" s="958">
        <f t="shared" si="110"/>
        <v>1.9243326309744291E-3</v>
      </c>
      <c r="K80" s="958">
        <f t="shared" si="110"/>
        <v>1.8277399152203176E-3</v>
      </c>
      <c r="L80" s="958">
        <f t="shared" si="110"/>
        <v>2.0981573653576172E-3</v>
      </c>
      <c r="M80" s="958">
        <f t="shared" si="110"/>
        <v>2.350399458122261E-3</v>
      </c>
      <c r="N80" s="958">
        <f t="shared" si="110"/>
        <v>1.9553479473626853E-3</v>
      </c>
      <c r="O80" s="958">
        <f t="shared" si="110"/>
        <v>2.2373878328501478E-3</v>
      </c>
      <c r="P80" s="959">
        <f t="shared" si="110"/>
        <v>1.3849591850486885E-3</v>
      </c>
      <c r="Q80" s="960">
        <f t="shared" si="110"/>
        <v>1.411958226687444E-3</v>
      </c>
      <c r="R80" s="958">
        <f t="shared" si="110"/>
        <v>1.1124314236317461E-3</v>
      </c>
      <c r="S80" s="958">
        <f t="shared" si="110"/>
        <v>1.3392970497327875E-3</v>
      </c>
      <c r="T80" s="958">
        <f t="shared" si="110"/>
        <v>1.1103233919495705E-3</v>
      </c>
      <c r="U80" s="958">
        <f t="shared" si="110"/>
        <v>1.1709365478835012E-3</v>
      </c>
      <c r="V80" s="958">
        <f t="shared" si="110"/>
        <v>1.0989096317565721E-3</v>
      </c>
      <c r="W80" s="958">
        <f t="shared" si="110"/>
        <v>1.3294449860791753E-3</v>
      </c>
      <c r="X80" s="958">
        <f t="shared" si="110"/>
        <v>1.5522696514127415E-3</v>
      </c>
      <c r="Y80" s="958">
        <f t="shared" si="110"/>
        <v>1.4896608745343675E-3</v>
      </c>
      <c r="Z80" s="958">
        <f t="shared" si="110"/>
        <v>1.1116511226767561E-3</v>
      </c>
      <c r="AA80" s="958">
        <f t="shared" ref="AA80:AD81" si="119">AA50/AA$60</f>
        <v>1.065828791636888E-3</v>
      </c>
      <c r="AB80" s="958">
        <f t="shared" si="119"/>
        <v>1.1039484980340946E-3</v>
      </c>
      <c r="AC80" s="959">
        <f t="shared" si="119"/>
        <v>1.1552401217769564E-3</v>
      </c>
      <c r="AD80" s="960">
        <f t="shared" si="119"/>
        <v>1.19283089980862E-3</v>
      </c>
      <c r="AE80" s="958">
        <f t="shared" si="117"/>
        <v>1.3088864211304812E-3</v>
      </c>
      <c r="AF80" s="958">
        <f t="shared" si="117"/>
        <v>1.5172299793217679E-3</v>
      </c>
      <c r="AG80" s="958">
        <f t="shared" si="117"/>
        <v>8.9118096039011063E-4</v>
      </c>
      <c r="AH80" s="958">
        <f t="shared" si="117"/>
        <v>9.9678791076356424E-4</v>
      </c>
      <c r="AI80" s="958">
        <f t="shared" si="117"/>
        <v>1.1735306762512222E-3</v>
      </c>
      <c r="AJ80" s="958">
        <f t="shared" si="117"/>
        <v>1.2288701954719196E-3</v>
      </c>
      <c r="AK80" s="958">
        <f t="shared" si="117"/>
        <v>1.1846325629410273E-3</v>
      </c>
      <c r="AL80" s="958">
        <f t="shared" si="117"/>
        <v>1.4886861766936577E-3</v>
      </c>
      <c r="AM80" s="958">
        <f t="shared" si="117"/>
        <v>1.2571620469463889E-3</v>
      </c>
      <c r="AN80" s="958">
        <f t="shared" si="117"/>
        <v>1.7490759320438675E-3</v>
      </c>
      <c r="AO80" s="958">
        <f t="shared" si="117"/>
        <v>1.6328457599096018E-3</v>
      </c>
      <c r="AP80" s="959">
        <f t="shared" si="117"/>
        <v>1.1479809944074679E-3</v>
      </c>
      <c r="AQ80" s="960">
        <f t="shared" si="112"/>
        <v>1.2748620042716782E-3</v>
      </c>
      <c r="AR80" s="960"/>
      <c r="AS80" s="958">
        <f t="shared" si="113"/>
        <v>1.8995644438393902E-3</v>
      </c>
      <c r="AT80" s="958">
        <f t="shared" si="113"/>
        <v>1.719458664450581E-3</v>
      </c>
      <c r="AU80" s="958">
        <f t="shared" si="113"/>
        <v>1.8592721966510474E-3</v>
      </c>
      <c r="AV80" s="958">
        <f t="shared" si="113"/>
        <v>1.8439562065931975E-3</v>
      </c>
      <c r="AW80" s="958">
        <f t="shared" si="113"/>
        <v>1.8413603268077471E-3</v>
      </c>
      <c r="AX80" s="958">
        <f t="shared" si="113"/>
        <v>1.8090607829641162E-3</v>
      </c>
      <c r="AY80" s="958">
        <f t="shared" si="113"/>
        <v>1.8115530146467086E-3</v>
      </c>
      <c r="AZ80" s="958">
        <f t="shared" si="113"/>
        <v>1.7955632882293408E-3</v>
      </c>
      <c r="BA80" s="958">
        <f t="shared" si="113"/>
        <v>1.791096193557271E-3</v>
      </c>
      <c r="BB80" s="958">
        <f t="shared" si="113"/>
        <v>1.8050084133723911E-3</v>
      </c>
      <c r="BC80" s="958">
        <f t="shared" si="113"/>
        <v>1.8314803407771586E-3</v>
      </c>
      <c r="BD80" s="959">
        <f t="shared" si="113"/>
        <v>1.7765654483264638E-3</v>
      </c>
      <c r="BE80" s="960">
        <f t="shared" si="113"/>
        <v>1.8160404406335497E-3</v>
      </c>
      <c r="BF80" s="958">
        <f t="shared" si="113"/>
        <v>1.1809129771653628E-3</v>
      </c>
      <c r="BG80" s="958">
        <f t="shared" si="113"/>
        <v>1.1819100271771817E-3</v>
      </c>
      <c r="BH80" s="958">
        <f t="shared" si="113"/>
        <v>8.6965988184137537E-4</v>
      </c>
      <c r="BI80" s="958">
        <f t="shared" si="113"/>
        <v>1.011084690627214E-3</v>
      </c>
      <c r="BJ80" s="958">
        <f t="shared" si="113"/>
        <v>1.1178622687296402E-3</v>
      </c>
      <c r="BK80" s="958">
        <f t="shared" si="114"/>
        <v>0</v>
      </c>
      <c r="BL80" s="958">
        <f t="shared" si="114"/>
        <v>0</v>
      </c>
      <c r="BM80" s="958">
        <f t="shared" si="114"/>
        <v>0</v>
      </c>
      <c r="BN80" s="958">
        <f t="shared" si="114"/>
        <v>0</v>
      </c>
      <c r="BO80" s="958">
        <f t="shared" si="114"/>
        <v>0</v>
      </c>
      <c r="BP80" s="958">
        <f t="shared" si="114"/>
        <v>0</v>
      </c>
      <c r="BQ80" s="959">
        <f t="shared" si="114"/>
        <v>0</v>
      </c>
      <c r="BR80" s="960">
        <f t="shared" si="115"/>
        <v>1.0543160494839285E-3</v>
      </c>
      <c r="BS80" s="960">
        <f t="shared" si="116"/>
        <v>1.8160404406335497E-3</v>
      </c>
      <c r="BU80" s="456"/>
      <c r="BV80" s="454"/>
      <c r="BW80" s="454"/>
      <c r="BX80" s="454"/>
    </row>
    <row r="81" spans="2:76">
      <c r="B81" s="525">
        <f t="shared" si="118"/>
        <v>11</v>
      </c>
      <c r="C81" s="527" t="s">
        <v>425</v>
      </c>
      <c r="D81" s="527" t="s">
        <v>439</v>
      </c>
      <c r="E81" s="961">
        <f t="shared" ref="E81:Z81" si="120">E51/E$60</f>
        <v>0</v>
      </c>
      <c r="F81" s="961">
        <f t="shared" si="120"/>
        <v>0</v>
      </c>
      <c r="G81" s="961">
        <f t="shared" si="120"/>
        <v>0</v>
      </c>
      <c r="H81" s="961">
        <f t="shared" si="120"/>
        <v>1.6656012001647551E-3</v>
      </c>
      <c r="I81" s="961">
        <f t="shared" si="120"/>
        <v>9.2092824700612877E-4</v>
      </c>
      <c r="J81" s="961">
        <f t="shared" si="120"/>
        <v>1.1834870668861969E-3</v>
      </c>
      <c r="K81" s="961">
        <f t="shared" si="120"/>
        <v>5.5858681705615485E-4</v>
      </c>
      <c r="L81" s="961">
        <f t="shared" si="120"/>
        <v>1.0978051375632213E-3</v>
      </c>
      <c r="M81" s="961">
        <f t="shared" si="120"/>
        <v>8.1287573289689195E-4</v>
      </c>
      <c r="N81" s="961">
        <f t="shared" si="120"/>
        <v>0</v>
      </c>
      <c r="O81" s="961">
        <f t="shared" si="120"/>
        <v>4.4006716643799147E-4</v>
      </c>
      <c r="P81" s="962">
        <f t="shared" si="120"/>
        <v>1.4008714644236211E-6</v>
      </c>
      <c r="Q81" s="963">
        <f t="shared" si="120"/>
        <v>3.3592851967551566E-4</v>
      </c>
      <c r="R81" s="961">
        <f t="shared" si="120"/>
        <v>1.9857300075793059E-4</v>
      </c>
      <c r="S81" s="961">
        <f t="shared" si="120"/>
        <v>0</v>
      </c>
      <c r="T81" s="961">
        <f t="shared" si="120"/>
        <v>1.8306569067292914E-4</v>
      </c>
      <c r="U81" s="961">
        <f t="shared" si="120"/>
        <v>0</v>
      </c>
      <c r="V81" s="961">
        <f t="shared" si="120"/>
        <v>0</v>
      </c>
      <c r="W81" s="961">
        <f t="shared" si="120"/>
        <v>1.0517008015975398E-4</v>
      </c>
      <c r="X81" s="961">
        <f t="shared" si="120"/>
        <v>3.0751838224746719E-4</v>
      </c>
      <c r="Y81" s="961">
        <f t="shared" si="120"/>
        <v>4.0515971125736175E-4</v>
      </c>
      <c r="Z81" s="961">
        <f t="shared" si="120"/>
        <v>1.2580952602035037E-6</v>
      </c>
      <c r="AA81" s="961">
        <f t="shared" si="119"/>
        <v>3.3797380744320251E-4</v>
      </c>
      <c r="AB81" s="961">
        <f t="shared" si="119"/>
        <v>8.8024436800775979E-5</v>
      </c>
      <c r="AC81" s="962">
        <f t="shared" si="119"/>
        <v>6.9045076273091318E-5</v>
      </c>
      <c r="AD81" s="963">
        <f t="shared" si="119"/>
        <v>1.3193706123994128E-4</v>
      </c>
      <c r="AE81" s="961">
        <f t="shared" si="117"/>
        <v>9.8935059508669775E-4</v>
      </c>
      <c r="AF81" s="961">
        <f t="shared" si="117"/>
        <v>2.6757186765640043E-4</v>
      </c>
      <c r="AG81" s="961">
        <f t="shared" si="117"/>
        <v>1.992735730042351E-4</v>
      </c>
      <c r="AH81" s="961">
        <f t="shared" si="117"/>
        <v>4.7896603908104953E-4</v>
      </c>
      <c r="AI81" s="961">
        <f t="shared" si="117"/>
        <v>4.5834800945406375E-4</v>
      </c>
      <c r="AJ81" s="961">
        <f t="shared" si="117"/>
        <v>3.9366158578289768E-4</v>
      </c>
      <c r="AK81" s="961">
        <f t="shared" si="117"/>
        <v>9.4463571121786384E-7</v>
      </c>
      <c r="AL81" s="961">
        <f t="shared" si="117"/>
        <v>1.5794887049965967E-4</v>
      </c>
      <c r="AM81" s="961">
        <f t="shared" si="117"/>
        <v>7.2197305766830643E-4</v>
      </c>
      <c r="AN81" s="961">
        <f t="shared" si="117"/>
        <v>1.367112914379348E-3</v>
      </c>
      <c r="AO81" s="961">
        <f t="shared" si="117"/>
        <v>1.2322892151719262E-3</v>
      </c>
      <c r="AP81" s="962">
        <f t="shared" si="117"/>
        <v>1.0486556709688557E-3</v>
      </c>
      <c r="AQ81" s="963">
        <f t="shared" si="112"/>
        <v>5.5912817100249308E-4</v>
      </c>
      <c r="AR81" s="963"/>
      <c r="AS81" s="961">
        <f t="shared" si="113"/>
        <v>4.7527079089747617E-4</v>
      </c>
      <c r="AT81" s="961">
        <f t="shared" si="113"/>
        <v>4.7397481681088233E-4</v>
      </c>
      <c r="AU81" s="961">
        <f t="shared" si="113"/>
        <v>4.2115429424578748E-4</v>
      </c>
      <c r="AV81" s="961">
        <f t="shared" si="113"/>
        <v>4.839438690447458E-4</v>
      </c>
      <c r="AW81" s="961">
        <f t="shared" si="113"/>
        <v>4.1448810355606506E-4</v>
      </c>
      <c r="AX81" s="961">
        <f t="shared" si="113"/>
        <v>6.5915686161535213E-4</v>
      </c>
      <c r="AY81" s="961">
        <f t="shared" si="113"/>
        <v>4.7603935894321628E-4</v>
      </c>
      <c r="AZ81" s="961">
        <f t="shared" si="113"/>
        <v>4.3031897828507638E-4</v>
      </c>
      <c r="BA81" s="961">
        <f t="shared" si="113"/>
        <v>6.2837812453972811E-4</v>
      </c>
      <c r="BB81" s="961">
        <f t="shared" si="113"/>
        <v>4.967791590625171E-4</v>
      </c>
      <c r="BC81" s="961">
        <f t="shared" si="113"/>
        <v>4.1343567584200923E-4</v>
      </c>
      <c r="BD81" s="962">
        <f t="shared" si="113"/>
        <v>4.2592573448092108E-4</v>
      </c>
      <c r="BE81" s="963">
        <f t="shared" si="113"/>
        <v>4.8370094766439525E-4</v>
      </c>
      <c r="BF81" s="961">
        <f t="shared" si="113"/>
        <v>1.2686923740873528E-3</v>
      </c>
      <c r="BG81" s="961">
        <f t="shared" si="113"/>
        <v>5.8974193212498111E-4</v>
      </c>
      <c r="BH81" s="961">
        <f t="shared" si="113"/>
        <v>1.6396492772451298E-3</v>
      </c>
      <c r="BI81" s="961">
        <f t="shared" si="113"/>
        <v>3.285951173232949E-4</v>
      </c>
      <c r="BJ81" s="961">
        <f t="shared" si="113"/>
        <v>2.3727373864983919E-5</v>
      </c>
      <c r="BK81" s="961">
        <f t="shared" si="114"/>
        <v>0</v>
      </c>
      <c r="BL81" s="961">
        <f t="shared" si="114"/>
        <v>0</v>
      </c>
      <c r="BM81" s="961">
        <f t="shared" si="114"/>
        <v>0</v>
      </c>
      <c r="BN81" s="961">
        <f t="shared" si="114"/>
        <v>0</v>
      </c>
      <c r="BO81" s="961">
        <f t="shared" si="114"/>
        <v>0</v>
      </c>
      <c r="BP81" s="961">
        <f t="shared" si="114"/>
        <v>0</v>
      </c>
      <c r="BQ81" s="962">
        <f t="shared" si="114"/>
        <v>0</v>
      </c>
      <c r="BR81" s="963">
        <f t="shared" si="115"/>
        <v>7.7632436332578493E-4</v>
      </c>
      <c r="BS81" s="963">
        <f t="shared" si="116"/>
        <v>4.8370094766439525E-4</v>
      </c>
      <c r="BU81" s="456"/>
      <c r="BV81" s="454"/>
      <c r="BW81" s="454"/>
      <c r="BX81" s="454"/>
    </row>
    <row r="82" spans="2:76">
      <c r="B82" s="521" t="s">
        <v>522</v>
      </c>
      <c r="C82" s="507"/>
      <c r="D82" s="522" t="s">
        <v>523</v>
      </c>
      <c r="E82" s="952">
        <f t="shared" ref="E82:AQ82" si="121">SUM(E83:E89)</f>
        <v>0.36413466542937084</v>
      </c>
      <c r="F82" s="952">
        <f t="shared" si="121"/>
        <v>0.27773072666278337</v>
      </c>
      <c r="G82" s="952">
        <f t="shared" si="121"/>
        <v>0.24265994577007918</v>
      </c>
      <c r="H82" s="952">
        <f t="shared" si="121"/>
        <v>0.24976207644130161</v>
      </c>
      <c r="I82" s="952">
        <f t="shared" si="121"/>
        <v>0.22014456051817829</v>
      </c>
      <c r="J82" s="952">
        <f t="shared" si="121"/>
        <v>0.25064588486681466</v>
      </c>
      <c r="K82" s="952">
        <f t="shared" si="121"/>
        <v>0.22196155024647821</v>
      </c>
      <c r="L82" s="952">
        <f t="shared" si="121"/>
        <v>0.22431069054427089</v>
      </c>
      <c r="M82" s="952">
        <f t="shared" si="121"/>
        <v>0.22461557022240891</v>
      </c>
      <c r="N82" s="952">
        <f t="shared" si="121"/>
        <v>0.20327905465274532</v>
      </c>
      <c r="O82" s="952">
        <f t="shared" si="121"/>
        <v>0.26098649520028738</v>
      </c>
      <c r="P82" s="953">
        <f t="shared" si="121"/>
        <v>0.15103109513547464</v>
      </c>
      <c r="Q82" s="954">
        <f t="shared" si="121"/>
        <v>0.1443014716257266</v>
      </c>
      <c r="R82" s="952">
        <f t="shared" si="121"/>
        <v>0.191514385760924</v>
      </c>
      <c r="S82" s="952">
        <f t="shared" si="121"/>
        <v>0.26597982166800305</v>
      </c>
      <c r="T82" s="952">
        <f t="shared" si="121"/>
        <v>0.18582512108564042</v>
      </c>
      <c r="U82" s="952">
        <f t="shared" si="121"/>
        <v>0.19993177103165113</v>
      </c>
      <c r="V82" s="952">
        <f t="shared" si="121"/>
        <v>0.21838718673298968</v>
      </c>
      <c r="W82" s="952">
        <f t="shared" si="121"/>
        <v>0.25836842237817964</v>
      </c>
      <c r="X82" s="952">
        <f t="shared" si="121"/>
        <v>0.38261216091643047</v>
      </c>
      <c r="Y82" s="952">
        <f t="shared" si="121"/>
        <v>0.3640965238037952</v>
      </c>
      <c r="Z82" s="952">
        <f t="shared" si="121"/>
        <v>0.31633150711168539</v>
      </c>
      <c r="AA82" s="952">
        <f t="shared" si="121"/>
        <v>0.23522279077949906</v>
      </c>
      <c r="AB82" s="952">
        <f t="shared" si="121"/>
        <v>0.22151284976703581</v>
      </c>
      <c r="AC82" s="953">
        <f t="shared" si="121"/>
        <v>0.35629193717327784</v>
      </c>
      <c r="AD82" s="954">
        <f t="shared" si="121"/>
        <v>0.25519405110165944</v>
      </c>
      <c r="AE82" s="952">
        <f t="shared" si="121"/>
        <v>0.43607718508280729</v>
      </c>
      <c r="AF82" s="952">
        <f t="shared" si="121"/>
        <v>0.31998091816733082</v>
      </c>
      <c r="AG82" s="952">
        <f t="shared" si="121"/>
        <v>0.22713295618539547</v>
      </c>
      <c r="AH82" s="952">
        <f t="shared" si="121"/>
        <v>0.24797173511223602</v>
      </c>
      <c r="AI82" s="952">
        <f t="shared" si="121"/>
        <v>0.22556877629636762</v>
      </c>
      <c r="AJ82" s="952">
        <f t="shared" si="121"/>
        <v>0.25437386766752573</v>
      </c>
      <c r="AK82" s="952">
        <f t="shared" si="121"/>
        <v>0.24034234237197782</v>
      </c>
      <c r="AL82" s="952">
        <f t="shared" si="121"/>
        <v>0.24375504111797869</v>
      </c>
      <c r="AM82" s="952">
        <f t="shared" si="121"/>
        <v>0.25831442678030336</v>
      </c>
      <c r="AN82" s="952">
        <f t="shared" si="121"/>
        <v>0.33444809710297252</v>
      </c>
      <c r="AO82" s="952">
        <f t="shared" si="121"/>
        <v>0.41836457179203257</v>
      </c>
      <c r="AP82" s="953">
        <f t="shared" si="121"/>
        <v>0.36207522472026893</v>
      </c>
      <c r="AQ82" s="954">
        <f t="shared" si="121"/>
        <v>0.28432125393836727</v>
      </c>
      <c r="AR82" s="954"/>
      <c r="AS82" s="952">
        <f t="shared" ref="AS82:BS82" si="122">SUM(AS83:AS89)</f>
        <v>0.31229600377734806</v>
      </c>
      <c r="AT82" s="952">
        <f t="shared" si="122"/>
        <v>0.338748204229609</v>
      </c>
      <c r="AU82" s="952">
        <f t="shared" si="122"/>
        <v>0.29548498876619367</v>
      </c>
      <c r="AV82" s="952">
        <f t="shared" si="122"/>
        <v>0.29985830695706639</v>
      </c>
      <c r="AW82" s="952">
        <f t="shared" si="122"/>
        <v>0.30650852756856495</v>
      </c>
      <c r="AX82" s="952">
        <f t="shared" si="122"/>
        <v>0.30307339585604276</v>
      </c>
      <c r="AY82" s="952">
        <f t="shared" si="122"/>
        <v>0.29766374180881328</v>
      </c>
      <c r="AZ82" s="952">
        <f t="shared" si="122"/>
        <v>0.29691527825193659</v>
      </c>
      <c r="BA82" s="952">
        <f t="shared" si="122"/>
        <v>0.30270691202626326</v>
      </c>
      <c r="BB82" s="952">
        <f t="shared" si="122"/>
        <v>0.28968200724569071</v>
      </c>
      <c r="BC82" s="952">
        <f t="shared" si="122"/>
        <v>0.29508053756351282</v>
      </c>
      <c r="BD82" s="953">
        <f t="shared" si="122"/>
        <v>0.3036689856820568</v>
      </c>
      <c r="BE82" s="954">
        <f t="shared" si="122"/>
        <v>0.30284179395085736</v>
      </c>
      <c r="BF82" s="952">
        <f t="shared" si="122"/>
        <v>0.34009321057430381</v>
      </c>
      <c r="BG82" s="952">
        <f t="shared" si="122"/>
        <v>0.44486961614809645</v>
      </c>
      <c r="BH82" s="952">
        <f t="shared" si="122"/>
        <v>0.24838159134217799</v>
      </c>
      <c r="BI82" s="952">
        <f t="shared" si="122"/>
        <v>0.26529462062302112</v>
      </c>
      <c r="BJ82" s="952">
        <f t="shared" si="122"/>
        <v>0.28940510148086174</v>
      </c>
      <c r="BK82" s="952">
        <f t="shared" si="122"/>
        <v>0</v>
      </c>
      <c r="BL82" s="952">
        <f t="shared" si="122"/>
        <v>0</v>
      </c>
      <c r="BM82" s="952">
        <f t="shared" si="122"/>
        <v>0</v>
      </c>
      <c r="BN82" s="952">
        <f t="shared" si="122"/>
        <v>0</v>
      </c>
      <c r="BO82" s="952">
        <f t="shared" si="122"/>
        <v>0</v>
      </c>
      <c r="BP82" s="952">
        <f t="shared" si="122"/>
        <v>0</v>
      </c>
      <c r="BQ82" s="953">
        <f t="shared" si="122"/>
        <v>0</v>
      </c>
      <c r="BR82" s="954">
        <f t="shared" si="122"/>
        <v>0.30353493074190535</v>
      </c>
      <c r="BS82" s="954">
        <f t="shared" si="122"/>
        <v>0.30284179395085736</v>
      </c>
      <c r="BU82" s="456"/>
      <c r="BV82" s="454"/>
      <c r="BW82" s="454"/>
      <c r="BX82" s="454"/>
    </row>
    <row r="83" spans="2:76">
      <c r="B83" s="523">
        <v>1</v>
      </c>
      <c r="C83" s="524" t="s">
        <v>440</v>
      </c>
      <c r="D83" s="524" t="s">
        <v>441</v>
      </c>
      <c r="E83" s="955">
        <f t="shared" ref="E83:AD90" si="123">E53/E$60</f>
        <v>8.7951777218042607E-2</v>
      </c>
      <c r="F83" s="955">
        <f t="shared" si="123"/>
        <v>6.5400036274309736E-2</v>
      </c>
      <c r="G83" s="955">
        <f t="shared" si="123"/>
        <v>5.4144679688370653E-2</v>
      </c>
      <c r="H83" s="955">
        <f t="shared" si="123"/>
        <v>2.4548285927262419E-2</v>
      </c>
      <c r="I83" s="955">
        <f t="shared" si="123"/>
        <v>2.3553101885297818E-2</v>
      </c>
      <c r="J83" s="955">
        <f t="shared" si="123"/>
        <v>2.531970655092055E-2</v>
      </c>
      <c r="K83" s="955">
        <f t="shared" si="123"/>
        <v>2.1888666777939596E-2</v>
      </c>
      <c r="L83" s="955">
        <f t="shared" si="123"/>
        <v>1.8900502149272809E-2</v>
      </c>
      <c r="M83" s="955">
        <f t="shared" si="123"/>
        <v>0</v>
      </c>
      <c r="N83" s="955">
        <f t="shared" si="123"/>
        <v>1.2701426375895713E-3</v>
      </c>
      <c r="O83" s="955">
        <f t="shared" si="123"/>
        <v>1.5588419317285908E-3</v>
      </c>
      <c r="P83" s="956">
        <f t="shared" si="123"/>
        <v>8.2327315923989483E-4</v>
      </c>
      <c r="Q83" s="957">
        <f t="shared" si="123"/>
        <v>1.4404928895643883E-2</v>
      </c>
      <c r="R83" s="955">
        <f t="shared" si="123"/>
        <v>5.1461306912853784E-2</v>
      </c>
      <c r="S83" s="955">
        <f t="shared" si="123"/>
        <v>8.8859345668480472E-2</v>
      </c>
      <c r="T83" s="955">
        <f t="shared" si="123"/>
        <v>6.0399692870985955E-2</v>
      </c>
      <c r="U83" s="955">
        <f t="shared" si="123"/>
        <v>6.1318023769413942E-2</v>
      </c>
      <c r="V83" s="955">
        <f t="shared" si="123"/>
        <v>6.367135338268233E-2</v>
      </c>
      <c r="W83" s="955">
        <f t="shared" si="123"/>
        <v>7.5695284980294542E-2</v>
      </c>
      <c r="X83" s="955">
        <f t="shared" si="123"/>
        <v>0.11493291921238334</v>
      </c>
      <c r="Y83" s="955">
        <f t="shared" si="123"/>
        <v>0.103591106281336</v>
      </c>
      <c r="Z83" s="955">
        <f t="shared" si="123"/>
        <v>8.4283340467852977E-2</v>
      </c>
      <c r="AA83" s="955">
        <f t="shared" si="123"/>
        <v>5.8520554624139624E-2</v>
      </c>
      <c r="AB83" s="955">
        <f t="shared" si="123"/>
        <v>5.3329768041358298E-2</v>
      </c>
      <c r="AC83" s="956">
        <f t="shared" si="123"/>
        <v>6.5508434075842142E-2</v>
      </c>
      <c r="AD83" s="957">
        <f t="shared" si="123"/>
        <v>6.9754862614493554E-2</v>
      </c>
      <c r="AE83" s="955">
        <f t="shared" ref="AE83:AP89" si="124">IFERROR(AE53/AE$60,0)</f>
        <v>0.10852193037265404</v>
      </c>
      <c r="AF83" s="955">
        <f t="shared" si="124"/>
        <v>8.226767149582391E-2</v>
      </c>
      <c r="AG83" s="955">
        <f t="shared" si="124"/>
        <v>5.6415305246765191E-2</v>
      </c>
      <c r="AH83" s="955">
        <f t="shared" si="124"/>
        <v>6.055998949626841E-2</v>
      </c>
      <c r="AI83" s="955">
        <f t="shared" si="124"/>
        <v>5.3291246838913342E-2</v>
      </c>
      <c r="AJ83" s="955">
        <f t="shared" si="124"/>
        <v>6.3797975891147912E-2</v>
      </c>
      <c r="AK83" s="955">
        <f t="shared" si="124"/>
        <v>6.0605709819818852E-2</v>
      </c>
      <c r="AL83" s="955">
        <f t="shared" si="124"/>
        <v>6.3345314221095336E-2</v>
      </c>
      <c r="AM83" s="955">
        <f t="shared" si="124"/>
        <v>6.280255614548283E-2</v>
      </c>
      <c r="AN83" s="955">
        <f t="shared" si="124"/>
        <v>8.33095936618755E-2</v>
      </c>
      <c r="AO83" s="955">
        <f t="shared" si="124"/>
        <v>0.10476206034885416</v>
      </c>
      <c r="AP83" s="956">
        <f t="shared" si="124"/>
        <v>6.8132074785991384E-2</v>
      </c>
      <c r="AQ83" s="957">
        <f t="shared" ref="AQ83:AQ89" si="125">AQ53/AQ$60</f>
        <v>6.899452728312272E-2</v>
      </c>
      <c r="AR83" s="957"/>
      <c r="AS83" s="955">
        <f t="shared" ref="AS83:BJ89" si="126">AS53/AS$60</f>
        <v>5.0228826105066834E-2</v>
      </c>
      <c r="AT83" s="955">
        <f t="shared" si="126"/>
        <v>5.8599160990364281E-2</v>
      </c>
      <c r="AU83" s="955">
        <f t="shared" si="126"/>
        <v>4.9163406985452719E-2</v>
      </c>
      <c r="AV83" s="955">
        <f t="shared" si="126"/>
        <v>4.8685981927083267E-2</v>
      </c>
      <c r="AW83" s="955">
        <f t="shared" si="126"/>
        <v>4.8385229841353149E-2</v>
      </c>
      <c r="AX83" s="955">
        <f t="shared" si="126"/>
        <v>4.7584567920064401E-2</v>
      </c>
      <c r="AY83" s="955">
        <f t="shared" si="126"/>
        <v>4.6766330560997604E-2</v>
      </c>
      <c r="AZ83" s="955">
        <f t="shared" si="126"/>
        <v>4.635354615713605E-2</v>
      </c>
      <c r="BA83" s="955">
        <f t="shared" si="126"/>
        <v>4.6159041971048531E-2</v>
      </c>
      <c r="BB83" s="955">
        <f t="shared" si="126"/>
        <v>4.6614857859856855E-2</v>
      </c>
      <c r="BC83" s="955">
        <f t="shared" si="126"/>
        <v>4.6952433123167957E-2</v>
      </c>
      <c r="BD83" s="956">
        <f t="shared" si="126"/>
        <v>4.5880310163067123E-2</v>
      </c>
      <c r="BE83" s="957">
        <f t="shared" si="126"/>
        <v>4.8250446325308144E-2</v>
      </c>
      <c r="BF83" s="955">
        <f t="shared" si="126"/>
        <v>9.8645551329318432E-2</v>
      </c>
      <c r="BG83" s="955">
        <f t="shared" si="126"/>
        <v>0.13880070182941048</v>
      </c>
      <c r="BH83" s="955">
        <f t="shared" si="126"/>
        <v>7.6634864317940796E-2</v>
      </c>
      <c r="BI83" s="955">
        <f t="shared" si="126"/>
        <v>7.5831040486389778E-2</v>
      </c>
      <c r="BJ83" s="955">
        <f t="shared" si="126"/>
        <v>8.3440519987093342E-2</v>
      </c>
      <c r="BK83" s="955">
        <f t="shared" ref="BK83:BQ89" si="127">IFERROR(BK53/BK$60,0)</f>
        <v>0</v>
      </c>
      <c r="BL83" s="955">
        <f t="shared" si="127"/>
        <v>0</v>
      </c>
      <c r="BM83" s="955">
        <f t="shared" si="127"/>
        <v>0</v>
      </c>
      <c r="BN83" s="955">
        <f t="shared" si="127"/>
        <v>0</v>
      </c>
      <c r="BO83" s="955">
        <f t="shared" si="127"/>
        <v>0</v>
      </c>
      <c r="BP83" s="955">
        <f t="shared" si="127"/>
        <v>0</v>
      </c>
      <c r="BQ83" s="956">
        <f t="shared" si="127"/>
        <v>0</v>
      </c>
      <c r="BR83" s="957">
        <f t="shared" ref="BR83:BR89" si="128">BR53/BR$60</f>
        <v>9.0012416897615105E-2</v>
      </c>
      <c r="BS83" s="957">
        <f t="shared" ref="BS83:BS89" si="129">BE83</f>
        <v>4.8250446325308144E-2</v>
      </c>
      <c r="BU83" s="456"/>
      <c r="BV83" s="454"/>
      <c r="BW83" s="454"/>
      <c r="BX83" s="454"/>
    </row>
    <row r="84" spans="2:76">
      <c r="B84" s="525">
        <f t="shared" ref="B84:B89" si="130">B83+1</f>
        <v>2</v>
      </c>
      <c r="C84" s="526" t="s">
        <v>440</v>
      </c>
      <c r="D84" s="526" t="s">
        <v>442</v>
      </c>
      <c r="E84" s="958">
        <f t="shared" si="123"/>
        <v>0.17785647280143568</v>
      </c>
      <c r="F84" s="958">
        <f t="shared" si="123"/>
        <v>0.13226415950606588</v>
      </c>
      <c r="G84" s="958">
        <f t="shared" si="123"/>
        <v>0.11452423027600667</v>
      </c>
      <c r="H84" s="958">
        <f t="shared" si="123"/>
        <v>0.1440961369093971</v>
      </c>
      <c r="I84" s="958">
        <f t="shared" si="123"/>
        <v>0.12567446690137127</v>
      </c>
      <c r="J84" s="958">
        <f t="shared" si="123"/>
        <v>0.14547569493170806</v>
      </c>
      <c r="K84" s="958">
        <f t="shared" si="123"/>
        <v>0.12450529968409747</v>
      </c>
      <c r="L84" s="958">
        <f t="shared" si="123"/>
        <v>0.1331234741516428</v>
      </c>
      <c r="M84" s="958">
        <f t="shared" si="123"/>
        <v>0.14552705527135881</v>
      </c>
      <c r="N84" s="958">
        <f t="shared" si="123"/>
        <v>0.12688754805751967</v>
      </c>
      <c r="O84" s="958">
        <f t="shared" si="123"/>
        <v>0.16275311736128553</v>
      </c>
      <c r="P84" s="959">
        <f t="shared" si="123"/>
        <v>8.8295424303483444E-2</v>
      </c>
      <c r="Q84" s="960">
        <f t="shared" si="123"/>
        <v>8.1757584376590739E-2</v>
      </c>
      <c r="R84" s="958">
        <f t="shared" si="123"/>
        <v>8.4974309930457556E-2</v>
      </c>
      <c r="S84" s="958">
        <f t="shared" si="123"/>
        <v>0.10320666205302564</v>
      </c>
      <c r="T84" s="958">
        <f t="shared" si="123"/>
        <v>7.5621534122825337E-2</v>
      </c>
      <c r="U84" s="958">
        <f t="shared" si="123"/>
        <v>8.2878448844619229E-2</v>
      </c>
      <c r="V84" s="958">
        <f t="shared" si="123"/>
        <v>8.8720725653916671E-2</v>
      </c>
      <c r="W84" s="958">
        <f t="shared" si="123"/>
        <v>0.10425207493341233</v>
      </c>
      <c r="X84" s="958">
        <f t="shared" si="123"/>
        <v>0.15748882237200659</v>
      </c>
      <c r="Y84" s="958">
        <f t="shared" si="123"/>
        <v>0.14031689920933552</v>
      </c>
      <c r="Z84" s="958">
        <f t="shared" si="123"/>
        <v>0.12243443216695329</v>
      </c>
      <c r="AA84" s="958">
        <f t="shared" si="123"/>
        <v>9.2908709217961391E-2</v>
      </c>
      <c r="AB84" s="958">
        <f t="shared" si="123"/>
        <v>8.8763401783406221E-2</v>
      </c>
      <c r="AC84" s="959">
        <f t="shared" si="123"/>
        <v>0.12010834266840685</v>
      </c>
      <c r="AD84" s="960">
        <f t="shared" si="123"/>
        <v>0.10084670463119567</v>
      </c>
      <c r="AE84" s="958">
        <f t="shared" si="124"/>
        <v>0.17810637447660183</v>
      </c>
      <c r="AF84" s="958">
        <f t="shared" si="124"/>
        <v>0.13453704564874505</v>
      </c>
      <c r="AG84" s="958">
        <f t="shared" si="124"/>
        <v>9.1838639934019986E-2</v>
      </c>
      <c r="AH84" s="958">
        <f t="shared" si="124"/>
        <v>0.1108737998550184</v>
      </c>
      <c r="AI84" s="958">
        <f t="shared" si="124"/>
        <v>9.7833340118573323E-2</v>
      </c>
      <c r="AJ84" s="958">
        <f t="shared" si="124"/>
        <v>0.10945989686982921</v>
      </c>
      <c r="AK84" s="958">
        <f t="shared" si="124"/>
        <v>0.10428958056204714</v>
      </c>
      <c r="AL84" s="958">
        <f t="shared" si="124"/>
        <v>0.10545600728537392</v>
      </c>
      <c r="AM84" s="958">
        <f t="shared" si="124"/>
        <v>0.10695211230924583</v>
      </c>
      <c r="AN84" s="958">
        <f t="shared" si="124"/>
        <v>0.1340955527764679</v>
      </c>
      <c r="AO84" s="958">
        <f t="shared" si="124"/>
        <v>0.16379081118730598</v>
      </c>
      <c r="AP84" s="959">
        <f t="shared" si="124"/>
        <v>0.17587294863195052</v>
      </c>
      <c r="AQ84" s="960">
        <f t="shared" si="125"/>
        <v>0.12122724354679869</v>
      </c>
      <c r="AR84" s="960"/>
      <c r="AS84" s="958">
        <f t="shared" si="126"/>
        <v>0.13749122586263129</v>
      </c>
      <c r="AT84" s="958">
        <f t="shared" si="126"/>
        <v>0.1589854469074711</v>
      </c>
      <c r="AU84" s="958">
        <f t="shared" si="126"/>
        <v>0.12837232902698803</v>
      </c>
      <c r="AV84" s="958">
        <f t="shared" si="126"/>
        <v>0.13633328943715195</v>
      </c>
      <c r="AW84" s="958">
        <f t="shared" si="126"/>
        <v>0.13171131666657473</v>
      </c>
      <c r="AX84" s="958">
        <f t="shared" si="126"/>
        <v>0.13579085633658594</v>
      </c>
      <c r="AY84" s="958">
        <f t="shared" si="126"/>
        <v>0.13040469571540961</v>
      </c>
      <c r="AZ84" s="958">
        <f t="shared" si="126"/>
        <v>0.13081391419141619</v>
      </c>
      <c r="BA84" s="958">
        <f t="shared" si="126"/>
        <v>0.13168646445204812</v>
      </c>
      <c r="BB84" s="958">
        <f t="shared" si="126"/>
        <v>0.12703790080690519</v>
      </c>
      <c r="BC84" s="958">
        <f t="shared" si="126"/>
        <v>0.1338139826352793</v>
      </c>
      <c r="BD84" s="959">
        <f t="shared" si="126"/>
        <v>0.14568532715255267</v>
      </c>
      <c r="BE84" s="960">
        <f t="shared" si="126"/>
        <v>0.135308740159539</v>
      </c>
      <c r="BF84" s="958">
        <f t="shared" si="126"/>
        <v>0.15226522436481463</v>
      </c>
      <c r="BG84" s="958">
        <f t="shared" si="126"/>
        <v>0.19162437673907745</v>
      </c>
      <c r="BH84" s="958">
        <f t="shared" si="126"/>
        <v>0.11398953274522819</v>
      </c>
      <c r="BI84" s="958">
        <f t="shared" si="126"/>
        <v>0.12629373527810508</v>
      </c>
      <c r="BJ84" s="958">
        <f t="shared" si="126"/>
        <v>0.13091955657621626</v>
      </c>
      <c r="BK84" s="958">
        <f t="shared" si="127"/>
        <v>0</v>
      </c>
      <c r="BL84" s="958">
        <f t="shared" si="127"/>
        <v>0</v>
      </c>
      <c r="BM84" s="958">
        <f t="shared" si="127"/>
        <v>0</v>
      </c>
      <c r="BN84" s="958">
        <f t="shared" si="127"/>
        <v>0</v>
      </c>
      <c r="BO84" s="958">
        <f t="shared" si="127"/>
        <v>0</v>
      </c>
      <c r="BP84" s="958">
        <f t="shared" si="127"/>
        <v>0</v>
      </c>
      <c r="BQ84" s="959">
        <f t="shared" si="127"/>
        <v>0</v>
      </c>
      <c r="BR84" s="960">
        <f t="shared" si="128"/>
        <v>0.13764783147317622</v>
      </c>
      <c r="BS84" s="960">
        <f t="shared" si="129"/>
        <v>0.135308740159539</v>
      </c>
      <c r="BU84" s="456"/>
      <c r="BV84" s="454"/>
      <c r="BW84" s="454"/>
      <c r="BX84" s="454"/>
    </row>
    <row r="85" spans="2:76">
      <c r="B85" s="525">
        <f t="shared" si="130"/>
        <v>3</v>
      </c>
      <c r="C85" s="526" t="s">
        <v>425</v>
      </c>
      <c r="D85" s="526" t="s">
        <v>443</v>
      </c>
      <c r="E85" s="958">
        <f t="shared" si="123"/>
        <v>5.8063068967948418E-2</v>
      </c>
      <c r="F85" s="958">
        <f t="shared" si="123"/>
        <v>4.661533371652328E-2</v>
      </c>
      <c r="G85" s="958">
        <f t="shared" si="123"/>
        <v>4.2102071081195618E-2</v>
      </c>
      <c r="H85" s="958">
        <f t="shared" si="123"/>
        <v>5.1210616846058779E-2</v>
      </c>
      <c r="I85" s="958">
        <f t="shared" si="123"/>
        <v>4.182690139947149E-2</v>
      </c>
      <c r="J85" s="958">
        <f t="shared" si="123"/>
        <v>4.7958087005420882E-2</v>
      </c>
      <c r="K85" s="958">
        <f t="shared" si="123"/>
        <v>4.3281951327161373E-2</v>
      </c>
      <c r="L85" s="958">
        <f t="shared" si="123"/>
        <v>4.402750869505305E-2</v>
      </c>
      <c r="M85" s="958">
        <f t="shared" si="123"/>
        <v>5.1558653770950667E-2</v>
      </c>
      <c r="N85" s="958">
        <f t="shared" si="123"/>
        <v>4.61169553545989E-2</v>
      </c>
      <c r="O85" s="958">
        <f t="shared" si="123"/>
        <v>5.668765163036453E-2</v>
      </c>
      <c r="P85" s="959">
        <f t="shared" si="123"/>
        <v>3.1463513888982206E-2</v>
      </c>
      <c r="Q85" s="960">
        <f t="shared" si="123"/>
        <v>2.8380916603597279E-2</v>
      </c>
      <c r="R85" s="958">
        <f t="shared" si="123"/>
        <v>2.5917821003762952E-2</v>
      </c>
      <c r="S85" s="958">
        <f t="shared" si="123"/>
        <v>3.5330792513932584E-2</v>
      </c>
      <c r="T85" s="958">
        <f t="shared" si="123"/>
        <v>2.3822423805807402E-2</v>
      </c>
      <c r="U85" s="958">
        <f t="shared" si="123"/>
        <v>2.5531202214377904E-2</v>
      </c>
      <c r="V85" s="958">
        <f t="shared" si="123"/>
        <v>2.7255947750549094E-2</v>
      </c>
      <c r="W85" s="958">
        <f t="shared" si="123"/>
        <v>3.2420226590595083E-2</v>
      </c>
      <c r="X85" s="958">
        <f t="shared" si="123"/>
        <v>4.9743025381022703E-2</v>
      </c>
      <c r="Y85" s="958">
        <f t="shared" si="123"/>
        <v>4.5120901176548073E-2</v>
      </c>
      <c r="Z85" s="958">
        <f t="shared" si="123"/>
        <v>3.8262668010838871E-2</v>
      </c>
      <c r="AA85" s="958">
        <f t="shared" si="123"/>
        <v>2.8855981323459901E-2</v>
      </c>
      <c r="AB85" s="958">
        <f t="shared" si="123"/>
        <v>2.6986230915998353E-2</v>
      </c>
      <c r="AC85" s="959">
        <f t="shared" si="123"/>
        <v>3.4637251108433409E-2</v>
      </c>
      <c r="AD85" s="960">
        <f t="shared" si="123"/>
        <v>3.1347448821492596E-2</v>
      </c>
      <c r="AE85" s="958">
        <f t="shared" si="124"/>
        <v>5.4255597858952058E-2</v>
      </c>
      <c r="AF85" s="958">
        <f t="shared" si="124"/>
        <v>4.1146469552830328E-2</v>
      </c>
      <c r="AG85" s="958">
        <f t="shared" si="124"/>
        <v>2.9475006568577693E-2</v>
      </c>
      <c r="AH85" s="958">
        <f t="shared" si="124"/>
        <v>3.148671413844633E-2</v>
      </c>
      <c r="AI85" s="958">
        <f t="shared" si="124"/>
        <v>2.893170955993471E-2</v>
      </c>
      <c r="AJ85" s="958">
        <f t="shared" si="124"/>
        <v>3.1544728206827112E-2</v>
      </c>
      <c r="AK85" s="958">
        <f t="shared" si="124"/>
        <v>2.8977407602673613E-2</v>
      </c>
      <c r="AL85" s="958">
        <f t="shared" si="124"/>
        <v>2.8825114582453237E-2</v>
      </c>
      <c r="AM85" s="958">
        <f t="shared" si="124"/>
        <v>3.075082403895027E-2</v>
      </c>
      <c r="AN85" s="958">
        <f t="shared" si="124"/>
        <v>3.9390111828749713E-2</v>
      </c>
      <c r="AO85" s="958">
        <f t="shared" si="124"/>
        <v>5.1405925652108567E-2</v>
      </c>
      <c r="AP85" s="959">
        <f t="shared" si="124"/>
        <v>3.7289281318800431E-2</v>
      </c>
      <c r="AQ85" s="960">
        <f t="shared" si="125"/>
        <v>3.4476806454527116E-2</v>
      </c>
      <c r="AR85" s="960"/>
      <c r="AS85" s="958">
        <f t="shared" si="126"/>
        <v>4.5771147769749471E-2</v>
      </c>
      <c r="AT85" s="958">
        <f t="shared" si="126"/>
        <v>5.7268919891639868E-2</v>
      </c>
      <c r="AU85" s="958">
        <f t="shared" si="126"/>
        <v>4.8790890553584897E-2</v>
      </c>
      <c r="AV85" s="958">
        <f t="shared" si="126"/>
        <v>4.860351281692217E-2</v>
      </c>
      <c r="AW85" s="958">
        <f t="shared" si="126"/>
        <v>4.8435897714419661E-2</v>
      </c>
      <c r="AX85" s="958">
        <f t="shared" si="126"/>
        <v>4.879519213496275E-2</v>
      </c>
      <c r="AY85" s="958">
        <f t="shared" si="126"/>
        <v>4.795613756553304E-2</v>
      </c>
      <c r="AZ85" s="958">
        <f t="shared" si="126"/>
        <v>4.7532851294854357E-2</v>
      </c>
      <c r="BA85" s="958">
        <f t="shared" si="126"/>
        <v>4.733339862467064E-2</v>
      </c>
      <c r="BB85" s="958">
        <f t="shared" si="126"/>
        <v>4.7903487463872949E-2</v>
      </c>
      <c r="BC85" s="958">
        <f t="shared" si="126"/>
        <v>4.8250394719125206E-2</v>
      </c>
      <c r="BD85" s="959">
        <f t="shared" si="126"/>
        <v>4.724540025875907E-2</v>
      </c>
      <c r="BE85" s="960">
        <f t="shared" si="126"/>
        <v>4.8520390865884694E-2</v>
      </c>
      <c r="BF85" s="958">
        <f t="shared" si="126"/>
        <v>2.2546219188803261E-2</v>
      </c>
      <c r="BG85" s="958">
        <f t="shared" si="126"/>
        <v>3.1263733022141547E-2</v>
      </c>
      <c r="BH85" s="958">
        <f t="shared" si="126"/>
        <v>1.7385347211671655E-2</v>
      </c>
      <c r="BI85" s="958">
        <f t="shared" si="126"/>
        <v>1.8501270568396885E-2</v>
      </c>
      <c r="BJ85" s="958">
        <f t="shared" si="126"/>
        <v>2.0831629365659462E-2</v>
      </c>
      <c r="BK85" s="958">
        <f t="shared" si="127"/>
        <v>0</v>
      </c>
      <c r="BL85" s="958">
        <f t="shared" si="127"/>
        <v>0</v>
      </c>
      <c r="BM85" s="958">
        <f t="shared" si="127"/>
        <v>0</v>
      </c>
      <c r="BN85" s="958">
        <f t="shared" si="127"/>
        <v>0</v>
      </c>
      <c r="BO85" s="958">
        <f t="shared" si="127"/>
        <v>0</v>
      </c>
      <c r="BP85" s="958">
        <f t="shared" si="127"/>
        <v>0</v>
      </c>
      <c r="BQ85" s="959">
        <f t="shared" si="127"/>
        <v>0</v>
      </c>
      <c r="BR85" s="960">
        <f t="shared" si="128"/>
        <v>2.1140278348426203E-2</v>
      </c>
      <c r="BS85" s="960">
        <f t="shared" si="129"/>
        <v>4.8520390865884694E-2</v>
      </c>
      <c r="BU85" s="456"/>
      <c r="BV85" s="454"/>
      <c r="BW85" s="454"/>
      <c r="BX85" s="454"/>
    </row>
    <row r="86" spans="2:76">
      <c r="B86" s="525">
        <f t="shared" si="130"/>
        <v>4</v>
      </c>
      <c r="C86" s="526" t="s">
        <v>440</v>
      </c>
      <c r="D86" s="526" t="s">
        <v>444</v>
      </c>
      <c r="E86" s="958">
        <f t="shared" si="123"/>
        <v>1.8310076669571847E-2</v>
      </c>
      <c r="F86" s="958">
        <f t="shared" si="123"/>
        <v>1.8441522343880443E-2</v>
      </c>
      <c r="G86" s="958">
        <f t="shared" si="123"/>
        <v>1.7273935550246335E-2</v>
      </c>
      <c r="H86" s="958">
        <f t="shared" si="123"/>
        <v>1.5434195573665852E-2</v>
      </c>
      <c r="I86" s="958">
        <f t="shared" si="123"/>
        <v>1.1230281450204082E-2</v>
      </c>
      <c r="J86" s="958">
        <f t="shared" si="123"/>
        <v>1.4761176667234192E-2</v>
      </c>
      <c r="K86" s="958">
        <f t="shared" si="123"/>
        <v>1.3334573866506929E-2</v>
      </c>
      <c r="L86" s="958">
        <f t="shared" si="123"/>
        <v>1.0515375866397553E-2</v>
      </c>
      <c r="M86" s="958">
        <f t="shared" si="123"/>
        <v>1.0700408900132286E-2</v>
      </c>
      <c r="N86" s="958">
        <f t="shared" si="123"/>
        <v>1.004758941285293E-2</v>
      </c>
      <c r="O86" s="958">
        <f t="shared" si="123"/>
        <v>1.2547815258694762E-2</v>
      </c>
      <c r="P86" s="959">
        <f t="shared" si="123"/>
        <v>1.1304015461945956E-2</v>
      </c>
      <c r="Q86" s="960">
        <f t="shared" si="123"/>
        <v>8.2834236884009212E-3</v>
      </c>
      <c r="R86" s="958">
        <f t="shared" si="123"/>
        <v>1.4334731007768612E-2</v>
      </c>
      <c r="S86" s="958">
        <f t="shared" si="123"/>
        <v>1.6219956562782314E-2</v>
      </c>
      <c r="T86" s="958">
        <f t="shared" si="123"/>
        <v>9.1456400476409728E-3</v>
      </c>
      <c r="U86" s="958">
        <f t="shared" si="123"/>
        <v>1.0733976808038993E-2</v>
      </c>
      <c r="V86" s="958">
        <f t="shared" si="123"/>
        <v>1.6012519041645048E-2</v>
      </c>
      <c r="W86" s="958">
        <f t="shared" si="123"/>
        <v>1.8639230685944044E-2</v>
      </c>
      <c r="X86" s="958">
        <f t="shared" si="123"/>
        <v>2.3853175775732125E-2</v>
      </c>
      <c r="Y86" s="958">
        <f t="shared" si="123"/>
        <v>3.9820483728160855E-2</v>
      </c>
      <c r="Z86" s="958">
        <f t="shared" si="123"/>
        <v>4.0125251424553705E-2</v>
      </c>
      <c r="AA86" s="958">
        <f t="shared" si="123"/>
        <v>3.2421239581353525E-2</v>
      </c>
      <c r="AB86" s="958">
        <f t="shared" si="123"/>
        <v>2.7961694212319432E-2</v>
      </c>
      <c r="AC86" s="959">
        <f t="shared" si="123"/>
        <v>0.10291913047787025</v>
      </c>
      <c r="AD86" s="960">
        <f t="shared" si="123"/>
        <v>2.8694164912917045E-2</v>
      </c>
      <c r="AE86" s="958">
        <f t="shared" si="124"/>
        <v>5.3587180739055898E-2</v>
      </c>
      <c r="AF86" s="958">
        <f t="shared" si="124"/>
        <v>2.865726070481462E-2</v>
      </c>
      <c r="AG86" s="958">
        <f t="shared" si="124"/>
        <v>2.9866374756440581E-2</v>
      </c>
      <c r="AH86" s="958">
        <f t="shared" si="124"/>
        <v>1.998143400212141E-2</v>
      </c>
      <c r="AI86" s="958">
        <f t="shared" si="124"/>
        <v>2.1866690910572275E-2</v>
      </c>
      <c r="AJ86" s="958">
        <f t="shared" si="124"/>
        <v>2.1538512159919219E-2</v>
      </c>
      <c r="AK86" s="958">
        <f t="shared" si="124"/>
        <v>2.1310620875970954E-2</v>
      </c>
      <c r="AL86" s="958">
        <f t="shared" si="124"/>
        <v>2.1300209187390954E-2</v>
      </c>
      <c r="AM86" s="958">
        <f t="shared" si="124"/>
        <v>3.2178101917107044E-2</v>
      </c>
      <c r="AN86" s="958">
        <f t="shared" si="124"/>
        <v>4.4360355987720972E-2</v>
      </c>
      <c r="AO86" s="958">
        <f t="shared" si="124"/>
        <v>5.8748591642423416E-2</v>
      </c>
      <c r="AP86" s="959">
        <f t="shared" si="124"/>
        <v>5.3616193729856577E-2</v>
      </c>
      <c r="AQ86" s="960">
        <f t="shared" si="125"/>
        <v>3.1893563884158094E-2</v>
      </c>
      <c r="AR86" s="960"/>
      <c r="AS86" s="958">
        <f t="shared" si="126"/>
        <v>4.8213699691700078E-2</v>
      </c>
      <c r="AT86" s="958">
        <f t="shared" si="126"/>
        <v>2.5737043930789905E-2</v>
      </c>
      <c r="AU86" s="958">
        <f t="shared" si="126"/>
        <v>2.7519756077688872E-2</v>
      </c>
      <c r="AV86" s="958">
        <f t="shared" si="126"/>
        <v>2.6321714064615667E-2</v>
      </c>
      <c r="AW86" s="958">
        <f t="shared" si="126"/>
        <v>3.6880460137299745E-2</v>
      </c>
      <c r="AX86" s="958">
        <f t="shared" si="126"/>
        <v>2.6553548823359925E-2</v>
      </c>
      <c r="AY86" s="958">
        <f t="shared" si="126"/>
        <v>3.0098285644522396E-2</v>
      </c>
      <c r="AZ86" s="958">
        <f t="shared" si="126"/>
        <v>2.9987363342423998E-2</v>
      </c>
      <c r="BA86" s="958">
        <f t="shared" si="126"/>
        <v>3.4533329768602974E-2</v>
      </c>
      <c r="BB86" s="958">
        <f t="shared" si="126"/>
        <v>2.5947621720696139E-2</v>
      </c>
      <c r="BC86" s="958">
        <f t="shared" si="126"/>
        <v>2.4400977161990509E-2</v>
      </c>
      <c r="BD86" s="959">
        <f t="shared" si="126"/>
        <v>2.4357975790538219E-2</v>
      </c>
      <c r="BE86" s="960">
        <f t="shared" si="126"/>
        <v>3.0018348713603517E-2</v>
      </c>
      <c r="BF86" s="958">
        <f t="shared" si="126"/>
        <v>3.7118058429438758E-2</v>
      </c>
      <c r="BG86" s="958">
        <f t="shared" si="126"/>
        <v>4.7846520712961027E-2</v>
      </c>
      <c r="BH86" s="958">
        <f t="shared" si="126"/>
        <v>2.0426824879360386E-2</v>
      </c>
      <c r="BI86" s="958">
        <f t="shared" si="126"/>
        <v>2.3084162982960267E-2</v>
      </c>
      <c r="BJ86" s="958">
        <f t="shared" si="126"/>
        <v>2.9987326481409983E-2</v>
      </c>
      <c r="BK86" s="958">
        <f t="shared" si="127"/>
        <v>0</v>
      </c>
      <c r="BL86" s="958">
        <f t="shared" si="127"/>
        <v>0</v>
      </c>
      <c r="BM86" s="958">
        <f t="shared" si="127"/>
        <v>0</v>
      </c>
      <c r="BN86" s="958">
        <f t="shared" si="127"/>
        <v>0</v>
      </c>
      <c r="BO86" s="958">
        <f t="shared" si="127"/>
        <v>0</v>
      </c>
      <c r="BP86" s="958">
        <f t="shared" si="127"/>
        <v>0</v>
      </c>
      <c r="BQ86" s="959">
        <f t="shared" si="127"/>
        <v>0</v>
      </c>
      <c r="BR86" s="960">
        <f t="shared" si="128"/>
        <v>2.9728215723919593E-2</v>
      </c>
      <c r="BS86" s="960">
        <f t="shared" si="129"/>
        <v>3.0018348713603517E-2</v>
      </c>
      <c r="BU86" s="456"/>
      <c r="BV86" s="454"/>
      <c r="BW86" s="454"/>
      <c r="BX86" s="454"/>
    </row>
    <row r="87" spans="2:76">
      <c r="B87" s="525">
        <f t="shared" si="130"/>
        <v>5</v>
      </c>
      <c r="C87" s="526" t="s">
        <v>440</v>
      </c>
      <c r="D87" s="526" t="s">
        <v>445</v>
      </c>
      <c r="E87" s="958">
        <f t="shared" si="123"/>
        <v>1.3509493415941983E-2</v>
      </c>
      <c r="F87" s="958">
        <f t="shared" si="123"/>
        <v>1.0771178120394218E-2</v>
      </c>
      <c r="G87" s="958">
        <f t="shared" si="123"/>
        <v>8.6735331460237979E-3</v>
      </c>
      <c r="H87" s="958">
        <f t="shared" si="123"/>
        <v>8.8367521656075691E-3</v>
      </c>
      <c r="I87" s="958">
        <f t="shared" si="123"/>
        <v>9.8643397277826898E-3</v>
      </c>
      <c r="J87" s="958">
        <f t="shared" si="123"/>
        <v>9.2428255868652193E-3</v>
      </c>
      <c r="K87" s="958">
        <f t="shared" si="123"/>
        <v>8.3530867491825363E-3</v>
      </c>
      <c r="L87" s="958">
        <f t="shared" si="123"/>
        <v>8.8823411340549895E-3</v>
      </c>
      <c r="M87" s="958">
        <f t="shared" si="123"/>
        <v>8.4956592045199557E-3</v>
      </c>
      <c r="N87" s="958">
        <f t="shared" si="123"/>
        <v>8.7593036150061844E-3</v>
      </c>
      <c r="O87" s="958">
        <f t="shared" si="123"/>
        <v>1.2089985622017602E-2</v>
      </c>
      <c r="P87" s="959">
        <f t="shared" si="123"/>
        <v>7.059995970121768E-3</v>
      </c>
      <c r="Q87" s="960">
        <f t="shared" si="123"/>
        <v>5.7835141055807273E-3</v>
      </c>
      <c r="R87" s="958">
        <f t="shared" si="123"/>
        <v>6.1896208147185893E-3</v>
      </c>
      <c r="S87" s="958">
        <f t="shared" si="123"/>
        <v>8.1357433691505113E-3</v>
      </c>
      <c r="T87" s="958">
        <f t="shared" si="123"/>
        <v>6.6196510979464962E-3</v>
      </c>
      <c r="U87" s="958">
        <f t="shared" si="123"/>
        <v>7.0634161885534041E-3</v>
      </c>
      <c r="V87" s="958">
        <f t="shared" si="123"/>
        <v>8.0996772875427895E-3</v>
      </c>
      <c r="W87" s="958">
        <f t="shared" si="123"/>
        <v>7.803700098980574E-3</v>
      </c>
      <c r="X87" s="958">
        <f t="shared" si="123"/>
        <v>1.0313822221555618E-2</v>
      </c>
      <c r="Y87" s="958">
        <f t="shared" si="123"/>
        <v>1.1305537669710781E-2</v>
      </c>
      <c r="Z87" s="958">
        <f t="shared" si="123"/>
        <v>1.1272463561118976E-2</v>
      </c>
      <c r="AA87" s="958">
        <f t="shared" si="123"/>
        <v>6.9793770146504511E-3</v>
      </c>
      <c r="AB87" s="958">
        <f t="shared" si="123"/>
        <v>7.8307061021563509E-3</v>
      </c>
      <c r="AC87" s="959">
        <f t="shared" si="123"/>
        <v>9.9441410593819647E-3</v>
      </c>
      <c r="AD87" s="960">
        <f t="shared" si="123"/>
        <v>8.2067361447929581E-3</v>
      </c>
      <c r="AE87" s="958">
        <f t="shared" si="124"/>
        <v>1.2080371282485852E-2</v>
      </c>
      <c r="AF87" s="958">
        <f t="shared" si="124"/>
        <v>1.0823616208455506E-2</v>
      </c>
      <c r="AG87" s="958">
        <f t="shared" si="124"/>
        <v>6.9735933070230538E-3</v>
      </c>
      <c r="AH87" s="958">
        <f t="shared" si="124"/>
        <v>8.8511325444904209E-3</v>
      </c>
      <c r="AI87" s="958">
        <f t="shared" si="124"/>
        <v>7.667117495583139E-3</v>
      </c>
      <c r="AJ87" s="958">
        <f t="shared" si="124"/>
        <v>6.8772784149908851E-3</v>
      </c>
      <c r="AK87" s="958">
        <f t="shared" si="124"/>
        <v>6.8667007208031263E-3</v>
      </c>
      <c r="AL87" s="958">
        <f t="shared" si="124"/>
        <v>6.4889415312945464E-3</v>
      </c>
      <c r="AM87" s="958">
        <f t="shared" si="124"/>
        <v>6.5767136130345386E-3</v>
      </c>
      <c r="AN87" s="958">
        <f t="shared" si="124"/>
        <v>8.8376801936098856E-3</v>
      </c>
      <c r="AO87" s="958">
        <f t="shared" si="124"/>
        <v>1.1653148164734622E-2</v>
      </c>
      <c r="AP87" s="959">
        <f t="shared" si="124"/>
        <v>7.401803875077149E-3</v>
      </c>
      <c r="AQ87" s="960">
        <f t="shared" si="125"/>
        <v>8.0530618933681332E-3</v>
      </c>
      <c r="AR87" s="960"/>
      <c r="AS87" s="958">
        <f t="shared" si="126"/>
        <v>9.4715213771821502E-3</v>
      </c>
      <c r="AT87" s="958">
        <f t="shared" si="126"/>
        <v>6.8908217275019442E-3</v>
      </c>
      <c r="AU87" s="958">
        <f t="shared" si="126"/>
        <v>7.6786916941641598E-3</v>
      </c>
      <c r="AV87" s="958">
        <f t="shared" si="126"/>
        <v>7.9527254982133776E-3</v>
      </c>
      <c r="AW87" s="958">
        <f t="shared" si="126"/>
        <v>6.5448287783755844E-3</v>
      </c>
      <c r="AX87" s="958">
        <f t="shared" si="126"/>
        <v>6.8858330400018136E-3</v>
      </c>
      <c r="AY87" s="958">
        <f t="shared" si="126"/>
        <v>6.6111716178188455E-3</v>
      </c>
      <c r="AZ87" s="958">
        <f t="shared" si="126"/>
        <v>6.1978083079969153E-3</v>
      </c>
      <c r="BA87" s="958">
        <f t="shared" si="126"/>
        <v>6.3909144380532744E-3</v>
      </c>
      <c r="BB87" s="958">
        <f t="shared" si="126"/>
        <v>6.3196850732406152E-3</v>
      </c>
      <c r="BC87" s="958">
        <f t="shared" si="126"/>
        <v>5.4901956171763281E-3</v>
      </c>
      <c r="BD87" s="959">
        <f t="shared" si="126"/>
        <v>6.1841076787926552E-3</v>
      </c>
      <c r="BE87" s="960">
        <f t="shared" si="126"/>
        <v>6.8615571786710943E-3</v>
      </c>
      <c r="BF87" s="958">
        <f t="shared" si="126"/>
        <v>6.3464195782089077E-3</v>
      </c>
      <c r="BG87" s="958">
        <f t="shared" si="126"/>
        <v>7.7424000778233268E-3</v>
      </c>
      <c r="BH87" s="958">
        <f t="shared" si="126"/>
        <v>4.9763678622203201E-3</v>
      </c>
      <c r="BI87" s="958">
        <f t="shared" si="126"/>
        <v>4.6859977469356851E-3</v>
      </c>
      <c r="BJ87" s="958">
        <f t="shared" si="126"/>
        <v>5.4538175380639672E-3</v>
      </c>
      <c r="BK87" s="958">
        <f t="shared" si="127"/>
        <v>0</v>
      </c>
      <c r="BL87" s="958">
        <f t="shared" si="127"/>
        <v>0</v>
      </c>
      <c r="BM87" s="958">
        <f t="shared" si="127"/>
        <v>0</v>
      </c>
      <c r="BN87" s="958">
        <f t="shared" si="127"/>
        <v>0</v>
      </c>
      <c r="BO87" s="958">
        <f t="shared" si="127"/>
        <v>0</v>
      </c>
      <c r="BP87" s="958">
        <f t="shared" si="127"/>
        <v>0</v>
      </c>
      <c r="BQ87" s="959">
        <f t="shared" si="127"/>
        <v>0</v>
      </c>
      <c r="BR87" s="960">
        <f t="shared" si="128"/>
        <v>5.6205437041629957E-3</v>
      </c>
      <c r="BS87" s="960">
        <f t="shared" si="129"/>
        <v>6.8615571786710943E-3</v>
      </c>
      <c r="BU87" s="456"/>
      <c r="BV87" s="454"/>
      <c r="BW87" s="454"/>
      <c r="BX87" s="454"/>
    </row>
    <row r="88" spans="2:76">
      <c r="B88" s="525">
        <f t="shared" si="130"/>
        <v>6</v>
      </c>
      <c r="C88" s="526" t="s">
        <v>440</v>
      </c>
      <c r="D88" s="526" t="s">
        <v>446</v>
      </c>
      <c r="E88" s="958">
        <f t="shared" si="123"/>
        <v>7.1568943954708102E-3</v>
      </c>
      <c r="F88" s="958">
        <f t="shared" si="123"/>
        <v>4.2384967016097421E-3</v>
      </c>
      <c r="G88" s="958">
        <f t="shared" si="123"/>
        <v>5.0706024347824856E-3</v>
      </c>
      <c r="H88" s="958">
        <f t="shared" si="123"/>
        <v>4.0775286560680796E-3</v>
      </c>
      <c r="I88" s="958">
        <f t="shared" si="123"/>
        <v>6.8225930213513131E-3</v>
      </c>
      <c r="J88" s="958">
        <f t="shared" si="123"/>
        <v>7.3456240746974637E-3</v>
      </c>
      <c r="K88" s="958">
        <f t="shared" si="123"/>
        <v>9.079897326238616E-3</v>
      </c>
      <c r="L88" s="958">
        <f t="shared" si="123"/>
        <v>7.3575904751750198E-3</v>
      </c>
      <c r="M88" s="958">
        <f t="shared" si="123"/>
        <v>6.3541965096220142E-3</v>
      </c>
      <c r="N88" s="958">
        <f t="shared" si="123"/>
        <v>8.1184684642481575E-3</v>
      </c>
      <c r="O88" s="958">
        <f t="shared" si="123"/>
        <v>1.2255628361586614E-2</v>
      </c>
      <c r="P88" s="959">
        <f t="shared" si="123"/>
        <v>8.7999560140314334E-3</v>
      </c>
      <c r="Q88" s="960">
        <f t="shared" si="123"/>
        <v>4.6233509525955034E-3</v>
      </c>
      <c r="R88" s="958">
        <f t="shared" si="123"/>
        <v>4.6565235820442705E-3</v>
      </c>
      <c r="S88" s="958">
        <f t="shared" si="123"/>
        <v>7.5936251342471088E-3</v>
      </c>
      <c r="T88" s="958">
        <f t="shared" si="123"/>
        <v>5.5508283438077512E-3</v>
      </c>
      <c r="U88" s="958">
        <f t="shared" si="123"/>
        <v>5.1374041318339499E-3</v>
      </c>
      <c r="V88" s="958">
        <f t="shared" si="123"/>
        <v>6.4275181054542323E-3</v>
      </c>
      <c r="W88" s="958">
        <f t="shared" si="123"/>
        <v>8.4018983373290879E-3</v>
      </c>
      <c r="X88" s="958">
        <f t="shared" si="123"/>
        <v>8.6462807285705851E-3</v>
      </c>
      <c r="Y88" s="958">
        <f t="shared" si="123"/>
        <v>1.1076832536425702E-2</v>
      </c>
      <c r="Z88" s="958">
        <f t="shared" si="123"/>
        <v>1.0379149019568514E-2</v>
      </c>
      <c r="AA88" s="958">
        <f t="shared" si="123"/>
        <v>8.478627510639691E-3</v>
      </c>
      <c r="AB88" s="958">
        <f t="shared" si="123"/>
        <v>9.6839173934575203E-3</v>
      </c>
      <c r="AC88" s="959">
        <f t="shared" si="123"/>
        <v>1.3668853013303077E-2</v>
      </c>
      <c r="AD88" s="960">
        <f t="shared" si="123"/>
        <v>8.108146974407128E-3</v>
      </c>
      <c r="AE88" s="958">
        <f t="shared" si="124"/>
        <v>1.3621705711884285E-2</v>
      </c>
      <c r="AF88" s="958">
        <f t="shared" si="124"/>
        <v>1.2508761057906052E-2</v>
      </c>
      <c r="AG88" s="958">
        <f t="shared" si="124"/>
        <v>7.6010106108196727E-3</v>
      </c>
      <c r="AH88" s="958">
        <f t="shared" si="124"/>
        <v>9.0557490068073395E-3</v>
      </c>
      <c r="AI88" s="958">
        <f t="shared" si="124"/>
        <v>7.5708521352153869E-3</v>
      </c>
      <c r="AJ88" s="958">
        <f t="shared" si="124"/>
        <v>9.9737011715957825E-3</v>
      </c>
      <c r="AK88" s="958">
        <f t="shared" si="124"/>
        <v>9.482877160585091E-3</v>
      </c>
      <c r="AL88" s="958">
        <f t="shared" si="124"/>
        <v>9.1590641249210281E-3</v>
      </c>
      <c r="AM88" s="958">
        <f t="shared" si="124"/>
        <v>7.9205808429663044E-3</v>
      </c>
      <c r="AN88" s="958">
        <f t="shared" si="124"/>
        <v>1.1800708764736051E-2</v>
      </c>
      <c r="AO88" s="958">
        <f t="shared" si="124"/>
        <v>1.3401283743423071E-2</v>
      </c>
      <c r="AP88" s="959">
        <f t="shared" si="124"/>
        <v>9.2190600791356905E-3</v>
      </c>
      <c r="AQ88" s="960">
        <f t="shared" si="125"/>
        <v>9.7208912092087516E-3</v>
      </c>
      <c r="AR88" s="960"/>
      <c r="AS88" s="958">
        <f t="shared" si="126"/>
        <v>8.6855389841247483E-3</v>
      </c>
      <c r="AT88" s="958">
        <f t="shared" si="126"/>
        <v>7.964064114497715E-3</v>
      </c>
      <c r="AU88" s="958">
        <f t="shared" si="126"/>
        <v>1.0688854072914478E-2</v>
      </c>
      <c r="AV88" s="958">
        <f t="shared" si="126"/>
        <v>9.7179974682663085E-3</v>
      </c>
      <c r="AW88" s="958">
        <f t="shared" si="126"/>
        <v>9.7382844252376123E-3</v>
      </c>
      <c r="AX88" s="958">
        <f t="shared" si="126"/>
        <v>1.2250396300540473E-2</v>
      </c>
      <c r="AY88" s="958">
        <f t="shared" si="126"/>
        <v>1.0598861699498056E-2</v>
      </c>
      <c r="AZ88" s="958">
        <f t="shared" si="126"/>
        <v>9.5749735339426371E-3</v>
      </c>
      <c r="BA88" s="958">
        <f t="shared" si="126"/>
        <v>1.0840816150280739E-2</v>
      </c>
      <c r="BB88" s="958">
        <f t="shared" si="126"/>
        <v>9.7899105452706175E-3</v>
      </c>
      <c r="BC88" s="958">
        <f t="shared" si="126"/>
        <v>9.8566476444846059E-3</v>
      </c>
      <c r="BD88" s="959">
        <f t="shared" si="126"/>
        <v>9.8593332840356974E-3</v>
      </c>
      <c r="BE88" s="960">
        <f t="shared" si="126"/>
        <v>1.0001722058910794E-2</v>
      </c>
      <c r="BF88" s="958">
        <f t="shared" si="126"/>
        <v>1.0069434835982095E-2</v>
      </c>
      <c r="BG88" s="958">
        <f t="shared" si="126"/>
        <v>1.0402409149902498E-2</v>
      </c>
      <c r="BH88" s="958">
        <f t="shared" si="126"/>
        <v>7.0913353065537388E-3</v>
      </c>
      <c r="BI88" s="958">
        <f t="shared" si="126"/>
        <v>8.2723188660237673E-3</v>
      </c>
      <c r="BJ88" s="958">
        <f t="shared" si="126"/>
        <v>1.1275681230437434E-2</v>
      </c>
      <c r="BK88" s="958">
        <f t="shared" si="127"/>
        <v>0</v>
      </c>
      <c r="BL88" s="958">
        <f t="shared" si="127"/>
        <v>0</v>
      </c>
      <c r="BM88" s="958">
        <f t="shared" si="127"/>
        <v>0</v>
      </c>
      <c r="BN88" s="958">
        <f t="shared" si="127"/>
        <v>0</v>
      </c>
      <c r="BO88" s="958">
        <f t="shared" si="127"/>
        <v>0</v>
      </c>
      <c r="BP88" s="958">
        <f t="shared" si="127"/>
        <v>0</v>
      </c>
      <c r="BQ88" s="959">
        <f t="shared" si="127"/>
        <v>0</v>
      </c>
      <c r="BR88" s="960">
        <f t="shared" si="128"/>
        <v>9.2492997721381164E-3</v>
      </c>
      <c r="BS88" s="960">
        <f t="shared" si="129"/>
        <v>1.0001722058910794E-2</v>
      </c>
      <c r="BU88" s="456"/>
      <c r="BV88" s="454"/>
      <c r="BW88" s="454"/>
      <c r="BX88" s="454"/>
    </row>
    <row r="89" spans="2:76">
      <c r="B89" s="525">
        <f t="shared" si="130"/>
        <v>7</v>
      </c>
      <c r="C89" s="527" t="s">
        <v>440</v>
      </c>
      <c r="D89" s="527" t="s">
        <v>447</v>
      </c>
      <c r="E89" s="961">
        <f t="shared" si="123"/>
        <v>1.2868819609595115E-3</v>
      </c>
      <c r="F89" s="961">
        <f t="shared" si="123"/>
        <v>0</v>
      </c>
      <c r="G89" s="961">
        <f t="shared" si="123"/>
        <v>8.7089359345359808E-4</v>
      </c>
      <c r="H89" s="961">
        <f t="shared" si="123"/>
        <v>1.5585603632418013E-3</v>
      </c>
      <c r="I89" s="961">
        <f t="shared" si="123"/>
        <v>1.1728761326996195E-3</v>
      </c>
      <c r="J89" s="961">
        <f t="shared" si="123"/>
        <v>5.4277004996828584E-4</v>
      </c>
      <c r="K89" s="961">
        <f t="shared" si="123"/>
        <v>1.5180745153516803E-3</v>
      </c>
      <c r="L89" s="961">
        <f t="shared" si="123"/>
        <v>1.5038980726747142E-3</v>
      </c>
      <c r="M89" s="961">
        <f t="shared" si="123"/>
        <v>1.9795965658251655E-3</v>
      </c>
      <c r="N89" s="961">
        <f t="shared" si="123"/>
        <v>2.0790471109299003E-3</v>
      </c>
      <c r="O89" s="961">
        <f t="shared" si="123"/>
        <v>3.0934550346097159E-3</v>
      </c>
      <c r="P89" s="962">
        <f t="shared" si="123"/>
        <v>3.2849163376699204E-3</v>
      </c>
      <c r="Q89" s="963">
        <f t="shared" si="123"/>
        <v>1.0677530033175587E-3</v>
      </c>
      <c r="R89" s="961">
        <f t="shared" si="123"/>
        <v>3.9800725093182459E-3</v>
      </c>
      <c r="S89" s="961">
        <f t="shared" si="123"/>
        <v>6.6336963663844008E-3</v>
      </c>
      <c r="T89" s="961">
        <f t="shared" si="123"/>
        <v>4.6653507966265117E-3</v>
      </c>
      <c r="U89" s="961">
        <f t="shared" si="123"/>
        <v>7.2692990748136959E-3</v>
      </c>
      <c r="V89" s="961">
        <f t="shared" si="123"/>
        <v>8.1994455111995095E-3</v>
      </c>
      <c r="W89" s="961">
        <f t="shared" si="123"/>
        <v>1.1156006751624026E-2</v>
      </c>
      <c r="X89" s="961">
        <f t="shared" si="123"/>
        <v>1.7634115225159428E-2</v>
      </c>
      <c r="Y89" s="961">
        <f t="shared" si="123"/>
        <v>1.2864763202278286E-2</v>
      </c>
      <c r="Z89" s="961">
        <f t="shared" si="123"/>
        <v>9.574202460799066E-3</v>
      </c>
      <c r="AA89" s="961">
        <f t="shared" si="123"/>
        <v>7.0583015072944611E-3</v>
      </c>
      <c r="AB89" s="961">
        <f t="shared" si="123"/>
        <v>6.9571313183396056E-3</v>
      </c>
      <c r="AC89" s="962">
        <f t="shared" si="123"/>
        <v>9.5057847700401477E-3</v>
      </c>
      <c r="AD89" s="963">
        <f t="shared" si="123"/>
        <v>8.2359870023605078E-3</v>
      </c>
      <c r="AE89" s="961">
        <f t="shared" si="124"/>
        <v>1.5904024641173416E-2</v>
      </c>
      <c r="AF89" s="961">
        <f t="shared" si="124"/>
        <v>1.0040093498755384E-2</v>
      </c>
      <c r="AG89" s="961">
        <f t="shared" si="124"/>
        <v>4.9630257617493531E-3</v>
      </c>
      <c r="AH89" s="961">
        <f t="shared" si="124"/>
        <v>7.1629160690837293E-3</v>
      </c>
      <c r="AI89" s="961">
        <f t="shared" si="124"/>
        <v>8.407819237575458E-3</v>
      </c>
      <c r="AJ89" s="961">
        <f t="shared" si="124"/>
        <v>1.1181774953215595E-2</v>
      </c>
      <c r="AK89" s="961">
        <f t="shared" si="124"/>
        <v>8.8094456300790401E-3</v>
      </c>
      <c r="AL89" s="961">
        <f t="shared" si="124"/>
        <v>9.1803901854496731E-3</v>
      </c>
      <c r="AM89" s="961">
        <f t="shared" si="124"/>
        <v>1.1133537913516541E-2</v>
      </c>
      <c r="AN89" s="961">
        <f t="shared" si="124"/>
        <v>1.26540938898125E-2</v>
      </c>
      <c r="AO89" s="961">
        <f t="shared" si="124"/>
        <v>1.4602751053182737E-2</v>
      </c>
      <c r="AP89" s="962">
        <f t="shared" si="124"/>
        <v>1.0543862299457134E-2</v>
      </c>
      <c r="AQ89" s="963">
        <f t="shared" si="125"/>
        <v>9.9551596671837647E-3</v>
      </c>
      <c r="AR89" s="963"/>
      <c r="AS89" s="961">
        <f t="shared" si="126"/>
        <v>1.2434043986893436E-2</v>
      </c>
      <c r="AT89" s="961">
        <f t="shared" si="126"/>
        <v>2.3302746667344141E-2</v>
      </c>
      <c r="AU89" s="961">
        <f t="shared" si="126"/>
        <v>2.3271060355400514E-2</v>
      </c>
      <c r="AV89" s="961">
        <f t="shared" si="126"/>
        <v>2.2243085744813693E-2</v>
      </c>
      <c r="AW89" s="961">
        <f t="shared" si="126"/>
        <v>2.4812510005304416E-2</v>
      </c>
      <c r="AX89" s="961">
        <f t="shared" si="126"/>
        <v>2.5213001300527421E-2</v>
      </c>
      <c r="AY89" s="961">
        <f t="shared" si="126"/>
        <v>2.5228259005033803E-2</v>
      </c>
      <c r="AZ89" s="961">
        <f t="shared" si="126"/>
        <v>2.6454821424166379E-2</v>
      </c>
      <c r="BA89" s="961">
        <f t="shared" si="126"/>
        <v>2.5762946621558917E-2</v>
      </c>
      <c r="BB89" s="961">
        <f t="shared" si="126"/>
        <v>2.6068543775848305E-2</v>
      </c>
      <c r="BC89" s="961">
        <f t="shared" si="126"/>
        <v>2.6315906662288908E-2</v>
      </c>
      <c r="BD89" s="962">
        <f t="shared" si="126"/>
        <v>2.4456531354311393E-2</v>
      </c>
      <c r="BE89" s="963">
        <f t="shared" si="126"/>
        <v>2.3880588648940087E-2</v>
      </c>
      <c r="BF89" s="961">
        <f t="shared" si="126"/>
        <v>1.3102302847737689E-2</v>
      </c>
      <c r="BG89" s="961">
        <f t="shared" si="126"/>
        <v>1.7189474616780151E-2</v>
      </c>
      <c r="BH89" s="961">
        <f t="shared" si="126"/>
        <v>7.8773190192029195E-3</v>
      </c>
      <c r="BI89" s="961">
        <f t="shared" si="126"/>
        <v>8.6260946942096454E-3</v>
      </c>
      <c r="BJ89" s="961">
        <f t="shared" si="126"/>
        <v>7.4965703019813099E-3</v>
      </c>
      <c r="BK89" s="961">
        <f t="shared" si="127"/>
        <v>0</v>
      </c>
      <c r="BL89" s="961">
        <f t="shared" si="127"/>
        <v>0</v>
      </c>
      <c r="BM89" s="961">
        <f t="shared" si="127"/>
        <v>0</v>
      </c>
      <c r="BN89" s="961">
        <f t="shared" si="127"/>
        <v>0</v>
      </c>
      <c r="BO89" s="961">
        <f t="shared" si="127"/>
        <v>0</v>
      </c>
      <c r="BP89" s="961">
        <f t="shared" si="127"/>
        <v>0</v>
      </c>
      <c r="BQ89" s="962">
        <f t="shared" si="127"/>
        <v>0</v>
      </c>
      <c r="BR89" s="963">
        <f t="shared" si="128"/>
        <v>1.0136344822467098E-2</v>
      </c>
      <c r="BS89" s="963">
        <f t="shared" si="129"/>
        <v>2.3880588648940087E-2</v>
      </c>
      <c r="BU89" s="456"/>
      <c r="BV89" s="454"/>
      <c r="BW89" s="454"/>
      <c r="BX89" s="454"/>
    </row>
    <row r="90" spans="2:76" ht="16.5" thickBot="1">
      <c r="B90" s="528" t="s">
        <v>524</v>
      </c>
      <c r="C90" s="529"/>
      <c r="D90" s="528"/>
      <c r="E90" s="964">
        <f t="shared" ref="E90:Y90" si="131">E70+E82</f>
        <v>1</v>
      </c>
      <c r="F90" s="964">
        <f t="shared" si="131"/>
        <v>1</v>
      </c>
      <c r="G90" s="964">
        <f t="shared" si="131"/>
        <v>1</v>
      </c>
      <c r="H90" s="964">
        <f t="shared" si="131"/>
        <v>1</v>
      </c>
      <c r="I90" s="964">
        <f t="shared" si="131"/>
        <v>1</v>
      </c>
      <c r="J90" s="964">
        <f t="shared" si="131"/>
        <v>1</v>
      </c>
      <c r="K90" s="964">
        <f t="shared" si="131"/>
        <v>1</v>
      </c>
      <c r="L90" s="964">
        <f t="shared" si="131"/>
        <v>0.99999999999999978</v>
      </c>
      <c r="M90" s="964">
        <f t="shared" si="131"/>
        <v>0.99999999999999978</v>
      </c>
      <c r="N90" s="964">
        <f t="shared" si="131"/>
        <v>1</v>
      </c>
      <c r="O90" s="964">
        <f t="shared" si="131"/>
        <v>0.99999999999999978</v>
      </c>
      <c r="P90" s="965">
        <f t="shared" si="131"/>
        <v>1</v>
      </c>
      <c r="Q90" s="966">
        <f t="shared" si="131"/>
        <v>1</v>
      </c>
      <c r="R90" s="964">
        <f t="shared" si="131"/>
        <v>1</v>
      </c>
      <c r="S90" s="964">
        <f t="shared" si="131"/>
        <v>1</v>
      </c>
      <c r="T90" s="964">
        <f t="shared" si="131"/>
        <v>1.0000000000000002</v>
      </c>
      <c r="U90" s="964">
        <f t="shared" si="131"/>
        <v>1</v>
      </c>
      <c r="V90" s="964">
        <f t="shared" si="131"/>
        <v>1.0000000000000002</v>
      </c>
      <c r="W90" s="964">
        <f t="shared" si="131"/>
        <v>1</v>
      </c>
      <c r="X90" s="964">
        <f t="shared" si="131"/>
        <v>1</v>
      </c>
      <c r="Y90" s="964">
        <f t="shared" si="131"/>
        <v>1</v>
      </c>
      <c r="Z90" s="964">
        <f t="shared" si="123"/>
        <v>1</v>
      </c>
      <c r="AA90" s="964">
        <f t="shared" si="123"/>
        <v>1</v>
      </c>
      <c r="AB90" s="964">
        <f t="shared" si="123"/>
        <v>1</v>
      </c>
      <c r="AC90" s="965">
        <f t="shared" si="123"/>
        <v>1</v>
      </c>
      <c r="AD90" s="966">
        <f>AD70+AD82</f>
        <v>0.99999999999999978</v>
      </c>
      <c r="AE90" s="964">
        <f t="shared" ref="AE90:AQ90" si="132">AE70+AE82</f>
        <v>0.99999999999999978</v>
      </c>
      <c r="AF90" s="964">
        <f t="shared" si="132"/>
        <v>0.99999999999999978</v>
      </c>
      <c r="AG90" s="964">
        <f t="shared" si="132"/>
        <v>0.99999999999999978</v>
      </c>
      <c r="AH90" s="964">
        <f t="shared" si="132"/>
        <v>0.99999999999999989</v>
      </c>
      <c r="AI90" s="964">
        <f t="shared" si="132"/>
        <v>1.0000000000000002</v>
      </c>
      <c r="AJ90" s="964">
        <f t="shared" si="132"/>
        <v>1.0000000000000002</v>
      </c>
      <c r="AK90" s="964">
        <f t="shared" si="132"/>
        <v>1</v>
      </c>
      <c r="AL90" s="964">
        <f t="shared" si="132"/>
        <v>1</v>
      </c>
      <c r="AM90" s="964">
        <f t="shared" si="132"/>
        <v>1</v>
      </c>
      <c r="AN90" s="964">
        <f t="shared" si="132"/>
        <v>0.99999999999999989</v>
      </c>
      <c r="AO90" s="964">
        <f t="shared" si="132"/>
        <v>1</v>
      </c>
      <c r="AP90" s="965">
        <f t="shared" si="132"/>
        <v>1</v>
      </c>
      <c r="AQ90" s="966">
        <f t="shared" si="132"/>
        <v>0.99999999999999989</v>
      </c>
      <c r="AR90" s="966"/>
      <c r="AS90" s="964">
        <f t="shared" ref="AS90:BS90" si="133">AS70+AS82</f>
        <v>1</v>
      </c>
      <c r="AT90" s="964">
        <f t="shared" si="133"/>
        <v>1</v>
      </c>
      <c r="AU90" s="964">
        <f t="shared" si="133"/>
        <v>0.99999999999999989</v>
      </c>
      <c r="AV90" s="964">
        <f t="shared" si="133"/>
        <v>0.99999999999999978</v>
      </c>
      <c r="AW90" s="964">
        <f t="shared" si="133"/>
        <v>0.99999999999999989</v>
      </c>
      <c r="AX90" s="964">
        <f t="shared" si="133"/>
        <v>1.0000000000000002</v>
      </c>
      <c r="AY90" s="964">
        <f t="shared" si="133"/>
        <v>0.99999999999999989</v>
      </c>
      <c r="AZ90" s="964">
        <f t="shared" si="133"/>
        <v>1</v>
      </c>
      <c r="BA90" s="964">
        <f t="shared" si="133"/>
        <v>1.0000000000000002</v>
      </c>
      <c r="BB90" s="964">
        <f t="shared" si="133"/>
        <v>1.0000000000000002</v>
      </c>
      <c r="BC90" s="964">
        <f t="shared" si="133"/>
        <v>0.99999999999999989</v>
      </c>
      <c r="BD90" s="965">
        <f t="shared" si="133"/>
        <v>1</v>
      </c>
      <c r="BE90" s="966">
        <f t="shared" si="133"/>
        <v>1.0000000000000002</v>
      </c>
      <c r="BF90" s="964">
        <f t="shared" si="133"/>
        <v>1.0000000000000002</v>
      </c>
      <c r="BG90" s="964">
        <f t="shared" si="133"/>
        <v>1.0000000000000002</v>
      </c>
      <c r="BH90" s="964">
        <f t="shared" si="133"/>
        <v>1</v>
      </c>
      <c r="BI90" s="964">
        <f t="shared" si="133"/>
        <v>1</v>
      </c>
      <c r="BJ90" s="964">
        <f t="shared" si="133"/>
        <v>1.0000000000000002</v>
      </c>
      <c r="BK90" s="964">
        <f t="shared" si="133"/>
        <v>0</v>
      </c>
      <c r="BL90" s="964">
        <f t="shared" si="133"/>
        <v>0</v>
      </c>
      <c r="BM90" s="964">
        <f t="shared" si="133"/>
        <v>0</v>
      </c>
      <c r="BN90" s="964">
        <f t="shared" si="133"/>
        <v>0</v>
      </c>
      <c r="BO90" s="964">
        <f t="shared" si="133"/>
        <v>0</v>
      </c>
      <c r="BP90" s="964">
        <f t="shared" si="133"/>
        <v>0</v>
      </c>
      <c r="BQ90" s="965">
        <f t="shared" si="133"/>
        <v>0</v>
      </c>
      <c r="BR90" s="966">
        <f t="shared" si="133"/>
        <v>1</v>
      </c>
      <c r="BS90" s="966">
        <f t="shared" si="133"/>
        <v>1.0000000000000002</v>
      </c>
      <c r="BU90" s="456"/>
      <c r="BV90" s="454"/>
      <c r="BW90" s="454"/>
      <c r="BX90" s="454"/>
    </row>
    <row r="91" spans="2:76" ht="16.5" thickTop="1"/>
  </sheetData>
  <sheetProtection selectLockedCells="1" selectUnlockedCells="1"/>
  <autoFilter ref="A8:CN34" xr:uid="{ECAA4C4D-9AE7-4950-B5E5-659D85A25534}">
    <filterColumn colId="73" showButton="0"/>
    <filterColumn colId="74" showButton="0"/>
    <filterColumn colId="75" showButton="0"/>
    <filterColumn colId="76" showButton="0"/>
    <filterColumn colId="77" showButton="0"/>
    <filterColumn colId="78" showButton="0"/>
  </autoFilter>
  <mergeCells count="30">
    <mergeCell ref="B33:D33"/>
    <mergeCell ref="BV33:CB33"/>
    <mergeCell ref="BV34:CB34"/>
    <mergeCell ref="B63:D63"/>
    <mergeCell ref="B64:D64"/>
    <mergeCell ref="B32:D32"/>
    <mergeCell ref="BV32:CB32"/>
    <mergeCell ref="BV20:CB20"/>
    <mergeCell ref="BV21:CB21"/>
    <mergeCell ref="BV22:CB22"/>
    <mergeCell ref="BV23:CB23"/>
    <mergeCell ref="BV24:CB24"/>
    <mergeCell ref="BV25:CB25"/>
    <mergeCell ref="BV26:CB26"/>
    <mergeCell ref="BV27:CB27"/>
    <mergeCell ref="BV28:CB28"/>
    <mergeCell ref="BV29:CB29"/>
    <mergeCell ref="BV31:CB31"/>
    <mergeCell ref="BV19:CB19"/>
    <mergeCell ref="BV8:CB8"/>
    <mergeCell ref="BV9:CB9"/>
    <mergeCell ref="BV10:CB10"/>
    <mergeCell ref="BV11:CB11"/>
    <mergeCell ref="BV12:CB12"/>
    <mergeCell ref="BV13:CB13"/>
    <mergeCell ref="BV14:CB14"/>
    <mergeCell ref="BV15:CB15"/>
    <mergeCell ref="BV16:CB16"/>
    <mergeCell ref="BV17:CB17"/>
    <mergeCell ref="BV18:CB18"/>
  </mergeCell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iconSet" priority="1" id="{CBA7021C-E370-4DD1-8958-519F950B49E8}">
            <x14:iconSet custom="1">
              <x14:cfvo type="percent">
                <xm:f>0</xm:f>
              </x14:cfvo>
              <x14:cfvo type="num">
                <xm:f>0</xm:f>
              </x14:cfvo>
              <x14:cfvo type="num" gte="0">
                <xm:f>0</xm:f>
              </x14:cfvo>
              <x14:cfIcon iconSet="3TrafficLights1" iconId="2"/>
              <x14:cfIcon iconSet="NoIcons" iconId="0"/>
              <x14:cfIcon iconSet="3TrafficLights1" iconId="0"/>
            </x14:iconSet>
          </x14:cfRule>
          <xm:sqref>AR40</xm:sqref>
        </x14:conditionalFormatting>
        <x14:conditionalFormatting xmlns:xm="http://schemas.microsoft.com/office/excel/2006/main">
          <x14:cfRule type="iconSet" priority="3" id="{7673105C-68D5-42B1-A479-73998B170A71}">
            <x14:iconSet custom="1">
              <x14:cfvo type="percent">
                <xm:f>0</xm:f>
              </x14:cfvo>
              <x14:cfvo type="num">
                <xm:f>0</xm:f>
              </x14:cfvo>
              <x14:cfvo type="num" gte="0">
                <xm:f>0</xm:f>
              </x14:cfvo>
              <x14:cfIcon iconSet="3TrafficLights1" iconId="2"/>
              <x14:cfIcon iconSet="NoIcons" iconId="0"/>
              <x14:cfIcon iconSet="3TrafficLights1" iconId="0"/>
            </x14:iconSet>
          </x14:cfRule>
          <xm:sqref>AR41:AR51</xm:sqref>
        </x14:conditionalFormatting>
        <x14:conditionalFormatting xmlns:xm="http://schemas.microsoft.com/office/excel/2006/main">
          <x14:cfRule type="iconSet" priority="4" id="{A817DB0B-7FA7-46B5-B8C4-15977FA2F812}">
            <x14:iconSet custom="1">
              <x14:cfvo type="percent">
                <xm:f>0</xm:f>
              </x14:cfvo>
              <x14:cfvo type="num">
                <xm:f>0</xm:f>
              </x14:cfvo>
              <x14:cfvo type="num" gte="0">
                <xm:f>0</xm:f>
              </x14:cfvo>
              <x14:cfIcon iconSet="3TrafficLights1" iconId="2"/>
              <x14:cfIcon iconSet="NoIcons" iconId="0"/>
              <x14:cfIcon iconSet="3TrafficLights1" iconId="0"/>
            </x14:iconSet>
          </x14:cfRule>
          <xm:sqref>AR52:AR59</xm:sqref>
        </x14:conditionalFormatting>
        <x14:conditionalFormatting xmlns:xm="http://schemas.microsoft.com/office/excel/2006/main">
          <x14:cfRule type="iconSet" priority="5" id="{B89818D6-EAF4-41E6-B905-9641B837D626}">
            <x14:iconSet custom="1">
              <x14:cfvo type="percent">
                <xm:f>0</xm:f>
              </x14:cfvo>
              <x14:cfvo type="num">
                <xm:f>0</xm:f>
              </x14:cfvo>
              <x14:cfvo type="num" gte="0">
                <xm:f>0</xm:f>
              </x14:cfvo>
              <x14:cfIcon iconSet="3TrafficLights1" iconId="0"/>
              <x14:cfIcon iconSet="NoIcons" iconId="0"/>
              <x14:cfIcon iconSet="3TrafficLights1" iconId="2"/>
            </x14:iconSet>
          </x14:cfRule>
          <xm:sqref>AR62</xm:sqref>
        </x14:conditionalFormatting>
        <x14:conditionalFormatting xmlns:xm="http://schemas.microsoft.com/office/excel/2006/main">
          <x14:cfRule type="iconSet" priority="2" id="{4511B671-164C-43F1-AF58-D2C693AB9E86}">
            <x14:iconSet custom="1">
              <x14:cfvo type="percent">
                <xm:f>0</xm:f>
              </x14:cfvo>
              <x14:cfvo type="num">
                <xm:f>0</xm:f>
              </x14:cfvo>
              <x14:cfvo type="num" gte="0">
                <xm:f>0</xm:f>
              </x14:cfvo>
              <x14:cfIcon iconSet="3TrafficLights1" iconId="2"/>
              <x14:cfIcon iconSet="NoIcons" iconId="0"/>
              <x14:cfIcon iconSet="3TrafficLights1" iconId="0"/>
            </x14:iconSet>
          </x14:cfRule>
          <xm:sqref>AR63:AR64</xm:sqref>
        </x14:conditionalFormatting>
        <x14:conditionalFormatting xmlns:xm="http://schemas.microsoft.com/office/excel/2006/main">
          <x14:cfRule type="iconSet" priority="7" id="{73A92EC0-526C-457D-8A60-DB046F4B8717}">
            <x14:iconSet custom="1">
              <x14:cfvo type="percent">
                <xm:f>0</xm:f>
              </x14:cfvo>
              <x14:cfvo type="num">
                <xm:f>0</xm:f>
              </x14:cfvo>
              <x14:cfvo type="num" gte="0">
                <xm:f>0</xm:f>
              </x14:cfvo>
              <x14:cfIcon iconSet="3TrafficLights1" iconId="2"/>
              <x14:cfIcon iconSet="NoIcons" iconId="0"/>
              <x14:cfIcon iconSet="3TrafficLights1" iconId="0"/>
            </x14:iconSet>
          </x14:cfRule>
          <xm:sqref>BS40</xm:sqref>
        </x14:conditionalFormatting>
        <x14:conditionalFormatting xmlns:xm="http://schemas.microsoft.com/office/excel/2006/main">
          <x14:cfRule type="iconSet" priority="9" id="{540DAF7C-700F-491A-B7BA-428E93A81763}">
            <x14:iconSet custom="1">
              <x14:cfvo type="percent">
                <xm:f>0</xm:f>
              </x14:cfvo>
              <x14:cfvo type="num">
                <xm:f>0</xm:f>
              </x14:cfvo>
              <x14:cfvo type="num" gte="0">
                <xm:f>0</xm:f>
              </x14:cfvo>
              <x14:cfIcon iconSet="3TrafficLights1" iconId="2"/>
              <x14:cfIcon iconSet="NoIcons" iconId="0"/>
              <x14:cfIcon iconSet="3TrafficLights1" iconId="0"/>
            </x14:iconSet>
          </x14:cfRule>
          <xm:sqref>BS41:BS51</xm:sqref>
        </x14:conditionalFormatting>
        <x14:conditionalFormatting xmlns:xm="http://schemas.microsoft.com/office/excel/2006/main">
          <x14:cfRule type="iconSet" priority="10" id="{55937E0D-8B7E-4DB4-A354-773CE86D1DE6}">
            <x14:iconSet custom="1">
              <x14:cfvo type="percent">
                <xm:f>0</xm:f>
              </x14:cfvo>
              <x14:cfvo type="num">
                <xm:f>0</xm:f>
              </x14:cfvo>
              <x14:cfvo type="num" gte="0">
                <xm:f>0</xm:f>
              </x14:cfvo>
              <x14:cfIcon iconSet="3TrafficLights1" iconId="2"/>
              <x14:cfIcon iconSet="NoIcons" iconId="0"/>
              <x14:cfIcon iconSet="3TrafficLights1" iconId="0"/>
            </x14:iconSet>
          </x14:cfRule>
          <xm:sqref>BS52:BS59</xm:sqref>
        </x14:conditionalFormatting>
        <x14:conditionalFormatting xmlns:xm="http://schemas.microsoft.com/office/excel/2006/main">
          <x14:cfRule type="iconSet" priority="13" id="{A722E9E6-7A67-4F9F-AF6C-13EF3534A9C2}">
            <x14:iconSet custom="1">
              <x14:cfvo type="percent">
                <xm:f>0</xm:f>
              </x14:cfvo>
              <x14:cfvo type="num">
                <xm:f>0</xm:f>
              </x14:cfvo>
              <x14:cfvo type="num" gte="0">
                <xm:f>0</xm:f>
              </x14:cfvo>
              <x14:cfIcon iconSet="3TrafficLights1" iconId="0"/>
              <x14:cfIcon iconSet="NoIcons" iconId="0"/>
              <x14:cfIcon iconSet="3TrafficLights1" iconId="2"/>
            </x14:iconSet>
          </x14:cfRule>
          <xm:sqref>BS62</xm:sqref>
        </x14:conditionalFormatting>
        <x14:conditionalFormatting xmlns:xm="http://schemas.microsoft.com/office/excel/2006/main">
          <x14:cfRule type="iconSet" priority="8" id="{D158D1C0-4F7E-47EC-A78E-B9338A73C554}">
            <x14:iconSet custom="1">
              <x14:cfvo type="percent">
                <xm:f>0</xm:f>
              </x14:cfvo>
              <x14:cfvo type="num">
                <xm:f>0</xm:f>
              </x14:cfvo>
              <x14:cfvo type="num" gte="0">
                <xm:f>0</xm:f>
              </x14:cfvo>
              <x14:cfIcon iconSet="3TrafficLights1" iconId="2"/>
              <x14:cfIcon iconSet="NoIcons" iconId="0"/>
              <x14:cfIcon iconSet="3TrafficLights1" iconId="0"/>
            </x14:iconSet>
          </x14:cfRule>
          <xm:sqref>BS63:BS64</xm:sqref>
        </x14:conditionalFormatting>
        <x14:conditionalFormatting xmlns:xm="http://schemas.microsoft.com/office/excel/2006/main">
          <x14:cfRule type="iconSet" priority="14" id="{5589B9AB-C30C-4B34-9FA9-DC8718C4714F}">
            <x14:iconSet iconSet="3Signs" custom="1">
              <x14:cfvo type="percent">
                <xm:f>0</xm:f>
              </x14:cfvo>
              <x14:cfvo type="num">
                <xm:f>0</xm:f>
              </x14:cfvo>
              <x14:cfvo type="num" gte="0">
                <xm:f>0</xm:f>
              </x14:cfvo>
              <x14:cfIcon iconSet="3TrafficLights1" iconId="2"/>
              <x14:cfIcon iconSet="NoIcons" iconId="0"/>
              <x14:cfIcon iconSet="3TrafficLights1" iconId="0"/>
            </x14:iconSet>
          </x14:cfRule>
          <xm:sqref>BT9:BT30</xm:sqref>
        </x14:conditionalFormatting>
        <x14:conditionalFormatting xmlns:xm="http://schemas.microsoft.com/office/excel/2006/main">
          <x14:cfRule type="iconSet" priority="12" id="{5877D465-00DC-46CC-8A95-D0B946E51D9F}">
            <x14:iconSet custom="1">
              <x14:cfvo type="percent">
                <xm:f>0</xm:f>
              </x14:cfvo>
              <x14:cfvo type="num">
                <xm:f>0</xm:f>
              </x14:cfvo>
              <x14:cfvo type="num" gte="0">
                <xm:f>0</xm:f>
              </x14:cfvo>
              <x14:cfIcon iconSet="3TrafficLights1" iconId="2"/>
              <x14:cfIcon iconSet="NoIcons" iconId="0"/>
              <x14:cfIcon iconSet="3TrafficLights1" iconId="0"/>
            </x14:iconSet>
          </x14:cfRule>
          <xm:sqref>BV40:BV61 BV63:BV64</xm:sqref>
        </x14:conditionalFormatting>
        <x14:conditionalFormatting xmlns:xm="http://schemas.microsoft.com/office/excel/2006/main">
          <x14:cfRule type="iconSet" priority="6" id="{0A22082B-859A-429A-829B-51158F9919A1}">
            <x14:iconSet custom="1">
              <x14:cfvo type="percent">
                <xm:f>0</xm:f>
              </x14:cfvo>
              <x14:cfvo type="num">
                <xm:f>0</xm:f>
              </x14:cfvo>
              <x14:cfvo type="num" gte="0">
                <xm:f>0</xm:f>
              </x14:cfvo>
              <x14:cfIcon iconSet="3TrafficLights1" iconId="0"/>
              <x14:cfIcon iconSet="NoIcons" iconId="0"/>
              <x14:cfIcon iconSet="3TrafficLights1" iconId="2"/>
            </x14:iconSet>
          </x14:cfRule>
          <xm:sqref>BV62</xm:sqref>
        </x14:conditionalFormatting>
        <x14:conditionalFormatting xmlns:xm="http://schemas.microsoft.com/office/excel/2006/main">
          <x14:cfRule type="iconSet" priority="11" id="{1041DE13-6C25-4AE1-9DBF-A5F4B9B3D510}">
            <x14:iconSet custom="1">
              <x14:cfvo type="percent">
                <xm:f>0</xm:f>
              </x14:cfvo>
              <x14:cfvo type="num">
                <xm:f>0</xm:f>
              </x14:cfvo>
              <x14:cfvo type="num" gte="0">
                <xm:f>0</xm:f>
              </x14:cfvo>
              <x14:cfIcon iconSet="3TrafficLights1" iconId="2"/>
              <x14:cfIcon iconSet="NoIcons" iconId="0"/>
              <x14:cfIcon iconSet="3TrafficLights1" iconId="0"/>
            </x14:iconSet>
          </x14:cfRule>
          <xm:sqref>CA40:CB64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1EE19-4646-4674-AFEB-E57E799227E9}">
  <dimension ref="A1:BX80"/>
  <sheetViews>
    <sheetView zoomScale="85" zoomScaleNormal="85" workbookViewId="0">
      <pane xSplit="4" ySplit="4" topLeftCell="AT14" activePane="bottomRight" state="frozen"/>
      <selection activeCell="BE19" sqref="BE19"/>
      <selection pane="topRight" activeCell="BE19" sqref="BE19"/>
      <selection pane="bottomLeft" activeCell="BE19" sqref="BE19"/>
      <selection pane="bottomRight" activeCell="BE19" sqref="BE19"/>
    </sheetView>
  </sheetViews>
  <sheetFormatPr defaultRowHeight="14.5" outlineLevelCol="2"/>
  <cols>
    <col min="1" max="1" width="3.54296875" bestFit="1" customWidth="1"/>
    <col min="2" max="2" width="4.453125" customWidth="1"/>
    <col min="3" max="3" width="10.453125" customWidth="1"/>
    <col min="4" max="4" width="23.54296875" bestFit="1" customWidth="1"/>
    <col min="5" max="5" width="10.453125" hidden="1" customWidth="1" outlineLevel="2" collapsed="1"/>
    <col min="6" max="10" width="10.453125" hidden="1" customWidth="1" outlineLevel="2"/>
    <col min="11" max="16" width="9.453125" hidden="1" customWidth="1" outlineLevel="2"/>
    <col min="17" max="17" width="9.453125" customWidth="1" collapsed="1"/>
    <col min="18" max="18" width="9.6328125" hidden="1" customWidth="1" outlineLevel="1"/>
    <col min="19" max="19" width="8.54296875" hidden="1" customWidth="1" outlineLevel="1"/>
    <col min="20" max="22" width="9.6328125" hidden="1" customWidth="1" outlineLevel="1"/>
    <col min="23" max="26" width="8.54296875" hidden="1" customWidth="1" outlineLevel="1"/>
    <col min="27" max="29" width="9.6328125" hidden="1" customWidth="1" outlineLevel="1"/>
    <col min="30" max="30" width="11.54296875" hidden="1" customWidth="1" outlineLevel="1"/>
    <col min="31" max="31" width="9.6328125" bestFit="1" customWidth="1" collapsed="1"/>
    <col min="32" max="33" width="8.54296875" hidden="1" customWidth="1" outlineLevel="1"/>
    <col min="34" max="34" width="9.453125" hidden="1" customWidth="1" outlineLevel="1"/>
    <col min="35" max="42" width="10.54296875" hidden="1" customWidth="1" outlineLevel="1"/>
    <col min="43" max="43" width="11" hidden="1" customWidth="1" outlineLevel="1"/>
    <col min="44" max="44" width="11" customWidth="1" collapsed="1"/>
    <col min="45" max="46" width="8.54296875" bestFit="1" customWidth="1"/>
    <col min="47" max="47" width="9.453125" customWidth="1"/>
    <col min="48" max="55" width="10.54296875" customWidth="1"/>
    <col min="56" max="57" width="11" customWidth="1"/>
    <col min="58" max="58" width="10.54296875" bestFit="1" customWidth="1"/>
    <col min="59" max="59" width="2.453125" customWidth="1"/>
    <col min="60" max="67" width="10.453125" customWidth="1"/>
    <col min="68" max="71" width="11.453125" customWidth="1"/>
    <col min="72" max="72" width="12.54296875" customWidth="1"/>
    <col min="73" max="73" width="10.6328125" bestFit="1" customWidth="1"/>
    <col min="74" max="74" width="9.453125" bestFit="1" customWidth="1"/>
  </cols>
  <sheetData>
    <row r="1" spans="1:74">
      <c r="AQ1" s="428"/>
      <c r="AR1" s="428"/>
      <c r="BD1" s="428"/>
      <c r="BE1" s="428"/>
      <c r="BU1" s="981"/>
    </row>
    <row r="2" spans="1:74">
      <c r="E2" s="315">
        <v>1</v>
      </c>
      <c r="F2" s="315">
        <v>2</v>
      </c>
      <c r="G2" s="315">
        <v>3</v>
      </c>
      <c r="H2" s="315">
        <v>4</v>
      </c>
      <c r="I2" s="315">
        <v>5</v>
      </c>
      <c r="J2" s="315">
        <v>6</v>
      </c>
      <c r="K2" s="315">
        <v>7</v>
      </c>
      <c r="L2" s="315">
        <v>8</v>
      </c>
      <c r="M2" s="315">
        <v>9</v>
      </c>
      <c r="N2" s="315">
        <v>10</v>
      </c>
      <c r="O2" s="315">
        <v>11</v>
      </c>
      <c r="P2" s="315">
        <v>12</v>
      </c>
      <c r="R2" s="315">
        <v>1</v>
      </c>
      <c r="S2" s="315">
        <v>2</v>
      </c>
      <c r="T2" s="315">
        <v>3</v>
      </c>
      <c r="U2" s="315">
        <v>4</v>
      </c>
      <c r="V2" s="315">
        <v>5</v>
      </c>
      <c r="W2" s="315">
        <v>6</v>
      </c>
      <c r="X2" s="315">
        <v>7</v>
      </c>
      <c r="Y2" s="315">
        <v>8</v>
      </c>
      <c r="Z2" s="315">
        <v>9</v>
      </c>
      <c r="AA2" s="315">
        <v>10</v>
      </c>
      <c r="AB2" s="315">
        <v>11</v>
      </c>
      <c r="AC2" s="315">
        <v>12</v>
      </c>
      <c r="AF2" s="315">
        <v>1</v>
      </c>
      <c r="AG2" s="315">
        <v>2</v>
      </c>
      <c r="AH2" s="315">
        <v>3</v>
      </c>
      <c r="AI2" s="315">
        <v>4</v>
      </c>
      <c r="AJ2" s="315">
        <v>5</v>
      </c>
      <c r="AK2" s="315">
        <v>6</v>
      </c>
      <c r="AL2" s="315">
        <v>7</v>
      </c>
      <c r="AM2" s="315">
        <v>8</v>
      </c>
      <c r="AN2" s="315">
        <v>9</v>
      </c>
      <c r="AO2" s="315">
        <v>10</v>
      </c>
      <c r="AP2" s="315">
        <v>11</v>
      </c>
      <c r="AQ2" s="315">
        <v>12</v>
      </c>
      <c r="AR2" s="315"/>
      <c r="AS2" s="315">
        <v>1</v>
      </c>
      <c r="AT2" s="315">
        <v>2</v>
      </c>
      <c r="AU2" s="315">
        <v>3</v>
      </c>
      <c r="AV2" s="315">
        <v>4</v>
      </c>
      <c r="AW2" s="315">
        <v>5</v>
      </c>
      <c r="AX2" s="315">
        <v>6</v>
      </c>
      <c r="AY2" s="315">
        <v>7</v>
      </c>
      <c r="AZ2" s="315">
        <v>8</v>
      </c>
      <c r="BA2" s="315">
        <v>9</v>
      </c>
      <c r="BB2" s="315">
        <v>10</v>
      </c>
      <c r="BC2" s="315">
        <v>11</v>
      </c>
      <c r="BD2" s="315">
        <v>12</v>
      </c>
      <c r="BE2" s="315"/>
      <c r="BF2" s="1109"/>
      <c r="BH2" s="315">
        <v>1</v>
      </c>
      <c r="BI2" s="315">
        <v>2</v>
      </c>
      <c r="BJ2" s="315">
        <v>3</v>
      </c>
      <c r="BK2" s="315">
        <v>4</v>
      </c>
      <c r="BL2" s="315">
        <v>5</v>
      </c>
      <c r="BM2" s="315">
        <v>6</v>
      </c>
      <c r="BN2" s="315">
        <v>7</v>
      </c>
      <c r="BO2" s="315">
        <v>8</v>
      </c>
      <c r="BP2" s="315">
        <v>9</v>
      </c>
      <c r="BQ2" s="315">
        <v>10</v>
      </c>
      <c r="BR2" s="315">
        <v>11</v>
      </c>
      <c r="BS2" s="315">
        <v>12</v>
      </c>
    </row>
    <row r="3" spans="1:74">
      <c r="D3">
        <v>1</v>
      </c>
      <c r="E3">
        <v>2</v>
      </c>
      <c r="F3">
        <v>3</v>
      </c>
      <c r="G3">
        <v>4</v>
      </c>
      <c r="H3">
        <v>5</v>
      </c>
      <c r="I3">
        <v>6</v>
      </c>
      <c r="J3">
        <v>7</v>
      </c>
      <c r="K3">
        <v>8</v>
      </c>
      <c r="L3">
        <v>9</v>
      </c>
      <c r="M3">
        <v>10</v>
      </c>
      <c r="N3">
        <v>11</v>
      </c>
      <c r="O3">
        <v>12</v>
      </c>
      <c r="P3">
        <v>13</v>
      </c>
      <c r="Q3">
        <v>14</v>
      </c>
      <c r="R3">
        <v>15</v>
      </c>
      <c r="S3">
        <v>16</v>
      </c>
      <c r="T3">
        <v>17</v>
      </c>
      <c r="U3">
        <v>18</v>
      </c>
      <c r="V3">
        <v>19</v>
      </c>
      <c r="W3">
        <v>20</v>
      </c>
      <c r="X3">
        <v>21</v>
      </c>
      <c r="Y3">
        <v>22</v>
      </c>
      <c r="Z3">
        <v>23</v>
      </c>
      <c r="AA3">
        <v>24</v>
      </c>
      <c r="AB3">
        <v>25</v>
      </c>
      <c r="AC3">
        <v>26</v>
      </c>
      <c r="AD3">
        <v>27</v>
      </c>
      <c r="AE3">
        <v>28</v>
      </c>
      <c r="AF3">
        <v>29</v>
      </c>
      <c r="AS3">
        <v>29</v>
      </c>
      <c r="BH3">
        <v>32</v>
      </c>
      <c r="BI3">
        <v>33</v>
      </c>
      <c r="BJ3">
        <v>34</v>
      </c>
      <c r="BK3">
        <v>35</v>
      </c>
      <c r="BL3">
        <v>36</v>
      </c>
      <c r="BM3">
        <v>37</v>
      </c>
      <c r="BN3">
        <v>38</v>
      </c>
      <c r="BO3">
        <v>39</v>
      </c>
      <c r="BP3">
        <v>40</v>
      </c>
      <c r="BQ3">
        <v>41</v>
      </c>
      <c r="BR3">
        <v>42</v>
      </c>
      <c r="BS3">
        <v>43</v>
      </c>
      <c r="BT3">
        <v>44</v>
      </c>
    </row>
    <row r="4" spans="1:74" s="415" customFormat="1" ht="26">
      <c r="A4" s="315">
        <v>1</v>
      </c>
      <c r="B4" s="410" t="s">
        <v>0</v>
      </c>
      <c r="C4" s="410" t="s">
        <v>505</v>
      </c>
      <c r="D4" s="410" t="s">
        <v>534</v>
      </c>
      <c r="E4" s="411" t="s">
        <v>550</v>
      </c>
      <c r="F4" s="411" t="s">
        <v>551</v>
      </c>
      <c r="G4" s="411" t="s">
        <v>552</v>
      </c>
      <c r="H4" s="411" t="s">
        <v>553</v>
      </c>
      <c r="I4" s="411" t="s">
        <v>554</v>
      </c>
      <c r="J4" s="411" t="s">
        <v>555</v>
      </c>
      <c r="K4" s="411" t="s">
        <v>556</v>
      </c>
      <c r="L4" s="411" t="s">
        <v>557</v>
      </c>
      <c r="M4" s="411" t="s">
        <v>558</v>
      </c>
      <c r="N4" s="411" t="s">
        <v>559</v>
      </c>
      <c r="O4" s="411" t="s">
        <v>560</v>
      </c>
      <c r="P4" s="411" t="s">
        <v>561</v>
      </c>
      <c r="Q4" s="411" t="s">
        <v>483</v>
      </c>
      <c r="R4" s="411" t="s">
        <v>506</v>
      </c>
      <c r="S4" s="411" t="s">
        <v>507</v>
      </c>
      <c r="T4" s="411" t="s">
        <v>508</v>
      </c>
      <c r="U4" s="411" t="s">
        <v>509</v>
      </c>
      <c r="V4" s="411" t="s">
        <v>510</v>
      </c>
      <c r="W4" s="411" t="s">
        <v>511</v>
      </c>
      <c r="X4" s="411" t="s">
        <v>512</v>
      </c>
      <c r="Y4" s="411" t="s">
        <v>513</v>
      </c>
      <c r="Z4" s="411" t="s">
        <v>514</v>
      </c>
      <c r="AA4" s="411" t="s">
        <v>515</v>
      </c>
      <c r="AB4" s="411" t="s">
        <v>516</v>
      </c>
      <c r="AC4" s="411" t="s">
        <v>517</v>
      </c>
      <c r="AD4" s="412" t="str">
        <f>'48 KMP -Tháng'!AF2</f>
        <v>Lũy kế TT 2024</v>
      </c>
      <c r="AE4" s="795" t="s">
        <v>482</v>
      </c>
      <c r="AF4" s="796" t="s">
        <v>721</v>
      </c>
      <c r="AG4" s="796" t="s">
        <v>722</v>
      </c>
      <c r="AH4" s="796" t="s">
        <v>723</v>
      </c>
      <c r="AI4" s="796" t="s">
        <v>724</v>
      </c>
      <c r="AJ4" s="796" t="s">
        <v>725</v>
      </c>
      <c r="AK4" s="796" t="s">
        <v>726</v>
      </c>
      <c r="AL4" s="796" t="s">
        <v>727</v>
      </c>
      <c r="AM4" s="796" t="s">
        <v>728</v>
      </c>
      <c r="AN4" s="796" t="s">
        <v>729</v>
      </c>
      <c r="AO4" s="796" t="s">
        <v>730</v>
      </c>
      <c r="AP4" s="796" t="s">
        <v>731</v>
      </c>
      <c r="AQ4" s="796" t="s">
        <v>732</v>
      </c>
      <c r="AR4" s="796" t="s">
        <v>741</v>
      </c>
      <c r="AS4" s="796" t="s">
        <v>1008</v>
      </c>
      <c r="AT4" s="796" t="s">
        <v>1009</v>
      </c>
      <c r="AU4" s="796" t="s">
        <v>1010</v>
      </c>
      <c r="AV4" s="796" t="s">
        <v>1011</v>
      </c>
      <c r="AW4" s="796" t="s">
        <v>1012</v>
      </c>
      <c r="AX4" s="796" t="s">
        <v>1013</v>
      </c>
      <c r="AY4" s="796" t="s">
        <v>1014</v>
      </c>
      <c r="AZ4" s="796" t="s">
        <v>1015</v>
      </c>
      <c r="BA4" s="796" t="s">
        <v>1016</v>
      </c>
      <c r="BB4" s="796" t="s">
        <v>1017</v>
      </c>
      <c r="BC4" s="796" t="s">
        <v>1018</v>
      </c>
      <c r="BD4" s="796" t="s">
        <v>1019</v>
      </c>
      <c r="BE4" s="796" t="s">
        <v>1030</v>
      </c>
      <c r="BF4" s="412" t="str">
        <f>'48 KMP -Tháng'!BI2</f>
        <v>KH T5.2026</v>
      </c>
      <c r="BG4" s="413"/>
      <c r="BH4" s="414" t="s">
        <v>1031</v>
      </c>
      <c r="BI4" s="414" t="s">
        <v>1032</v>
      </c>
      <c r="BJ4" s="414" t="s">
        <v>1033</v>
      </c>
      <c r="BK4" s="414" t="s">
        <v>1034</v>
      </c>
      <c r="BL4" s="414" t="s">
        <v>1035</v>
      </c>
      <c r="BM4" s="414" t="s">
        <v>1036</v>
      </c>
      <c r="BN4" s="414" t="s">
        <v>1037</v>
      </c>
      <c r="BO4" s="414" t="s">
        <v>1038</v>
      </c>
      <c r="BP4" s="414" t="s">
        <v>1039</v>
      </c>
      <c r="BQ4" s="414" t="s">
        <v>1040</v>
      </c>
      <c r="BR4" s="414" t="s">
        <v>1041</v>
      </c>
      <c r="BS4" s="414" t="s">
        <v>1042</v>
      </c>
      <c r="BT4" s="414" t="s">
        <v>1043</v>
      </c>
    </row>
    <row r="5" spans="1:74" s="33" customFormat="1">
      <c r="A5" s="315">
        <v>2</v>
      </c>
      <c r="B5" s="416" t="s">
        <v>520</v>
      </c>
      <c r="C5" s="417" t="s">
        <v>521</v>
      </c>
      <c r="D5" s="417"/>
      <c r="E5" s="418"/>
      <c r="F5" s="418"/>
      <c r="G5" s="418"/>
      <c r="H5" s="418"/>
      <c r="I5" s="418"/>
      <c r="J5" s="418"/>
      <c r="K5" s="418"/>
      <c r="L5" s="418"/>
      <c r="M5" s="418"/>
      <c r="N5" s="418"/>
      <c r="O5" s="418"/>
      <c r="P5" s="418"/>
      <c r="Q5" s="418"/>
      <c r="R5" s="418"/>
      <c r="S5" s="418"/>
      <c r="T5" s="418"/>
      <c r="U5" s="418"/>
      <c r="V5" s="418"/>
      <c r="W5" s="418"/>
      <c r="X5" s="418"/>
      <c r="Y5" s="418"/>
      <c r="Z5" s="418"/>
      <c r="AA5" s="418"/>
      <c r="AB5" s="418"/>
      <c r="AC5" s="418"/>
      <c r="AD5" s="419"/>
      <c r="AE5" s="419"/>
      <c r="AF5" s="419"/>
      <c r="AG5" s="419"/>
      <c r="AH5" s="419"/>
      <c r="AI5" s="419"/>
      <c r="AJ5" s="419"/>
      <c r="AK5" s="419"/>
      <c r="AL5" s="419"/>
      <c r="AM5" s="419"/>
      <c r="AN5" s="419"/>
      <c r="AO5" s="419"/>
      <c r="AP5" s="419"/>
      <c r="AQ5" s="419"/>
      <c r="AR5" s="419"/>
      <c r="AS5" s="419"/>
      <c r="AT5" s="419"/>
      <c r="AU5" s="419"/>
      <c r="AV5" s="419"/>
      <c r="AW5" s="419"/>
      <c r="AX5" s="419"/>
      <c r="AY5" s="419"/>
      <c r="AZ5" s="419"/>
      <c r="BA5" s="419"/>
      <c r="BB5" s="419"/>
      <c r="BC5" s="419"/>
      <c r="BD5" s="419"/>
      <c r="BE5" s="419"/>
      <c r="BF5" s="419"/>
      <c r="BG5" s="420"/>
      <c r="BH5" s="421"/>
      <c r="BI5" s="421"/>
      <c r="BJ5" s="421"/>
      <c r="BK5" s="421"/>
      <c r="BL5" s="421"/>
      <c r="BM5" s="421"/>
      <c r="BN5" s="421"/>
      <c r="BO5" s="421"/>
      <c r="BP5" s="421"/>
      <c r="BQ5" s="421"/>
      <c r="BR5" s="421"/>
      <c r="BS5" s="421"/>
      <c r="BT5" s="421"/>
    </row>
    <row r="6" spans="1:74">
      <c r="A6" s="315">
        <v>3</v>
      </c>
      <c r="B6" s="422">
        <v>1</v>
      </c>
      <c r="C6" s="422" t="s">
        <v>425</v>
      </c>
      <c r="D6" s="422" t="s">
        <v>923</v>
      </c>
      <c r="E6" s="423">
        <f>SUMIFS('48 KMP -Tháng'!$F$2:$F$53,'48 KMP -Tháng'!$C$2:$C$53,'18 KMP- Tháng'!D6)</f>
        <v>19184.787461375003</v>
      </c>
      <c r="F6" s="423">
        <f>SUMIFS('48 KMP -Tháng'!$G$2:$G$53,'48 KMP -Tháng'!$C$2:$C$53,'18 KMP- Tháng'!D6)</f>
        <v>29413.012996578</v>
      </c>
      <c r="G6" s="424">
        <f>SUMIFS('48 KMP -Tháng'!$H$2:$H$53,'48 KMP -Tháng'!$C$2:$C$53,'18 KMP- Tháng'!D6)</f>
        <v>36905.746250334996</v>
      </c>
      <c r="H6" s="423">
        <f>SUMIFS('48 KMP -Tháng'!$I$2:$I$53,'48 KMP -Tháng'!$C$2:$C$53,'18 KMP- Tháng'!D6)</f>
        <v>31466.940888199999</v>
      </c>
      <c r="I6" s="423">
        <f>SUMIFS('48 KMP -Tháng'!$J$2:$J$53,'48 KMP -Tháng'!$C$2:$C$53,'18 KMP- Tháng'!D6)</f>
        <v>39521.728139389001</v>
      </c>
      <c r="J6" s="423">
        <f>SUMIFS('48 KMP -Tháng'!$K$2:$K$53,'48 KMP -Tháng'!$C$2:$C$53,'18 KMP- Tháng'!D6)</f>
        <v>33022.700401999995</v>
      </c>
      <c r="K6" s="423">
        <f>SUMIFS('48 KMP -Tháng'!$L$2:$L$53,'48 KMP -Tháng'!$C$2:$C$53,'18 KMP- Tháng'!D6)</f>
        <v>40067.114833499996</v>
      </c>
      <c r="L6" s="423">
        <f>SUMIFS('48 KMP -Tháng'!$M$2:$M$53,'48 KMP -Tháng'!$C$2:$C$53,'18 KMP- Tháng'!D6)</f>
        <v>41710.886442499999</v>
      </c>
      <c r="M6" s="423">
        <f>SUMIFS('48 KMP -Tháng'!$N$2:$N$53,'48 KMP -Tháng'!$C$2:$C$53,'18 KMP- Tháng'!D6)</f>
        <v>36846.996591559997</v>
      </c>
      <c r="N6" s="423">
        <f>SUMIFS('48 KMP -Tháng'!$O$2:$O$53,'48 KMP -Tháng'!$C$2:$C$53,'18 KMP- Tháng'!$D6)</f>
        <v>42104.203841000002</v>
      </c>
      <c r="O6" s="423">
        <f>SUMIFS('48 KMP -Tháng'!$P$2:$P$53,'48 KMP -Tháng'!$C$2:$C$53,'18 KMP- Tháng'!$D6)</f>
        <v>31330.078206999995</v>
      </c>
      <c r="P6" s="423">
        <f>SUMIFS('48 KMP -Tháng'!$Q$2:$Q$53,'48 KMP -Tháng'!$C$2:$C$53,'18 KMP- Tháng'!$D6)</f>
        <v>71767.130885999999</v>
      </c>
      <c r="Q6" s="424">
        <f>AVERAGE(E6:P6)</f>
        <v>37778.443911619746</v>
      </c>
      <c r="R6" s="423">
        <f>SUMIFS('48 KMP -Tháng'!$S$2:$S$53,'48 KMP -Tháng'!$C$2:$C$53,'18 KMP- Tháng'!$D6)</f>
        <v>82388.013511614045</v>
      </c>
      <c r="S6" s="423">
        <f>SUMIFS('48 KMP -Tháng'!T$2:T$53,'48 KMP -Tháng'!$C$2:$C$53,'18 KMP- Tháng'!$D6)</f>
        <v>54679.33930764308</v>
      </c>
      <c r="T6" s="423">
        <f>SUMIFS('48 KMP -Tháng'!U$2:U$53,'48 KMP -Tháng'!$C$2:$C$53,'18 KMP- Tháng'!$D6)</f>
        <v>92225.012386978167</v>
      </c>
      <c r="U6" s="423">
        <f>SUMIFS('48 KMP -Tháng'!V$2:V$53,'48 KMP -Tháng'!$C$2:$C$53,'18 KMP- Tháng'!$D6)</f>
        <v>84805.10524012665</v>
      </c>
      <c r="V6" s="423">
        <f>SUMIFS('48 KMP -Tháng'!W$2:W$53,'48 KMP -Tháng'!$C$2:$C$53,'18 KMP- Tháng'!$D6)</f>
        <v>86012.811292874307</v>
      </c>
      <c r="W6" s="423">
        <f>SUMIFS('48 KMP -Tháng'!X$2:X$53,'48 KMP -Tháng'!$C$2:$C$53,'18 KMP- Tháng'!$D6)</f>
        <v>63429.137098188141</v>
      </c>
      <c r="X6" s="423">
        <f>SUMIFS('48 KMP -Tháng'!Y$2:Y$53,'48 KMP -Tháng'!$C$2:$C$53,'18 KMP- Tháng'!$D6)</f>
        <v>34124.938092043485</v>
      </c>
      <c r="Y6" s="423">
        <f>SUMIFS('48 KMP -Tháng'!Z$2:Z$53,'48 KMP -Tháng'!$C$2:$C$53,'18 KMP- Tháng'!$D6)</f>
        <v>39820.045517334758</v>
      </c>
      <c r="Z6" s="423">
        <f>SUMIFS('48 KMP -Tháng'!AA$2:AA$53,'48 KMP -Tháng'!$C$2:$C$53,'18 KMP- Tháng'!$D6)</f>
        <v>53180.748441125281</v>
      </c>
      <c r="AA6" s="423">
        <f>SUMIFS('48 KMP -Tháng'!AB$2:AB$53,'48 KMP -Tháng'!$C$2:$C$53,'18 KMP- Tháng'!$D6)</f>
        <v>80242.8457912585</v>
      </c>
      <c r="AB6" s="423">
        <f>SUMIFS('48 KMP -Tháng'!AC$2:AC$53,'48 KMP -Tháng'!$C$2:$C$53,'18 KMP- Tháng'!$D6)</f>
        <v>87480.523861716094</v>
      </c>
      <c r="AC6" s="423">
        <f>SUMIFS('48 KMP -Tháng'!AD$2:AD$53,'48 KMP -Tháng'!$C$2:$C$53,'18 KMP- Tháng'!$D6)+SUMIFS('48 KMP -Tháng'!$AE$2:$AE$53,'48 KMP -Tháng'!$C$2:$C$53,'18 KMP- Tháng'!D6)</f>
        <v>60679.337507679702</v>
      </c>
      <c r="AD6" s="425">
        <f>SUM(R6:AC6)</f>
        <v>819067.8580485821</v>
      </c>
      <c r="AE6" s="797">
        <f>AVERAGE(R6:AC6)</f>
        <v>68255.654837381837</v>
      </c>
      <c r="AF6" s="423">
        <f>SUMIFS('48 KMP -Tháng'!AH$2:AH$53,'48 KMP -Tháng'!$C$2:$C$53,'18 KMP- Tháng'!$D6)</f>
        <v>33690.153681729942</v>
      </c>
      <c r="AG6" s="423">
        <f>SUMIFS('48 KMP -Tháng'!AI$2:AI$53,'48 KMP -Tháng'!$C$2:$C$53,'18 KMP- Tháng'!$D6)</f>
        <v>54984.762966730275</v>
      </c>
      <c r="AH6" s="423">
        <f>SUMIFS('48 KMP -Tháng'!AJ$2:AJ$53,'48 KMP -Tháng'!$C$2:$C$53,'18 KMP- Tháng'!$D6)</f>
        <v>93493.565616349893</v>
      </c>
      <c r="AI6" s="423">
        <f>SUMIFS('48 KMP -Tháng'!AK$2:AK$53,'48 KMP -Tháng'!$C$2:$C$53,'18 KMP- Tháng'!$D6)</f>
        <v>81794.17166151281</v>
      </c>
      <c r="AJ6" s="423">
        <f>SUMIFS('48 KMP -Tháng'!AL$2:AL$53,'48 KMP -Tháng'!$C$2:$C$53,'18 KMP- Tháng'!$D6)</f>
        <v>97253.819962899841</v>
      </c>
      <c r="AK6" s="423">
        <f>SUMIFS('48 KMP -Tháng'!AM$2:AM$53,'48 KMP -Tháng'!$C$2:$C$53,'18 KMP- Tháng'!$D6)</f>
        <v>84746.443805998701</v>
      </c>
      <c r="AL6" s="423">
        <f>SUMIFS('48 KMP -Tháng'!AN$2:AN$53,'48 KMP -Tháng'!$C$2:$C$53,'18 KMP- Tháng'!$D6)</f>
        <v>93606.744682943565</v>
      </c>
      <c r="AM6" s="423">
        <f>SUMIFS('48 KMP -Tháng'!AO$2:AO$53,'48 KMP -Tháng'!$C$2:$C$53,'18 KMP- Tháng'!$D6)</f>
        <v>93602.194561389799</v>
      </c>
      <c r="AN6" s="423">
        <f>SUMIFS('48 KMP -Tháng'!AP$2:AP$53,'48 KMP -Tháng'!$C$2:$C$53,'18 KMP- Tháng'!$D6)</f>
        <v>92225.640568510207</v>
      </c>
      <c r="AO6" s="423">
        <f>SUMIFS('48 KMP -Tháng'!AQ$2:AQ$53,'48 KMP -Tháng'!$C$2:$C$53,'18 KMP- Tháng'!$D6)</f>
        <v>60589.830985082903</v>
      </c>
      <c r="AP6" s="423">
        <f>SUMIFS('48 KMP -Tháng'!AR$2:AR$53,'48 KMP -Tháng'!$C$2:$C$53,'18 KMP- Tháng'!$D6)</f>
        <v>41785.637411524003</v>
      </c>
      <c r="AQ6" s="423">
        <f>SUMIFS('48 KMP -Tháng'!AS$2:AS$53,'48 KMP -Tháng'!$C$2:$C$53,'18 KMP- Tháng'!$D6)+SUMIFS('48 KMP -Tháng'!AT$2:AT$53,'48 KMP -Tháng'!$C$2:$C$53,'18 KMP- Tháng'!$D6)</f>
        <v>66382.966178182702</v>
      </c>
      <c r="AR6" s="797">
        <f>AVERAGE(AF6:AQ6)</f>
        <v>74512.994340237885</v>
      </c>
      <c r="AS6" s="423">
        <f>SUMIFS('48 KMP -Tháng'!AV$2:AV$53,'48 KMP -Tháng'!$C$2:$C$53,'18 KMP- Tháng'!$D6)</f>
        <v>54282.9558583486</v>
      </c>
      <c r="AT6" s="423">
        <f>SUMIFS('48 KMP -Tháng'!AW$2:AW$53,'48 KMP -Tháng'!$C$2:$C$53,'18 KMP- Tháng'!$D6)</f>
        <v>32788.527139026301</v>
      </c>
      <c r="AU6" s="423">
        <f>SUMIFS('48 KMP -Tháng'!AX$2:AX$53,'48 KMP -Tháng'!$C$2:$C$53,'18 KMP- Tháng'!$D6)</f>
        <v>79002.100402284006</v>
      </c>
      <c r="AV6" s="423">
        <f>SUMIFS('48 KMP -Tháng'!AY$2:AY$53,'48 KMP -Tháng'!$C$2:$C$53,'18 KMP- Tháng'!$D6)</f>
        <v>77706.009766450486</v>
      </c>
      <c r="AW6" s="423">
        <f>SUMIFS('48 KMP -Tháng'!AZ$2:AZ$53,'48 KMP -Tháng'!$C$2:$C$53,'18 KMP- Tháng'!$D6)</f>
        <v>67389.4959113683</v>
      </c>
      <c r="AX6" s="423">
        <f>SUMIFS('48 KMP -Tháng'!BA$2:BA$53,'48 KMP -Tháng'!$C$2:$C$53,'18 KMP- Tháng'!$D6)</f>
        <v>0</v>
      </c>
      <c r="AY6" s="423">
        <f>SUMIFS('48 KMP -Tháng'!BB$2:BB$53,'48 KMP -Tháng'!$C$2:$C$53,'18 KMP- Tháng'!$D6)</f>
        <v>0</v>
      </c>
      <c r="AZ6" s="423">
        <f>SUMIFS('48 KMP -Tháng'!BC$2:BC$53,'48 KMP -Tháng'!$C$2:$C$53,'18 KMP- Tháng'!$D6)</f>
        <v>0</v>
      </c>
      <c r="BA6" s="423">
        <f>SUMIFS('48 KMP -Tháng'!BD$2:BD$53,'48 KMP -Tháng'!$C$2:$C$53,'18 KMP- Tháng'!$D6)</f>
        <v>0</v>
      </c>
      <c r="BB6" s="423">
        <f>SUMIFS('48 KMP -Tháng'!BE$2:BE$53,'48 KMP -Tháng'!$C$2:$C$53,'18 KMP- Tháng'!$D6)</f>
        <v>0</v>
      </c>
      <c r="BC6" s="423">
        <f>SUMIFS('48 KMP -Tháng'!BF$2:BF$53,'48 KMP -Tháng'!$C$2:$C$53,'18 KMP- Tháng'!$D6)</f>
        <v>0</v>
      </c>
      <c r="BD6" s="423">
        <f>SUMIFS('48 KMP -Tháng'!BG$2:BG$53,'48 KMP -Tháng'!$C$2:$C$53,'18 KMP- Tháng'!$D6)</f>
        <v>0</v>
      </c>
      <c r="BE6" s="797">
        <f>AVERAGE(AS6:BD6)</f>
        <v>25930.757423123141</v>
      </c>
      <c r="BF6" s="425">
        <f>SUMIFS('48 KMP -Tháng'!BI$2:BI$53,'48 KMP -Tháng'!$C$2:$C$53,'18 KMP- Tháng'!$D6)</f>
        <v>73858.796242105935</v>
      </c>
      <c r="BG6" s="426"/>
      <c r="BH6" s="427">
        <f>SUMIFS('48 KMP -Tháng'!BL$2:BL$50,'48 KMP -Tháng'!$C$2:$C$50,'18 KMP- Tháng'!$D6)</f>
        <v>70449.79433851775</v>
      </c>
      <c r="BI6" s="427">
        <f>SUMIFS('48 KMP -Tháng'!BM$2:BM$50,'48 KMP -Tháng'!$C$2:$C$50,'18 KMP- Tháng'!$D6)</f>
        <v>57841.876465266527</v>
      </c>
      <c r="BJ6" s="427">
        <f>SUMIFS('48 KMP -Tháng'!BN$2:BN$50,'48 KMP -Tháng'!$C$2:$C$50,'18 KMP- Tháng'!$D6)</f>
        <v>73858.796242105935</v>
      </c>
      <c r="BK6" s="427">
        <f>SUMIFS('48 KMP -Tháng'!BO$2:BO$50,'48 KMP -Tháng'!$C$2:$C$50,'18 KMP- Tháng'!$D6)</f>
        <v>74028.379274825609</v>
      </c>
      <c r="BL6" s="427">
        <f>SUMIFS('48 KMP -Tháng'!BP$2:BP$50,'48 KMP -Tháng'!$C$2:$C$50,'18 KMP- Tháng'!$D6)</f>
        <v>73858.796242105935</v>
      </c>
      <c r="BM6" s="427">
        <f>SUMIFS('48 KMP -Tháng'!BQ$2:BQ$50,'48 KMP -Tháng'!$C$2:$C$50,'18 KMP- Tháng'!$D6)</f>
        <v>75365.564327104483</v>
      </c>
      <c r="BN6" s="427">
        <f>SUMIFS('48 KMP -Tháng'!BR$2:BR$50,'48 KMP -Tháng'!$C$2:$C$50,'18 KMP- Tháng'!$D6)</f>
        <v>77176.424886965047</v>
      </c>
      <c r="BO6" s="427">
        <f>SUMIFS('48 KMP -Tháng'!BS$2:BS$50,'48 KMP -Tháng'!$C$2:$C$50,'18 KMP- Tháng'!$D6)</f>
        <v>77920.06932472506</v>
      </c>
      <c r="BP6" s="427">
        <f>SUMIFS('48 KMP -Tháng'!BT$2:BT$50,'48 KMP -Tháng'!$C$2:$C$50,'18 KMP- Tháng'!$D6)</f>
        <v>77600.382468764248</v>
      </c>
      <c r="BQ6" s="427">
        <f>SUMIFS('48 KMP -Tháng'!BU$2:BU$50,'48 KMP -Tháng'!$C$2:$C$50,'18 KMP- Tháng'!$D6)</f>
        <v>78089.652357444735</v>
      </c>
      <c r="BR6" s="427">
        <f>SUMIFS('48 KMP -Tháng'!BV$2:BV$50,'48 KMP -Tháng'!$C$2:$C$50,'18 KMP- Tháng'!$D6)</f>
        <v>77006.841854245373</v>
      </c>
      <c r="BS6" s="427">
        <f>SUMIFS('48 KMP -Tháng'!BW$2:BW$50,'48 KMP -Tháng'!$C$2:$C$50,'18 KMP- Tháng'!$D6)</f>
        <v>77920.06932472506</v>
      </c>
      <c r="BT6" s="427">
        <f>SUM(BH6:BS6)</f>
        <v>891116.6471067958</v>
      </c>
    </row>
    <row r="7" spans="1:74">
      <c r="A7" s="315">
        <v>4</v>
      </c>
      <c r="B7" s="422">
        <f>B6+1</f>
        <v>2</v>
      </c>
      <c r="C7" s="422" t="s">
        <v>425</v>
      </c>
      <c r="D7" s="422" t="s">
        <v>428</v>
      </c>
      <c r="E7" s="423">
        <f>SUMIFS('48 KMP -Tháng'!$F$2:$F$53,'48 KMP -Tháng'!$C$2:$C$53,'18 KMP- Tháng'!D7)</f>
        <v>1376.9572000000001</v>
      </c>
      <c r="F7" s="423">
        <f>SUMIFS('48 KMP -Tháng'!$G$2:$G$53,'48 KMP -Tháng'!$C$2:$C$53,'18 KMP- Tháng'!D7)</f>
        <v>2218.3915000000002</v>
      </c>
      <c r="G7" s="424">
        <f>SUMIFS('48 KMP -Tháng'!$H$2:$H$53,'48 KMP -Tháng'!$C$2:$C$53,'18 KMP- Tháng'!D7)</f>
        <v>2574.9328999999998</v>
      </c>
      <c r="H7" s="423">
        <f>SUMIFS('48 KMP -Tháng'!$I$2:$I$53,'48 KMP -Tháng'!$C$2:$C$53,'18 KMP- Tháng'!D7)</f>
        <v>2388.6837479999999</v>
      </c>
      <c r="I7" s="423">
        <f>SUMIFS('48 KMP -Tháng'!$J$2:$J$53,'48 KMP -Tháng'!$C$2:$C$53,'18 KMP- Tháng'!D7)</f>
        <v>2787.5241000000001</v>
      </c>
      <c r="J7" s="423">
        <f>SUMIFS('48 KMP -Tháng'!$K$2:$K$53,'48 KMP -Tháng'!$C$2:$C$53,'18 KMP- Tháng'!D7)</f>
        <v>2655.8263000000002</v>
      </c>
      <c r="K7" s="423">
        <f>SUMIFS('48 KMP -Tháng'!$L$2:$L$53,'48 KMP -Tháng'!$C$2:$C$53,'18 KMP- Tháng'!D7)</f>
        <v>3135.2610890000001</v>
      </c>
      <c r="L7" s="423">
        <f>SUMIFS('48 KMP -Tháng'!$M$2:$M$53,'48 KMP -Tháng'!$C$2:$C$53,'18 KMP- Tháng'!D7)</f>
        <v>2978.8600099999999</v>
      </c>
      <c r="M7" s="423">
        <f>SUMIFS('48 KMP -Tháng'!$N$2:$N$53,'48 KMP -Tháng'!$C$2:$C$53,'18 KMP- Tháng'!D7)</f>
        <v>2915.5076250000002</v>
      </c>
      <c r="N7" s="423">
        <f>SUMIFS('48 KMP -Tháng'!$O$2:$O$53,'48 KMP -Tháng'!$C$2:$C$53,'18 KMP- Tháng'!$D7)</f>
        <v>3337.1480000000001</v>
      </c>
      <c r="O7" s="423">
        <f>SUMIFS('48 KMP -Tháng'!$P$2:$P$53,'48 KMP -Tháng'!$C$2:$C$53,'18 KMP- Tháng'!$D7)</f>
        <v>2812.7750129999999</v>
      </c>
      <c r="P7" s="423">
        <f>SUMIFS('48 KMP -Tháng'!$Q$2:$Q$53,'48 KMP -Tháng'!$C$2:$C$53,'18 KMP- Tháng'!$D7)</f>
        <v>5223.2614999999996</v>
      </c>
      <c r="Q7" s="424">
        <f t="shared" ref="Q7:Q26" si="0">AVERAGE(E7:P7)</f>
        <v>2867.0940820833334</v>
      </c>
      <c r="R7" s="423">
        <f>SUMIFS('48 KMP -Tháng'!$S$2:$S$53,'48 KMP -Tháng'!$C$2:$C$53,'18 KMP- Tháng'!$D7)</f>
        <v>5518.9031000000004</v>
      </c>
      <c r="S7" s="423">
        <f>SUMIFS('48 KMP -Tháng'!T$2:T$53,'48 KMP -Tháng'!$C$2:$C$53,'18 KMP- Tháng'!$D7)</f>
        <v>4150.3450000000003</v>
      </c>
      <c r="T7" s="423">
        <f>SUMIFS('48 KMP -Tháng'!U$2:U$53,'48 KMP -Tháng'!$C$2:$C$53,'18 KMP- Tháng'!$D7)</f>
        <v>5118.0938999999998</v>
      </c>
      <c r="U7" s="423">
        <f>SUMIFS('48 KMP -Tháng'!V$2:V$53,'48 KMP -Tháng'!$C$2:$C$53,'18 KMP- Tháng'!$D7)</f>
        <v>5543.6525650000003</v>
      </c>
      <c r="V7" s="423">
        <f>SUMIFS('48 KMP -Tháng'!W$2:W$53,'48 KMP -Tháng'!$C$2:$C$53,'18 KMP- Tháng'!$D7)</f>
        <v>6020.5653000000002</v>
      </c>
      <c r="W7" s="423">
        <f>SUMIFS('48 KMP -Tháng'!X$2:X$53,'48 KMP -Tháng'!$C$2:$C$53,'18 KMP- Tháng'!$D7)</f>
        <v>4842.9948999999997</v>
      </c>
      <c r="X7" s="423">
        <f>SUMIFS('48 KMP -Tháng'!Y$2:Y$53,'48 KMP -Tháng'!$C$2:$C$53,'18 KMP- Tháng'!$D7)</f>
        <v>3062.5014999999999</v>
      </c>
      <c r="Y7" s="423">
        <f>SUMIFS('48 KMP -Tháng'!Z$2:Z$53,'48 KMP -Tháng'!$C$2:$C$53,'18 KMP- Tháng'!$D7)</f>
        <v>3545.0221999999999</v>
      </c>
      <c r="Z7" s="423">
        <f>SUMIFS('48 KMP -Tháng'!AA$2:AA$53,'48 KMP -Tháng'!$C$2:$C$53,'18 KMP- Tháng'!$D7)</f>
        <v>4668.9910060000002</v>
      </c>
      <c r="AA7" s="423">
        <f>SUMIFS('48 KMP -Tháng'!AB$2:AB$53,'48 KMP -Tháng'!$C$2:$C$53,'18 KMP- Tháng'!$D7)</f>
        <v>5571.9984999999997</v>
      </c>
      <c r="AB7" s="423">
        <f>SUMIFS('48 KMP -Tháng'!AC$2:AC$53,'48 KMP -Tháng'!$C$2:$C$53,'18 KMP- Tháng'!$D7)</f>
        <v>6435.3993</v>
      </c>
      <c r="AC7" s="423">
        <f>SUMIFS('48 KMP -Tháng'!AD$2:AD$53,'48 KMP -Tháng'!$C$2:$C$53,'18 KMP- Tháng'!$D7)+SUMIFS('48 KMP -Tháng'!$AE$2:$AE$53,'48 KMP -Tháng'!$C$2:$C$53,'18 KMP- Tháng'!D7)</f>
        <v>4886.9172699999999</v>
      </c>
      <c r="AD7" s="425">
        <f t="shared" ref="AD7:AD26" si="1">SUM(R7:AC7)</f>
        <v>59365.384540999992</v>
      </c>
      <c r="AE7" s="797">
        <f t="shared" ref="AE7:AE26" si="2">AVERAGE(R7:AC7)</f>
        <v>4947.1153784166663</v>
      </c>
      <c r="AF7" s="423">
        <f>SUMIFS('48 KMP -Tháng'!AH$2:AH$53,'48 KMP -Tháng'!$C$2:$C$53,'18 KMP- Tháng'!$D7)</f>
        <v>3220.4870150000002</v>
      </c>
      <c r="AG7" s="423">
        <f>SUMIFS('48 KMP -Tháng'!AI$2:AI$53,'48 KMP -Tháng'!$C$2:$C$53,'18 KMP- Tháng'!$D7)</f>
        <v>4203.9981429999998</v>
      </c>
      <c r="AH7" s="423">
        <f>SUMIFS('48 KMP -Tháng'!AJ$2:AJ$53,'48 KMP -Tháng'!$C$2:$C$53,'18 KMP- Tháng'!$D7)</f>
        <v>6561.5858079999998</v>
      </c>
      <c r="AI7" s="423">
        <f>SUMIFS('48 KMP -Tháng'!AK$2:AK$53,'48 KMP -Tháng'!$C$2:$C$53,'18 KMP- Tháng'!$D7)</f>
        <v>6195.0632750000004</v>
      </c>
      <c r="AJ7" s="423">
        <f>SUMIFS('48 KMP -Tháng'!AL$2:AL$53,'48 KMP -Tháng'!$C$2:$C$53,'18 KMP- Tháng'!$D7)</f>
        <v>6629.4663929999997</v>
      </c>
      <c r="AK7" s="423">
        <f>SUMIFS('48 KMP -Tháng'!AM$2:AM$53,'48 KMP -Tháng'!$C$2:$C$53,'18 KMP- Tháng'!$D7)</f>
        <v>6427.1763199999996</v>
      </c>
      <c r="AL7" s="423">
        <f>SUMIFS('48 KMP -Tháng'!AN$2:AN$53,'48 KMP -Tháng'!$C$2:$C$53,'18 KMP- Tháng'!$D7)</f>
        <v>7133.675279</v>
      </c>
      <c r="AM7" s="423">
        <f>SUMIFS('48 KMP -Tháng'!AO$2:AO$53,'48 KMP -Tháng'!$C$2:$C$53,'18 KMP- Tháng'!$D7)</f>
        <v>7283.683376</v>
      </c>
      <c r="AN7" s="423">
        <f>SUMIFS('48 KMP -Tháng'!AP$2:AP$53,'48 KMP -Tháng'!$C$2:$C$53,'18 KMP- Tháng'!$D7)</f>
        <v>7082.0269870000002</v>
      </c>
      <c r="AO7" s="423">
        <f>SUMIFS('48 KMP -Tháng'!AQ$2:AQ$53,'48 KMP -Tháng'!$C$2:$C$53,'18 KMP- Tháng'!$D7)</f>
        <v>6265.143298</v>
      </c>
      <c r="AP7" s="423">
        <f>SUMIFS('48 KMP -Tháng'!AR$2:AR$53,'48 KMP -Tháng'!$C$2:$C$53,'18 KMP- Tháng'!$D7)</f>
        <v>4353.0271210000001</v>
      </c>
      <c r="AQ7" s="423">
        <f>SUMIFS('48 KMP -Tháng'!AS$2:AS$53,'48 KMP -Tháng'!$C$2:$C$53,'18 KMP- Tháng'!$D7)+SUMIFS('48 KMP -Tháng'!AT$2:AT$53,'48 KMP -Tháng'!$C$2:$C$53,'18 KMP- Tháng'!$D7)</f>
        <v>4935.067223</v>
      </c>
      <c r="AR7" s="797">
        <f t="shared" ref="AR7:AR28" si="3">AVERAGE(AF7:AQ7)</f>
        <v>5857.5333531666665</v>
      </c>
      <c r="AS7" s="423">
        <f>SUMIFS('48 KMP -Tháng'!AV$2:AV$53,'48 KMP -Tháng'!$C$2:$C$53,'18 KMP- Tháng'!$D7)</f>
        <v>4101.185536</v>
      </c>
      <c r="AT7" s="423">
        <f>SUMIFS('48 KMP -Tháng'!AW$2:AW$53,'48 KMP -Tháng'!$C$2:$C$53,'18 KMP- Tháng'!$D7)</f>
        <v>2506.863617</v>
      </c>
      <c r="AU7" s="423">
        <f>SUMIFS('48 KMP -Tháng'!AX$2:AX$53,'48 KMP -Tháng'!$C$2:$C$53,'18 KMP- Tháng'!$D7)</f>
        <v>5724.7182839999996</v>
      </c>
      <c r="AV7" s="423">
        <f>SUMIFS('48 KMP -Tháng'!AY$2:AY$53,'48 KMP -Tháng'!$C$2:$C$53,'18 KMP- Tháng'!$D7)</f>
        <v>5756.5264569999999</v>
      </c>
      <c r="AW7" s="423">
        <f>SUMIFS('48 KMP -Tháng'!AZ$2:AZ$53,'48 KMP -Tháng'!$C$2:$C$53,'18 KMP- Tháng'!$D7)</f>
        <v>5888.0109110000003</v>
      </c>
      <c r="AX7" s="423">
        <f>SUMIFS('48 KMP -Tháng'!BA$2:BA$53,'48 KMP -Tháng'!$C$2:$C$53,'18 KMP- Tháng'!$D7)</f>
        <v>0</v>
      </c>
      <c r="AY7" s="423">
        <f>SUMIFS('48 KMP -Tháng'!BB$2:BB$53,'48 KMP -Tháng'!$C$2:$C$53,'18 KMP- Tháng'!$D7)</f>
        <v>0</v>
      </c>
      <c r="AZ7" s="423">
        <f>SUMIFS('48 KMP -Tháng'!BC$2:BC$53,'48 KMP -Tháng'!$C$2:$C$53,'18 KMP- Tháng'!$D7)</f>
        <v>0</v>
      </c>
      <c r="BA7" s="423">
        <f>SUMIFS('48 KMP -Tháng'!BD$2:BD$53,'48 KMP -Tháng'!$C$2:$C$53,'18 KMP- Tháng'!$D7)</f>
        <v>0</v>
      </c>
      <c r="BB7" s="423">
        <f>SUMIFS('48 KMP -Tháng'!BE$2:BE$53,'48 KMP -Tháng'!$C$2:$C$53,'18 KMP- Tháng'!$D7)</f>
        <v>0</v>
      </c>
      <c r="BC7" s="423">
        <f>SUMIFS('48 KMP -Tháng'!BF$2:BF$53,'48 KMP -Tháng'!$C$2:$C$53,'18 KMP- Tháng'!$D7)</f>
        <v>0</v>
      </c>
      <c r="BD7" s="423">
        <f>SUMIFS('48 KMP -Tháng'!BG$2:BG$53,'48 KMP -Tháng'!$C$2:$C$53,'18 KMP- Tháng'!$D7)</f>
        <v>0</v>
      </c>
      <c r="BE7" s="797">
        <f t="shared" ref="BE7:BE16" si="4">AVERAGE(AS7:BD7)</f>
        <v>1998.1087337500001</v>
      </c>
      <c r="BF7" s="425">
        <f>SUMIFS('48 KMP -Tháng'!BI$2:BI$53,'48 KMP -Tháng'!$C$2:$C$53,'18 KMP- Tháng'!$D7)</f>
        <v>4850.5640553159174</v>
      </c>
      <c r="BG7" s="426"/>
      <c r="BH7" s="427">
        <f>SUMIFS('48 KMP -Tháng'!BL$2:BL$50,'48 KMP -Tháng'!$C$2:$C$50,'18 KMP- Tháng'!$D7)</f>
        <v>4697.3396017444875</v>
      </c>
      <c r="BI7" s="427">
        <f>SUMIFS('48 KMP -Tháng'!BM$2:BM$50,'48 KMP -Tháng'!$C$2:$C$50,'18 KMP- Tháng'!$D7)</f>
        <v>3893.9971987592303</v>
      </c>
      <c r="BJ7" s="427">
        <f>SUMIFS('48 KMP -Tháng'!BN$2:BN$50,'48 KMP -Tháng'!$C$2:$C$50,'18 KMP- Tháng'!$D7)</f>
        <v>4842.3796267444886</v>
      </c>
      <c r="BK7" s="427">
        <f>SUMIFS('48 KMP -Tháng'!BO$2:BO$50,'48 KMP -Tháng'!$C$2:$C$50,'18 KMP- Tháng'!$D7)</f>
        <v>4886.2606887335287</v>
      </c>
      <c r="BL7" s="427">
        <f>SUMIFS('48 KMP -Tháng'!BP$2:BP$50,'48 KMP -Tháng'!$C$2:$C$50,'18 KMP- Tháng'!$D7)</f>
        <v>4850.5640553159174</v>
      </c>
      <c r="BM7" s="427">
        <f>SUMIFS('48 KMP -Tháng'!BQ$2:BQ$50,'48 KMP -Tháng'!$C$2:$C$50,'18 KMP- Tháng'!$D7)</f>
        <v>5015.6919387335292</v>
      </c>
      <c r="BN7" s="427">
        <f>SUMIFS('48 KMP -Tháng'!BR$2:BR$50,'48 KMP -Tháng'!$C$2:$C$50,'18 KMP- Tháng'!$D7)</f>
        <v>5356.1384432390805</v>
      </c>
      <c r="BO7" s="427">
        <f>SUMIFS('48 KMP -Tháng'!BS$2:BS$50,'48 KMP -Tháng'!$C$2:$C$50,'18 KMP- Tháng'!$D7)</f>
        <v>5423.0816702390803</v>
      </c>
      <c r="BP7" s="427">
        <f>SUMIFS('48 KMP -Tháng'!BT$2:BT$50,'48 KMP -Tháng'!$C$2:$C$50,'18 KMP- Tháng'!$D7)</f>
        <v>5431.5689632035965</v>
      </c>
      <c r="BQ7" s="427">
        <f>SUMIFS('48 KMP -Tháng'!BU$2:BU$50,'48 KMP -Tháng'!$C$2:$C$50,'18 KMP- Tháng'!$D7)</f>
        <v>5581.5463002948245</v>
      </c>
      <c r="BR7" s="427">
        <f>SUMIFS('48 KMP -Tháng'!BV$2:BV$50,'48 KMP -Tháng'!$C$2:$C$50,'18 KMP- Tháng'!$D7)</f>
        <v>5527.4359356879104</v>
      </c>
      <c r="BS7" s="427">
        <f>SUMIFS('48 KMP -Tháng'!BW$2:BW$50,'48 KMP -Tháng'!$C$2:$C$50,'18 KMP- Tháng'!$D7)</f>
        <v>5561.9175222948243</v>
      </c>
      <c r="BT7" s="427">
        <f t="shared" ref="BT7:BT16" si="5">SUM(BH7:BS7)</f>
        <v>61067.921944990492</v>
      </c>
    </row>
    <row r="8" spans="1:74">
      <c r="A8" s="315">
        <v>6</v>
      </c>
      <c r="B8" s="422">
        <f t="shared" ref="B8:B16" si="6">B7+1</f>
        <v>3</v>
      </c>
      <c r="C8" s="422" t="s">
        <v>425</v>
      </c>
      <c r="D8" s="422" t="s">
        <v>429</v>
      </c>
      <c r="E8" s="423">
        <f>SUMIFS('48 KMP -Tháng'!$F$2:$F$53,'48 KMP -Tháng'!$C$2:$C$53,'18 KMP- Tháng'!D8)</f>
        <v>0</v>
      </c>
      <c r="F8" s="423">
        <f>SUMIFS('48 KMP -Tháng'!$G$2:$G$53,'48 KMP -Tháng'!$C$2:$C$53,'18 KMP- Tháng'!D8)</f>
        <v>0</v>
      </c>
      <c r="G8" s="424">
        <f>SUMIFS('48 KMP -Tháng'!$H$2:$H$53,'48 KMP -Tháng'!$C$2:$C$53,'18 KMP- Tháng'!D8)</f>
        <v>505.50536</v>
      </c>
      <c r="H8" s="423">
        <f>SUMIFS('48 KMP -Tháng'!$I$2:$I$53,'48 KMP -Tháng'!$C$2:$C$53,'18 KMP- Tháng'!D8)</f>
        <v>384.26619499999998</v>
      </c>
      <c r="I8" s="423">
        <f>SUMIFS('48 KMP -Tháng'!$J$2:$J$53,'48 KMP -Tháng'!$C$2:$C$53,'18 KMP- Tháng'!D8)</f>
        <v>373.597216</v>
      </c>
      <c r="J8" s="423">
        <f>SUMIFS('48 KMP -Tháng'!$K$2:$K$53,'48 KMP -Tháng'!$C$2:$C$53,'18 KMP- Tháng'!D8)</f>
        <v>646.86600199999998</v>
      </c>
      <c r="K8" s="423">
        <f>SUMIFS('48 KMP -Tháng'!$L$2:$L$53,'48 KMP -Tháng'!$C$2:$C$53,'18 KMP- Tháng'!D8)</f>
        <v>461.83937800000001</v>
      </c>
      <c r="L8" s="423">
        <f>SUMIFS('48 KMP -Tháng'!$M$2:$M$53,'48 KMP -Tháng'!$C$2:$C$53,'18 KMP- Tháng'!D8)</f>
        <v>712.82108499999993</v>
      </c>
      <c r="M8" s="423">
        <f>SUMIFS('48 KMP -Tháng'!$N$2:$N$53,'48 KMP -Tháng'!$C$2:$C$53,'18 KMP- Tháng'!D8)</f>
        <v>372.68747999999999</v>
      </c>
      <c r="N8" s="423">
        <f>SUMIFS('48 KMP -Tháng'!$O$2:$O$53,'48 KMP -Tháng'!$C$2:$C$53,'18 KMP- Tháng'!$D8)</f>
        <v>746.39963999999998</v>
      </c>
      <c r="O8" s="423">
        <f>SUMIFS('48 KMP -Tháng'!$P$2:$P$53,'48 KMP -Tháng'!$C$2:$C$53,'18 KMP- Tháng'!$D8)</f>
        <v>626.33642800000007</v>
      </c>
      <c r="P8" s="423">
        <f>SUMIFS('48 KMP -Tháng'!$Q$2:$Q$53,'48 KMP -Tháng'!$C$2:$C$53,'18 KMP- Tháng'!$D8)</f>
        <v>533.65458000000001</v>
      </c>
      <c r="Q8" s="424">
        <f>AVERAGE(E8:P8)</f>
        <v>446.99778033333331</v>
      </c>
      <c r="R8" s="423">
        <f>SUMIFS('48 KMP -Tháng'!$S$2:$S$53,'48 KMP -Tháng'!$C$2:$C$53,'18 KMP- Tháng'!$D8)</f>
        <v>526.29274399999997</v>
      </c>
      <c r="S8" s="423">
        <f>SUMIFS('48 KMP -Tháng'!T$2:T$53,'48 KMP -Tháng'!$C$2:$C$53,'18 KMP- Tháng'!$D8)</f>
        <v>369.82350000000002</v>
      </c>
      <c r="T8" s="423">
        <f>SUMIFS('48 KMP -Tháng'!U$2:U$53,'48 KMP -Tháng'!$C$2:$C$53,'18 KMP- Tháng'!$D8)</f>
        <v>588.72288000000003</v>
      </c>
      <c r="U8" s="423">
        <f>SUMIFS('48 KMP -Tháng'!V$2:V$53,'48 KMP -Tháng'!$C$2:$C$53,'18 KMP- Tháng'!$D8)</f>
        <v>1053.4593620000001</v>
      </c>
      <c r="V8" s="423">
        <f>SUMIFS('48 KMP -Tháng'!W$2:W$53,'48 KMP -Tháng'!$C$2:$C$53,'18 KMP- Tháng'!$D8)</f>
        <v>832.33068000000014</v>
      </c>
      <c r="W8" s="423">
        <f>SUMIFS('48 KMP -Tháng'!X$2:X$53,'48 KMP -Tháng'!$C$2:$C$53,'18 KMP- Tháng'!$D8)</f>
        <v>1456.5019600000001</v>
      </c>
      <c r="X8" s="423">
        <f>SUMIFS('48 KMP -Tháng'!Y$2:Y$53,'48 KMP -Tháng'!$C$2:$C$53,'18 KMP- Tháng'!$D8)</f>
        <v>799.54674</v>
      </c>
      <c r="Y8" s="423">
        <f>SUMIFS('48 KMP -Tháng'!Z$2:Z$53,'48 KMP -Tháng'!$C$2:$C$53,'18 KMP- Tháng'!$D8)</f>
        <v>1860.7676060000001</v>
      </c>
      <c r="Z8" s="423">
        <f>SUMIFS('48 KMP -Tháng'!AA$2:AA$53,'48 KMP -Tháng'!$C$2:$C$53,'18 KMP- Tháng'!$D8)</f>
        <v>1285.0191810000001</v>
      </c>
      <c r="AA8" s="423">
        <f>SUMIFS('48 KMP -Tháng'!AB$2:AB$53,'48 KMP -Tháng'!$C$2:$C$53,'18 KMP- Tháng'!$D8)</f>
        <v>967.32580800000005</v>
      </c>
      <c r="AB8" s="423">
        <f>SUMIFS('48 KMP -Tháng'!AC$2:AC$53,'48 KMP -Tháng'!$C$2:$C$53,'18 KMP- Tháng'!$D8)</f>
        <v>754.04340200000001</v>
      </c>
      <c r="AC8" s="423">
        <f>SUMIFS('48 KMP -Tháng'!AD$2:AD$53,'48 KMP -Tháng'!$C$2:$C$53,'18 KMP- Tháng'!$D8)+SUMIFS('48 KMP -Tháng'!$AE$2:$AE$53,'48 KMP -Tháng'!$C$2:$C$53,'18 KMP- Tháng'!D8)</f>
        <v>1681.9546049999999</v>
      </c>
      <c r="AD8" s="425">
        <f>SUM(R8:AC8)</f>
        <v>12175.788467999999</v>
      </c>
      <c r="AE8" s="797">
        <f t="shared" si="2"/>
        <v>1014.6490389999999</v>
      </c>
      <c r="AF8" s="423">
        <f>SUMIFS('48 KMP -Tháng'!AH$2:AH$53,'48 KMP -Tháng'!$C$2:$C$53,'18 KMP- Tháng'!$D8)</f>
        <v>1406.3768719999998</v>
      </c>
      <c r="AG8" s="423">
        <f>SUMIFS('48 KMP -Tháng'!AI$2:AI$53,'48 KMP -Tháng'!$C$2:$C$53,'18 KMP- Tháng'!$D8)</f>
        <v>1896.4950260000001</v>
      </c>
      <c r="AH8" s="423">
        <f>SUMIFS('48 KMP -Tháng'!AJ$2:AJ$53,'48 KMP -Tháng'!$C$2:$C$53,'18 KMP- Tháng'!$D8)</f>
        <v>1011.337654</v>
      </c>
      <c r="AI8" s="423">
        <f>SUMIFS('48 KMP -Tháng'!AK$2:AK$53,'48 KMP -Tháng'!$C$2:$C$53,'18 KMP- Tháng'!$D8)</f>
        <v>1192.1012270000001</v>
      </c>
      <c r="AJ8" s="423">
        <f>SUMIFS('48 KMP -Tháng'!AL$2:AL$53,'48 KMP -Tháng'!$C$2:$C$53,'18 KMP- Tháng'!$D8)</f>
        <v>1071.508366</v>
      </c>
      <c r="AK8" s="423">
        <f>SUMIFS('48 KMP -Tháng'!AM$2:AM$53,'48 KMP -Tháng'!$C$2:$C$53,'18 KMP- Tháng'!$D8)</f>
        <v>1011.863016</v>
      </c>
      <c r="AL8" s="423">
        <f>SUMIFS('48 KMP -Tháng'!AN$2:AN$53,'48 KMP -Tháng'!$C$2:$C$53,'18 KMP- Tháng'!$D8)</f>
        <v>1178.8014470000001</v>
      </c>
      <c r="AM8" s="423">
        <f>SUMIFS('48 KMP -Tháng'!AO$2:AO$53,'48 KMP -Tháng'!$C$2:$C$53,'18 KMP- Tháng'!$D8)</f>
        <v>1744.837137</v>
      </c>
      <c r="AN8" s="423">
        <f>SUMIFS('48 KMP -Tháng'!AP$2:AP$53,'48 KMP -Tháng'!$C$2:$C$53,'18 KMP- Tháng'!$D8)</f>
        <v>1262.250933</v>
      </c>
      <c r="AO8" s="423">
        <f>SUMIFS('48 KMP -Tháng'!AQ$2:AQ$53,'48 KMP -Tháng'!$C$2:$C$53,'18 KMP- Tháng'!$D8)</f>
        <v>2172.3496660000001</v>
      </c>
      <c r="AP8" s="423">
        <f>SUMIFS('48 KMP -Tháng'!AR$2:AR$53,'48 KMP -Tháng'!$C$2:$C$53,'18 KMP- Tháng'!$D8)</f>
        <v>1528.6454290000001</v>
      </c>
      <c r="AQ8" s="423">
        <f>SUMIFS('48 KMP -Tháng'!AS$2:AS$53,'48 KMP -Tháng'!$C$2:$C$53,'18 KMP- Tháng'!$D8)+SUMIFS('48 KMP -Tháng'!AT$2:AT$53,'48 KMP -Tháng'!$C$2:$C$53,'18 KMP- Tháng'!$D8)</f>
        <v>1006.5126320000001</v>
      </c>
      <c r="AR8" s="797">
        <f t="shared" si="3"/>
        <v>1373.5899504166666</v>
      </c>
      <c r="AS8" s="423">
        <f>SUMIFS('48 KMP -Tháng'!AV$2:AV$53,'48 KMP -Tháng'!$C$2:$C$53,'18 KMP- Tháng'!$D8)</f>
        <v>1629.3042500000001</v>
      </c>
      <c r="AT8" s="423">
        <f>SUMIFS('48 KMP -Tháng'!AW$2:AW$53,'48 KMP -Tháng'!$C$2:$C$53,'18 KMP- Tháng'!$D8)</f>
        <v>1183.2379470000001</v>
      </c>
      <c r="AU8" s="423">
        <f>SUMIFS('48 KMP -Tháng'!AX$2:AX$53,'48 KMP -Tháng'!$C$2:$C$53,'18 KMP- Tháng'!$D8)</f>
        <v>3159.3412949999997</v>
      </c>
      <c r="AV8" s="423">
        <f>SUMIFS('48 KMP -Tháng'!AY$2:AY$53,'48 KMP -Tháng'!$C$2:$C$53,'18 KMP- Tháng'!$D8)</f>
        <v>3019.3291749999999</v>
      </c>
      <c r="AW8" s="423">
        <f>SUMIFS('48 KMP -Tháng'!AZ$2:AZ$53,'48 KMP -Tháng'!$C$2:$C$53,'18 KMP- Tháng'!$D8)</f>
        <v>2769.8496880000002</v>
      </c>
      <c r="AX8" s="423">
        <f>SUMIFS('48 KMP -Tháng'!BA$2:BA$53,'48 KMP -Tháng'!$C$2:$C$53,'18 KMP- Tháng'!$D8)</f>
        <v>0</v>
      </c>
      <c r="AY8" s="423">
        <f>SUMIFS('48 KMP -Tháng'!BB$2:BB$53,'48 KMP -Tháng'!$C$2:$C$53,'18 KMP- Tháng'!$D8)</f>
        <v>0</v>
      </c>
      <c r="AZ8" s="423">
        <f>SUMIFS('48 KMP -Tháng'!BC$2:BC$53,'48 KMP -Tháng'!$C$2:$C$53,'18 KMP- Tháng'!$D8)</f>
        <v>0</v>
      </c>
      <c r="BA8" s="423">
        <f>SUMIFS('48 KMP -Tháng'!BD$2:BD$53,'48 KMP -Tháng'!$C$2:$C$53,'18 KMP- Tháng'!$D8)</f>
        <v>0</v>
      </c>
      <c r="BB8" s="423">
        <f>SUMIFS('48 KMP -Tháng'!BE$2:BE$53,'48 KMP -Tháng'!$C$2:$C$53,'18 KMP- Tháng'!$D8)</f>
        <v>0</v>
      </c>
      <c r="BC8" s="423">
        <f>SUMIFS('48 KMP -Tháng'!BF$2:BF$53,'48 KMP -Tháng'!$C$2:$C$53,'18 KMP- Tháng'!$D8)</f>
        <v>0</v>
      </c>
      <c r="BD8" s="423">
        <f>SUMIFS('48 KMP -Tháng'!BG$2:BG$53,'48 KMP -Tháng'!$C$2:$C$53,'18 KMP- Tháng'!$D8)</f>
        <v>0</v>
      </c>
      <c r="BE8" s="797">
        <f t="shared" si="4"/>
        <v>980.0885295833333</v>
      </c>
      <c r="BF8" s="425">
        <f>SUMIFS('48 KMP -Tháng'!BI$2:BI$53,'48 KMP -Tháng'!$C$2:$C$53,'18 KMP- Tháng'!$D8)</f>
        <v>751.38066909090912</v>
      </c>
      <c r="BG8" s="426"/>
      <c r="BH8" s="427">
        <f>SUMIFS('48 KMP -Tháng'!BL$2:BL$50,'48 KMP -Tháng'!$C$2:$C$50,'18 KMP- Tháng'!$D8)</f>
        <v>725.33604409090913</v>
      </c>
      <c r="BI8" s="427">
        <f>SUMIFS('48 KMP -Tháng'!BM$2:BM$50,'48 KMP -Tháng'!$C$2:$C$50,'18 KMP- Tháng'!$D8)</f>
        <v>691.18604409090904</v>
      </c>
      <c r="BJ8" s="427">
        <f>SUMIFS('48 KMP -Tháng'!BN$2:BN$50,'48 KMP -Tháng'!$C$2:$C$50,'18 KMP- Tháng'!$D8)</f>
        <v>720.33604409090913</v>
      </c>
      <c r="BK8" s="427">
        <f>SUMIFS('48 KMP -Tháng'!BO$2:BO$50,'48 KMP -Tháng'!$C$2:$C$50,'18 KMP- Tháng'!$D8)</f>
        <v>758.53184409090909</v>
      </c>
      <c r="BL8" s="427">
        <f>SUMIFS('48 KMP -Tháng'!BP$2:BP$50,'48 KMP -Tháng'!$C$2:$C$50,'18 KMP- Tháng'!$D8)</f>
        <v>751.38066909090912</v>
      </c>
      <c r="BM8" s="427">
        <f>SUMIFS('48 KMP -Tháng'!BQ$2:BQ$50,'48 KMP -Tháng'!$C$2:$C$50,'18 KMP- Tháng'!$D8)</f>
        <v>770.63066909090912</v>
      </c>
      <c r="BN8" s="427">
        <f>SUMIFS('48 KMP -Tháng'!BR$2:BR$50,'48 KMP -Tháng'!$C$2:$C$50,'18 KMP- Tháng'!$D8)</f>
        <v>756.38066909090912</v>
      </c>
      <c r="BO8" s="427">
        <f>SUMIFS('48 KMP -Tháng'!BS$2:BS$50,'48 KMP -Tháng'!$C$2:$C$50,'18 KMP- Tháng'!$D8)</f>
        <v>770.63066909090912</v>
      </c>
      <c r="BP8" s="427">
        <f>SUMIFS('48 KMP -Tháng'!BT$2:BT$50,'48 KMP -Tháng'!$C$2:$C$50,'18 KMP- Tháng'!$D8)</f>
        <v>751.38066909090912</v>
      </c>
      <c r="BQ8" s="427">
        <f>SUMIFS('48 KMP -Tháng'!BU$2:BU$50,'48 KMP -Tháng'!$C$2:$C$50,'18 KMP- Tháng'!$D8)</f>
        <v>775.63066909090912</v>
      </c>
      <c r="BR8" s="427">
        <f>SUMIFS('48 KMP -Tháng'!BV$2:BV$50,'48 KMP -Tháng'!$C$2:$C$50,'18 KMP- Tháng'!$D8)</f>
        <v>753.34236909090919</v>
      </c>
      <c r="BS8" s="427">
        <f>SUMIFS('48 KMP -Tháng'!BW$2:BW$50,'48 KMP -Tháng'!$C$2:$C$50,'18 KMP- Tháng'!$D8)</f>
        <v>734.20356909090924</v>
      </c>
      <c r="BT8" s="427">
        <f t="shared" si="5"/>
        <v>8958.9699290909102</v>
      </c>
      <c r="BV8">
        <f>(SUM(BT6:BT16)-BT8)/BT26+BT8/BT30</f>
        <v>20.18200154344839</v>
      </c>
    </row>
    <row r="9" spans="1:74">
      <c r="A9" s="315">
        <v>7</v>
      </c>
      <c r="B9" s="422">
        <f t="shared" si="6"/>
        <v>4</v>
      </c>
      <c r="C9" s="422" t="s">
        <v>425</v>
      </c>
      <c r="D9" s="422" t="s">
        <v>431</v>
      </c>
      <c r="E9" s="423">
        <f>SUMIFS('48 KMP -Tháng'!$F$2:$F$53,'48 KMP -Tháng'!$C$2:$C$53,'18 KMP- Tháng'!D9)</f>
        <v>67.509566000000007</v>
      </c>
      <c r="F9" s="423">
        <f>SUMIFS('48 KMP -Tháng'!$G$2:$G$53,'48 KMP -Tháng'!$C$2:$C$53,'18 KMP- Tháng'!D9)</f>
        <v>146.57459200000002</v>
      </c>
      <c r="G9" s="424">
        <f>SUMIFS('48 KMP -Tháng'!$H$2:$H$53,'48 KMP -Tháng'!$C$2:$C$53,'18 KMP- Tháng'!D9)</f>
        <v>512.58851200000004</v>
      </c>
      <c r="H9" s="423">
        <f>SUMIFS('48 KMP -Tháng'!$I$2:$I$53,'48 KMP -Tháng'!$C$2:$C$53,'18 KMP- Tháng'!D9)</f>
        <v>669.23911199999998</v>
      </c>
      <c r="I9" s="423">
        <f>SUMIFS('48 KMP -Tháng'!$J$2:$J$53,'48 KMP -Tháng'!$C$2:$C$53,'18 KMP- Tháng'!D9)</f>
        <v>986.13165299999991</v>
      </c>
      <c r="J9" s="423">
        <f>SUMIFS('48 KMP -Tháng'!$K$2:$K$53,'48 KMP -Tháng'!$C$2:$C$53,'18 KMP- Tháng'!D9)</f>
        <v>456.94687799999997</v>
      </c>
      <c r="K9" s="423">
        <f>SUMIFS('48 KMP -Tháng'!$L$2:$L$53,'48 KMP -Tháng'!$C$2:$C$53,'18 KMP- Tháng'!D9)</f>
        <v>1054.6790510000001</v>
      </c>
      <c r="L9" s="423">
        <f>SUMIFS('48 KMP -Tháng'!$M$2:$M$53,'48 KMP -Tháng'!$C$2:$C$53,'18 KMP- Tháng'!D9)</f>
        <v>1179.6289380000001</v>
      </c>
      <c r="M9" s="423">
        <f>SUMIFS('48 KMP -Tháng'!$N$2:$N$53,'48 KMP -Tháng'!$C$2:$C$53,'18 KMP- Tháng'!D9)</f>
        <v>1152.5309690000001</v>
      </c>
      <c r="N9" s="423">
        <f>SUMIFS('48 KMP -Tháng'!$O$2:$O$53,'48 KMP -Tháng'!$C$2:$C$53,'18 KMP- Tháng'!$D9)</f>
        <v>1779.200458</v>
      </c>
      <c r="O9" s="423">
        <f>SUMIFS('48 KMP -Tháng'!$P$2:$P$53,'48 KMP -Tháng'!$C$2:$C$53,'18 KMP- Tháng'!$D9)</f>
        <v>1553.5872850000001</v>
      </c>
      <c r="P9" s="423">
        <f>SUMIFS('48 KMP -Tháng'!$Q$2:$Q$53,'48 KMP -Tháng'!$C$2:$C$53,'18 KMP- Tháng'!$D9)</f>
        <v>2043.1246169175902</v>
      </c>
      <c r="Q9" s="424">
        <f t="shared" si="0"/>
        <v>966.81180257646599</v>
      </c>
      <c r="R9" s="423">
        <f>SUMIFS('48 KMP -Tháng'!$S$2:$S$53,'48 KMP -Tháng'!$C$2:$C$53,'18 KMP- Tháng'!$D9)</f>
        <v>1729.6174993199998</v>
      </c>
      <c r="S9" s="423">
        <f>SUMIFS('48 KMP -Tháng'!T$2:T$53,'48 KMP -Tháng'!$C$2:$C$53,'18 KMP- Tháng'!$D9)</f>
        <v>1517.450685</v>
      </c>
      <c r="T9" s="423">
        <f>SUMIFS('48 KMP -Tháng'!U$2:U$53,'48 KMP -Tháng'!$C$2:$C$53,'18 KMP- Tháng'!$D9)</f>
        <v>1767.7928019999999</v>
      </c>
      <c r="U9" s="423">
        <f>SUMIFS('48 KMP -Tháng'!V$2:V$53,'48 KMP -Tháng'!$C$2:$C$53,'18 KMP- Tháng'!$D9)</f>
        <v>1045.8530069999999</v>
      </c>
      <c r="V9" s="423">
        <f>SUMIFS('48 KMP -Tháng'!W$2:W$53,'48 KMP -Tháng'!$C$2:$C$53,'18 KMP- Tháng'!$D9)</f>
        <v>972.024225</v>
      </c>
      <c r="W9" s="423">
        <f>SUMIFS('48 KMP -Tháng'!X$2:X$53,'48 KMP -Tháng'!$C$2:$C$53,'18 KMP- Tháng'!$D9)</f>
        <v>591.19552299999998</v>
      </c>
      <c r="X9" s="423">
        <f>SUMIFS('48 KMP -Tháng'!Y$2:Y$53,'48 KMP -Tháng'!$C$2:$C$53,'18 KMP- Tháng'!$D9)</f>
        <v>1077.291879250055</v>
      </c>
      <c r="Y9" s="423">
        <f>SUMIFS('48 KMP -Tháng'!Z$2:Z$53,'48 KMP -Tháng'!$C$2:$C$53,'18 KMP- Tháng'!$D9)</f>
        <v>549.30051674994502</v>
      </c>
      <c r="Z9" s="423">
        <f>SUMIFS('48 KMP -Tháng'!AA$2:AA$53,'48 KMP -Tháng'!$C$2:$C$53,'18 KMP- Tháng'!$D9)</f>
        <v>1071.8952039999999</v>
      </c>
      <c r="AA9" s="423">
        <f>SUMIFS('48 KMP -Tháng'!AB$2:AB$53,'48 KMP -Tháng'!$C$2:$C$53,'18 KMP- Tháng'!$D9)</f>
        <v>1893.504713</v>
      </c>
      <c r="AB9" s="423">
        <f>SUMIFS('48 KMP -Tháng'!AC$2:AC$53,'48 KMP -Tháng'!$C$2:$C$53,'18 KMP- Tháng'!$D9)</f>
        <v>1720.675248</v>
      </c>
      <c r="AC9" s="423">
        <f>SUMIFS('48 KMP -Tháng'!AD$2:AD$53,'48 KMP -Tháng'!$C$2:$C$53,'18 KMP- Tháng'!$D9)+SUMIFS('48 KMP -Tháng'!$AE$2:$AE$53,'48 KMP -Tháng'!$C$2:$C$53,'18 KMP- Tháng'!D9)</f>
        <v>321.65228200000001</v>
      </c>
      <c r="AD9" s="425">
        <f t="shared" si="1"/>
        <v>14258.253584319998</v>
      </c>
      <c r="AE9" s="797">
        <f t="shared" si="2"/>
        <v>1188.1877986933332</v>
      </c>
      <c r="AF9" s="423">
        <f>SUMIFS('48 KMP -Tháng'!AH$2:AH$53,'48 KMP -Tháng'!$C$2:$C$53,'18 KMP- Tháng'!$D9)</f>
        <v>333.00160199999999</v>
      </c>
      <c r="AG9" s="423">
        <f>SUMIFS('48 KMP -Tháng'!AI$2:AI$53,'48 KMP -Tháng'!$C$2:$C$53,'18 KMP- Tháng'!$D9)</f>
        <v>880.94690900000001</v>
      </c>
      <c r="AH9" s="423">
        <f>SUMIFS('48 KMP -Tháng'!AJ$2:AJ$53,'48 KMP -Tháng'!$C$2:$C$53,'18 KMP- Tháng'!$D9)</f>
        <v>1570.44211</v>
      </c>
      <c r="AI9" s="423">
        <f>SUMIFS('48 KMP -Tháng'!AK$2:AK$53,'48 KMP -Tháng'!$C$2:$C$53,'18 KMP- Tháng'!$D9)</f>
        <v>1637.622398</v>
      </c>
      <c r="AJ9" s="423">
        <f>SUMIFS('48 KMP -Tháng'!AL$2:AL$53,'48 KMP -Tháng'!$C$2:$C$53,'18 KMP- Tháng'!$D9)</f>
        <v>1960.972215</v>
      </c>
      <c r="AK9" s="423">
        <f>SUMIFS('48 KMP -Tháng'!AM$2:AM$53,'48 KMP -Tháng'!$C$2:$C$53,'18 KMP- Tháng'!$D9)</f>
        <v>1965.8736960000001</v>
      </c>
      <c r="AL9" s="423">
        <f>SUMIFS('48 KMP -Tháng'!AN$2:AN$53,'48 KMP -Tháng'!$C$2:$C$53,'18 KMP- Tháng'!$D9)</f>
        <v>2547.1120740000001</v>
      </c>
      <c r="AM9" s="423">
        <f>SUMIFS('48 KMP -Tháng'!AO$2:AO$53,'48 KMP -Tháng'!$C$2:$C$53,'18 KMP- Tháng'!$D9)</f>
        <v>2288.513414</v>
      </c>
      <c r="AN9" s="423">
        <f>SUMIFS('48 KMP -Tháng'!AP$2:AP$53,'48 KMP -Tháng'!$C$2:$C$53,'18 KMP- Tháng'!$D9)</f>
        <v>1962.463364</v>
      </c>
      <c r="AO9" s="423">
        <f>SUMIFS('48 KMP -Tháng'!AQ$2:AQ$53,'48 KMP -Tháng'!$C$2:$C$53,'18 KMP- Tháng'!$D9)</f>
        <v>621.36740599999996</v>
      </c>
      <c r="AP9" s="423">
        <f>SUMIFS('48 KMP -Tháng'!AR$2:AR$53,'48 KMP -Tháng'!$C$2:$C$53,'18 KMP- Tháng'!$D9)</f>
        <v>578.64556600000003</v>
      </c>
      <c r="AQ9" s="423">
        <f>SUMIFS('48 KMP -Tháng'!AS$2:AS$53,'48 KMP -Tháng'!$C$2:$C$53,'18 KMP- Tháng'!$D9)+SUMIFS('48 KMP -Tháng'!AT$2:AT$53,'48 KMP -Tháng'!$C$2:$C$53,'18 KMP- Tháng'!$D9)</f>
        <v>1143.2730710000001</v>
      </c>
      <c r="AR9" s="797">
        <f t="shared" si="3"/>
        <v>1457.5194854166666</v>
      </c>
      <c r="AS9" s="423">
        <f>SUMIFS('48 KMP -Tháng'!AV$2:AV$53,'48 KMP -Tháng'!$C$2:$C$53,'18 KMP- Tháng'!$D9)</f>
        <v>891.17733899999996</v>
      </c>
      <c r="AT9" s="423">
        <f>SUMIFS('48 KMP -Tháng'!AW$2:AW$53,'48 KMP -Tháng'!$C$2:$C$53,'18 KMP- Tháng'!$D9)</f>
        <v>288.56129600000003</v>
      </c>
      <c r="AU9" s="423">
        <f>SUMIFS('48 KMP -Tháng'!AX$2:AX$53,'48 KMP -Tháng'!$C$2:$C$53,'18 KMP- Tháng'!$D9)</f>
        <v>1763.335605</v>
      </c>
      <c r="AV9" s="423">
        <f>SUMIFS('48 KMP -Tháng'!AY$2:AY$53,'48 KMP -Tháng'!$C$2:$C$53,'18 KMP- Tháng'!$D9)</f>
        <v>1386.5963529999999</v>
      </c>
      <c r="AW9" s="423">
        <f>SUMIFS('48 KMP -Tháng'!AZ$2:AZ$53,'48 KMP -Tháng'!$C$2:$C$53,'18 KMP- Tháng'!$D9)</f>
        <v>1815.041453</v>
      </c>
      <c r="AX9" s="423">
        <f>SUMIFS('48 KMP -Tháng'!BA$2:BA$53,'48 KMP -Tháng'!$C$2:$C$53,'18 KMP- Tháng'!$D9)</f>
        <v>0</v>
      </c>
      <c r="AY9" s="423">
        <f>SUMIFS('48 KMP -Tháng'!BB$2:BB$53,'48 KMP -Tháng'!$C$2:$C$53,'18 KMP- Tháng'!$D9)</f>
        <v>0</v>
      </c>
      <c r="AZ9" s="423">
        <f>SUMIFS('48 KMP -Tháng'!BC$2:BC$53,'48 KMP -Tháng'!$C$2:$C$53,'18 KMP- Tháng'!$D9)</f>
        <v>0</v>
      </c>
      <c r="BA9" s="423">
        <f>SUMIFS('48 KMP -Tháng'!BD$2:BD$53,'48 KMP -Tháng'!$C$2:$C$53,'18 KMP- Tháng'!$D9)</f>
        <v>0</v>
      </c>
      <c r="BB9" s="423">
        <f>SUMIFS('48 KMP -Tháng'!BE$2:BE$53,'48 KMP -Tháng'!$C$2:$C$53,'18 KMP- Tháng'!$D9)</f>
        <v>0</v>
      </c>
      <c r="BC9" s="423">
        <f>SUMIFS('48 KMP -Tháng'!BF$2:BF$53,'48 KMP -Tháng'!$C$2:$C$53,'18 KMP- Tháng'!$D9)</f>
        <v>0</v>
      </c>
      <c r="BD9" s="423">
        <f>SUMIFS('48 KMP -Tháng'!BG$2:BG$53,'48 KMP -Tháng'!$C$2:$C$53,'18 KMP- Tháng'!$D9)</f>
        <v>0</v>
      </c>
      <c r="BE9" s="797">
        <f t="shared" si="4"/>
        <v>512.05933716666664</v>
      </c>
      <c r="BF9" s="425">
        <f>SUMIFS('48 KMP -Tháng'!BI$2:BI$53,'48 KMP -Tháng'!$C$2:$C$53,'18 KMP- Tháng'!$D9)</f>
        <v>1335.6927381118819</v>
      </c>
      <c r="BG9" s="426"/>
      <c r="BH9" s="427">
        <f>SUMIFS('48 KMP -Tháng'!BL$2:BL$50,'48 KMP -Tháng'!$C$2:$C$50,'18 KMP- Tháng'!$D9)</f>
        <v>1261.1159216334902</v>
      </c>
      <c r="BI9" s="427">
        <f>SUMIFS('48 KMP -Tháng'!BM$2:BM$50,'48 KMP -Tháng'!$C$2:$C$50,'18 KMP- Tháng'!$D9)</f>
        <v>1061.7856150241835</v>
      </c>
      <c r="BJ9" s="427">
        <f>SUMIFS('48 KMP -Tháng'!BN$2:BN$50,'48 KMP -Tháng'!$C$2:$C$50,'18 KMP- Tháng'!$D9)</f>
        <v>1335.6927381118819</v>
      </c>
      <c r="BK9" s="427">
        <f>SUMIFS('48 KMP -Tháng'!BO$2:BO$50,'48 KMP -Tháng'!$C$2:$C$50,'18 KMP- Tháng'!$D9)</f>
        <v>1335.6927381118819</v>
      </c>
      <c r="BL9" s="427">
        <f>SUMIFS('48 KMP -Tháng'!BP$2:BP$50,'48 KMP -Tháng'!$C$2:$C$50,'18 KMP- Tháng'!$D9)</f>
        <v>1335.6927381118819</v>
      </c>
      <c r="BM9" s="427">
        <f>SUMIFS('48 KMP -Tháng'!BQ$2:BQ$50,'48 KMP -Tháng'!$C$2:$C$50,'18 KMP- Tháng'!$D9)</f>
        <v>1367.5559174597081</v>
      </c>
      <c r="BN9" s="427">
        <f>SUMIFS('48 KMP -Tháng'!BR$2:BR$50,'48 KMP -Tháng'!$C$2:$C$50,'18 KMP- Tháng'!$D9)</f>
        <v>1380.1000858728389</v>
      </c>
      <c r="BO9" s="427">
        <f>SUMIFS('48 KMP -Tháng'!BS$2:BS$50,'48 KMP -Tháng'!$C$2:$C$50,'18 KMP- Tháng'!$D9)</f>
        <v>1411.9632652206651</v>
      </c>
      <c r="BP9" s="427">
        <f>SUMIFS('48 KMP -Tháng'!BT$2:BT$50,'48 KMP -Tháng'!$C$2:$C$50,'18 KMP- Tháng'!$D9)</f>
        <v>1380.1000858728389</v>
      </c>
      <c r="BQ9" s="427">
        <f>SUMIFS('48 KMP -Tháng'!BU$2:BU$50,'48 KMP -Tháng'!$C$2:$C$50,'18 KMP- Tháng'!$D9)</f>
        <v>1411.9632652206651</v>
      </c>
      <c r="BR9" s="427">
        <f>SUMIFS('48 KMP -Tháng'!BV$2:BV$50,'48 KMP -Tháng'!$C$2:$C$50,'18 KMP- Tháng'!$D9)</f>
        <v>1380.1000858728389</v>
      </c>
      <c r="BS9" s="427">
        <f>SUMIFS('48 KMP -Tháng'!BW$2:BW$50,'48 KMP -Tháng'!$C$2:$C$50,'18 KMP- Tháng'!$D9)</f>
        <v>1411.9632652206651</v>
      </c>
      <c r="BT9" s="427">
        <f t="shared" si="5"/>
        <v>16073.725721733541</v>
      </c>
    </row>
    <row r="10" spans="1:74">
      <c r="A10" s="315">
        <v>8</v>
      </c>
      <c r="B10" s="422">
        <f t="shared" si="6"/>
        <v>5</v>
      </c>
      <c r="C10" s="422" t="s">
        <v>425</v>
      </c>
      <c r="D10" s="422" t="s">
        <v>433</v>
      </c>
      <c r="E10" s="423">
        <f>SUMIFS('48 KMP -Tháng'!$F$2:$F$53,'48 KMP -Tháng'!$C$2:$C$53,'18 KMP- Tháng'!D10)</f>
        <v>506.18997171428572</v>
      </c>
      <c r="F10" s="423">
        <f>SUMIFS('48 KMP -Tháng'!$G$2:$G$53,'48 KMP -Tháng'!$C$2:$C$53,'18 KMP- Tháng'!D10)</f>
        <v>672.82795971428573</v>
      </c>
      <c r="G10" s="424">
        <f>SUMIFS('48 KMP -Tháng'!$H$2:$H$53,'48 KMP -Tháng'!$C$2:$C$53,'18 KMP- Tháng'!D10)</f>
        <v>560.09279471428579</v>
      </c>
      <c r="H10" s="423">
        <f>SUMIFS('48 KMP -Tháng'!$I$2:$I$53,'48 KMP -Tháng'!$C$2:$C$53,'18 KMP- Tháng'!D10)</f>
        <v>560.44612071428571</v>
      </c>
      <c r="I10" s="423">
        <f>SUMIFS('48 KMP -Tháng'!$J$2:$J$53,'48 KMP -Tháng'!$C$2:$C$53,'18 KMP- Tháng'!D10)</f>
        <v>799.14080971428575</v>
      </c>
      <c r="J10" s="423">
        <f>SUMIFS('48 KMP -Tháng'!$K$2:$K$53,'48 KMP -Tháng'!$C$2:$C$53,'18 KMP- Tháng'!D10)</f>
        <v>873.28510571428558</v>
      </c>
      <c r="K10" s="423">
        <f>SUMIFS('48 KMP -Tháng'!$L$2:$L$53,'48 KMP -Tháng'!$C$2:$C$53,'18 KMP- Tháng'!D10)</f>
        <v>761.8325617142857</v>
      </c>
      <c r="L10" s="423">
        <f>SUMIFS('48 KMP -Tháng'!$M$2:$M$53,'48 KMP -Tháng'!$C$2:$C$53,'18 KMP- Tháng'!D10)</f>
        <v>645.47633700000006</v>
      </c>
      <c r="M10" s="423">
        <f>SUMIFS('48 KMP -Tháng'!$N$2:$N$53,'48 KMP -Tháng'!$C$2:$C$53,'18 KMP- Tháng'!D10)</f>
        <v>350.176649</v>
      </c>
      <c r="N10" s="423">
        <f>SUMIFS('48 KMP -Tháng'!$O$2:$O$53,'48 KMP -Tháng'!$C$2:$C$53,'18 KMP- Tháng'!$D10)</f>
        <v>630.18526300000008</v>
      </c>
      <c r="O10" s="423">
        <f>SUMIFS('48 KMP -Tháng'!$P$2:$P$53,'48 KMP -Tháng'!$C$2:$C$53,'18 KMP- Tháng'!$D10)</f>
        <v>343.90646400000003</v>
      </c>
      <c r="P10" s="423">
        <f>SUMIFS('48 KMP -Tháng'!$Q$2:$Q$53,'48 KMP -Tháng'!$C$2:$C$53,'18 KMP- Tháng'!$D10)</f>
        <v>659.73066800000004</v>
      </c>
      <c r="Q10" s="424">
        <f t="shared" si="0"/>
        <v>613.60755875000007</v>
      </c>
      <c r="R10" s="423">
        <f>SUMIFS('48 KMP -Tháng'!$S$2:$S$53,'48 KMP -Tháng'!$C$2:$C$53,'18 KMP- Tháng'!$D10)</f>
        <v>1049.5836839999999</v>
      </c>
      <c r="S10" s="423">
        <f>SUMIFS('48 KMP -Tháng'!T$2:T$53,'48 KMP -Tháng'!$C$2:$C$53,'18 KMP- Tháng'!$D10)</f>
        <v>509.616218</v>
      </c>
      <c r="T10" s="423">
        <f>SUMIFS('48 KMP -Tháng'!U$2:U$53,'48 KMP -Tháng'!$C$2:$C$53,'18 KMP- Tháng'!$D10)</f>
        <v>853.83649100000014</v>
      </c>
      <c r="U10" s="423">
        <f>SUMIFS('48 KMP -Tháng'!V$2:V$53,'48 KMP -Tháng'!$C$2:$C$53,'18 KMP- Tháng'!$D10)</f>
        <v>1335.8144870000001</v>
      </c>
      <c r="V10" s="423">
        <f>SUMIFS('48 KMP -Tháng'!W$2:W$53,'48 KMP -Tháng'!$C$2:$C$53,'18 KMP- Tháng'!$D10)</f>
        <v>966.32636600000001</v>
      </c>
      <c r="W10" s="423">
        <f>SUMIFS('48 KMP -Tháng'!X$2:X$53,'48 KMP -Tháng'!$C$2:$C$53,'18 KMP- Tháng'!$D10)</f>
        <v>912.85520700000006</v>
      </c>
      <c r="X10" s="423">
        <f>SUMIFS('48 KMP -Tháng'!Y$2:Y$53,'48 KMP -Tháng'!$C$2:$C$53,'18 KMP- Tháng'!$D10)</f>
        <v>520.75816499999996</v>
      </c>
      <c r="Y10" s="423">
        <f>SUMIFS('48 KMP -Tháng'!Z$2:Z$53,'48 KMP -Tháng'!$C$2:$C$53,'18 KMP- Tháng'!$D10)</f>
        <v>564.89229</v>
      </c>
      <c r="Z10" s="423">
        <f>SUMIFS('48 KMP -Tháng'!AA$2:AA$53,'48 KMP -Tháng'!$C$2:$C$53,'18 KMP- Tháng'!$D10)</f>
        <v>595.12693999999999</v>
      </c>
      <c r="AA10" s="423">
        <f>SUMIFS('48 KMP -Tháng'!AB$2:AB$53,'48 KMP -Tháng'!$C$2:$C$53,'18 KMP- Tháng'!$D10)</f>
        <v>617.46688100000006</v>
      </c>
      <c r="AB10" s="423">
        <f>SUMIFS('48 KMP -Tháng'!AC$2:AC$53,'48 KMP -Tháng'!$C$2:$C$53,'18 KMP- Tháng'!$D10)</f>
        <v>391.55066700000009</v>
      </c>
      <c r="AC10" s="423">
        <f>SUMIFS('48 KMP -Tháng'!AD$2:AD$53,'48 KMP -Tháng'!$C$2:$C$53,'18 KMP- Tháng'!$D10)+SUMIFS('48 KMP -Tháng'!$AE$2:$AE$53,'48 KMP -Tháng'!$C$2:$C$53,'18 KMP- Tháng'!D10)</f>
        <v>712.96486799999991</v>
      </c>
      <c r="AD10" s="425">
        <f t="shared" si="1"/>
        <v>9030.7922639999997</v>
      </c>
      <c r="AE10" s="797">
        <f t="shared" si="2"/>
        <v>752.56602199999998</v>
      </c>
      <c r="AF10" s="423">
        <f>SUMIFS('48 KMP -Tháng'!AH$2:AH$53,'48 KMP -Tháng'!$C$2:$C$53,'18 KMP- Tháng'!$D10)</f>
        <v>651.92658599999993</v>
      </c>
      <c r="AG10" s="423">
        <f>SUMIFS('48 KMP -Tháng'!AI$2:AI$53,'48 KMP -Tháng'!$C$2:$C$53,'18 KMP- Tháng'!$D10)</f>
        <v>650.03934099999992</v>
      </c>
      <c r="AH10" s="423">
        <f>SUMIFS('48 KMP -Tháng'!AJ$2:AJ$53,'48 KMP -Tháng'!$C$2:$C$53,'18 KMP- Tháng'!$D10)</f>
        <v>690.69229599999994</v>
      </c>
      <c r="AI10" s="423">
        <f>SUMIFS('48 KMP -Tháng'!AK$2:AK$53,'48 KMP -Tháng'!$C$2:$C$53,'18 KMP- Tháng'!$D10)</f>
        <v>1001.1216220000001</v>
      </c>
      <c r="AJ10" s="423">
        <f>SUMIFS('48 KMP -Tháng'!AL$2:AL$53,'48 KMP -Tháng'!$C$2:$C$53,'18 KMP- Tháng'!$D10)</f>
        <v>741.13178800000003</v>
      </c>
      <c r="AK10" s="423">
        <f>SUMIFS('48 KMP -Tháng'!AM$2:AM$53,'48 KMP -Tháng'!$C$2:$C$53,'18 KMP- Tháng'!$D10)</f>
        <v>729.99674899999991</v>
      </c>
      <c r="AL10" s="423">
        <f>SUMIFS('48 KMP -Tháng'!AN$2:AN$53,'48 KMP -Tháng'!$C$2:$C$53,'18 KMP- Tháng'!$D10)</f>
        <v>740.56924600000002</v>
      </c>
      <c r="AM10" s="423">
        <f>SUMIFS('48 KMP -Tháng'!AO$2:AO$53,'48 KMP -Tháng'!$C$2:$C$53,'18 KMP- Tháng'!$D10)</f>
        <v>843.21874899999989</v>
      </c>
      <c r="AN10" s="423">
        <f>SUMIFS('48 KMP -Tháng'!AP$2:AP$53,'48 KMP -Tháng'!$C$2:$C$53,'18 KMP- Tháng'!$D10)</f>
        <v>835.662372</v>
      </c>
      <c r="AO10" s="423">
        <f>SUMIFS('48 KMP -Tháng'!AQ$2:AQ$53,'48 KMP -Tháng'!$C$2:$C$53,'18 KMP- Tháng'!$D10)</f>
        <v>583.21540899999991</v>
      </c>
      <c r="AP10" s="423">
        <f>SUMIFS('48 KMP -Tháng'!AR$2:AR$53,'48 KMP -Tháng'!$C$2:$C$53,'18 KMP- Tháng'!$D10)</f>
        <v>697.80455400000005</v>
      </c>
      <c r="AQ10" s="423">
        <f>SUMIFS('48 KMP -Tháng'!AS$2:AS$53,'48 KMP -Tháng'!$C$2:$C$53,'18 KMP- Tháng'!$D10)+SUMIFS('48 KMP -Tháng'!AT$2:AT$53,'48 KMP -Tháng'!$C$2:$C$53,'18 KMP- Tháng'!$D10)</f>
        <v>701.65235099999995</v>
      </c>
      <c r="AR10" s="797">
        <f t="shared" si="3"/>
        <v>738.91925524999999</v>
      </c>
      <c r="AS10" s="423">
        <f>SUMIFS('48 KMP -Tháng'!AV$2:AV$53,'48 KMP -Tháng'!$C$2:$C$53,'18 KMP- Tháng'!$D10)</f>
        <v>723.64311799999996</v>
      </c>
      <c r="AT10" s="423">
        <f>SUMIFS('48 KMP -Tháng'!AW$2:AW$53,'48 KMP -Tháng'!$C$2:$C$53,'18 KMP- Tháng'!$D10)</f>
        <v>385.26513599999998</v>
      </c>
      <c r="AU10" s="423">
        <f>SUMIFS('48 KMP -Tháng'!AX$2:AX$53,'48 KMP -Tháng'!$C$2:$C$53,'18 KMP- Tháng'!$D10)</f>
        <v>813.85053300000015</v>
      </c>
      <c r="AV10" s="423">
        <f>SUMIFS('48 KMP -Tháng'!AY$2:AY$53,'48 KMP -Tháng'!$C$2:$C$53,'18 KMP- Tháng'!$D10)</f>
        <v>873.70922099999984</v>
      </c>
      <c r="AW10" s="423">
        <f>SUMIFS('48 KMP -Tháng'!AZ$2:AZ$53,'48 KMP -Tháng'!$C$2:$C$53,'18 KMP- Tháng'!$D10)</f>
        <v>685.02571699999999</v>
      </c>
      <c r="AX10" s="423">
        <f>SUMIFS('48 KMP -Tháng'!BA$2:BA$53,'48 KMP -Tháng'!$C$2:$C$53,'18 KMP- Tháng'!$D10)</f>
        <v>0</v>
      </c>
      <c r="AY10" s="423">
        <f>SUMIFS('48 KMP -Tháng'!BB$2:BB$53,'48 KMP -Tháng'!$C$2:$C$53,'18 KMP- Tháng'!$D10)</f>
        <v>0</v>
      </c>
      <c r="AZ10" s="423">
        <f>SUMIFS('48 KMP -Tháng'!BC$2:BC$53,'48 KMP -Tháng'!$C$2:$C$53,'18 KMP- Tháng'!$D10)</f>
        <v>0</v>
      </c>
      <c r="BA10" s="423">
        <f>SUMIFS('48 KMP -Tháng'!BD$2:BD$53,'48 KMP -Tháng'!$C$2:$C$53,'18 KMP- Tháng'!$D10)</f>
        <v>0</v>
      </c>
      <c r="BB10" s="423">
        <f>SUMIFS('48 KMP -Tháng'!BE$2:BE$53,'48 KMP -Tháng'!$C$2:$C$53,'18 KMP- Tháng'!$D10)</f>
        <v>0</v>
      </c>
      <c r="BC10" s="423">
        <f>SUMIFS('48 KMP -Tháng'!BF$2:BF$53,'48 KMP -Tháng'!$C$2:$C$53,'18 KMP- Tháng'!$D10)</f>
        <v>0</v>
      </c>
      <c r="BD10" s="423">
        <f>SUMIFS('48 KMP -Tháng'!BG$2:BG$53,'48 KMP -Tháng'!$C$2:$C$53,'18 KMP- Tháng'!$D10)</f>
        <v>0</v>
      </c>
      <c r="BE10" s="797">
        <f t="shared" si="4"/>
        <v>290.12447708333332</v>
      </c>
      <c r="BF10" s="425">
        <f>SUMIFS('48 KMP -Tháng'!BI$2:BI$53,'48 KMP -Tháng'!$C$2:$C$53,'18 KMP- Tháng'!$D10)</f>
        <v>892.47321115844761</v>
      </c>
      <c r="BG10" s="426"/>
      <c r="BH10" s="427">
        <f>SUMIFS('48 KMP -Tháng'!BL$2:BL$50,'48 KMP -Tháng'!$C$2:$C$50,'18 KMP- Tháng'!$D10)</f>
        <v>853.34915904919683</v>
      </c>
      <c r="BI10" s="427">
        <f>SUMIFS('48 KMP -Tháng'!BM$2:BM$50,'48 KMP -Tháng'!$C$2:$C$50,'18 KMP- Tháng'!$D10)</f>
        <v>844.22219137886339</v>
      </c>
      <c r="BJ10" s="427">
        <f>SUMIFS('48 KMP -Tháng'!BN$2:BN$50,'48 KMP -Tháng'!$C$2:$C$50,'18 KMP- Tháng'!$D10)</f>
        <v>912.84713600910391</v>
      </c>
      <c r="BK10" s="427">
        <f>SUMIFS('48 KMP -Tháng'!BO$2:BO$50,'48 KMP -Tháng'!$C$2:$C$50,'18 KMP- Tháng'!$D10)</f>
        <v>908.12146033958811</v>
      </c>
      <c r="BL10" s="427">
        <f>SUMIFS('48 KMP -Tháng'!BP$2:BP$50,'48 KMP -Tháng'!$C$2:$C$50,'18 KMP- Tháng'!$D10)</f>
        <v>892.47321115844761</v>
      </c>
      <c r="BM10" s="427">
        <f>SUMIFS('48 KMP -Tháng'!BQ$2:BQ$50,'48 KMP -Tháng'!$C$2:$C$50,'18 KMP- Tháng'!$D10)</f>
        <v>920.52322520138603</v>
      </c>
      <c r="BN10" s="427">
        <f>SUMIFS('48 KMP -Tháng'!BR$2:BR$50,'48 KMP -Tháng'!$C$2:$C$50,'18 KMP- Tháng'!$D10)</f>
        <v>907.35152134407076</v>
      </c>
      <c r="BO10" s="427">
        <f>SUMIFS('48 KMP -Tháng'!BS$2:BS$50,'48 KMP -Tháng'!$C$2:$C$50,'18 KMP- Tháng'!$D10)</f>
        <v>886.29096087982316</v>
      </c>
      <c r="BP10" s="427">
        <f>SUMIFS('48 KMP -Tháng'!BT$2:BT$50,'48 KMP -Tháng'!$C$2:$C$50,'18 KMP- Tháng'!$D10)</f>
        <v>909.78949122726772</v>
      </c>
      <c r="BQ10" s="427">
        <f>SUMIFS('48 KMP -Tháng'!BU$2:BU$50,'48 KMP -Tháng'!$C$2:$C$50,'18 KMP- Tháng'!$D10)</f>
        <v>932.98912161133831</v>
      </c>
      <c r="BR10" s="427">
        <f>SUMIFS('48 KMP -Tháng'!BV$2:BV$50,'48 KMP -Tháng'!$C$2:$C$50,'18 KMP- Tháng'!$D10)</f>
        <v>902.5899625090899</v>
      </c>
      <c r="BS10" s="427">
        <f>SUMIFS('48 KMP -Tháng'!BW$2:BW$50,'48 KMP -Tháng'!$C$2:$C$50,'18 KMP- Tháng'!$D10)</f>
        <v>884.72621214597655</v>
      </c>
      <c r="BT10" s="427">
        <f t="shared" si="5"/>
        <v>10755.273652854152</v>
      </c>
    </row>
    <row r="11" spans="1:74">
      <c r="A11" s="315">
        <v>9</v>
      </c>
      <c r="B11" s="422">
        <f t="shared" si="6"/>
        <v>6</v>
      </c>
      <c r="C11" s="422" t="s">
        <v>425</v>
      </c>
      <c r="D11" s="422" t="s">
        <v>434</v>
      </c>
      <c r="E11" s="423">
        <f>SUMIFS('48 KMP -Tháng'!$F$2:$F$53,'48 KMP -Tháng'!$C$2:$C$53,'18 KMP- Tháng'!D11)</f>
        <v>152.05214899999999</v>
      </c>
      <c r="F11" s="423">
        <f>SUMIFS('48 KMP -Tháng'!$G$2:$G$53,'48 KMP -Tháng'!$C$2:$C$53,'18 KMP- Tháng'!D11)</f>
        <v>295.56509199999999</v>
      </c>
      <c r="G11" s="424">
        <f>SUMIFS('48 KMP -Tháng'!$H$2:$H$53,'48 KMP -Tháng'!$C$2:$C$53,'18 KMP- Tháng'!D11)</f>
        <v>305.73982000000001</v>
      </c>
      <c r="H11" s="423">
        <f>SUMIFS('48 KMP -Tháng'!$I$2:$I$53,'48 KMP -Tháng'!$C$2:$C$53,'18 KMP- Tháng'!D11)</f>
        <v>277.99661799999996</v>
      </c>
      <c r="I11" s="423">
        <f>SUMIFS('48 KMP -Tháng'!$J$2:$J$53,'48 KMP -Tháng'!$C$2:$C$53,'18 KMP- Tháng'!D11)</f>
        <v>375.61647699999997</v>
      </c>
      <c r="J11" s="423">
        <f>SUMIFS('48 KMP -Tháng'!$K$2:$K$53,'48 KMP -Tháng'!$C$2:$C$53,'18 KMP- Tháng'!D11)</f>
        <v>369.88611800000001</v>
      </c>
      <c r="K11" s="423">
        <f>SUMIFS('48 KMP -Tháng'!$L$2:$L$53,'48 KMP -Tháng'!$C$2:$C$53,'18 KMP- Tháng'!D11)</f>
        <v>387.17141699999996</v>
      </c>
      <c r="L11" s="423">
        <f>SUMIFS('48 KMP -Tháng'!$M$2:$M$53,'48 KMP -Tháng'!$C$2:$C$53,'18 KMP- Tháng'!D11)</f>
        <v>391.41397599999993</v>
      </c>
      <c r="M11" s="423">
        <f>SUMIFS('48 KMP -Tháng'!$N$2:$N$53,'48 KMP -Tháng'!$C$2:$C$53,'18 KMP- Tháng'!D11)</f>
        <v>380.972599</v>
      </c>
      <c r="N11" s="423">
        <f>SUMIFS('48 KMP -Tháng'!$O$2:$O$53,'48 KMP -Tháng'!$C$2:$C$53,'18 KMP- Tháng'!$D11)</f>
        <v>419.34907600000003</v>
      </c>
      <c r="O11" s="423">
        <f>SUMIFS('48 KMP -Tháng'!$P$2:$P$53,'48 KMP -Tháng'!$C$2:$C$53,'18 KMP- Tháng'!$D11)</f>
        <v>320.70876299999998</v>
      </c>
      <c r="P11" s="423">
        <f>SUMIFS('48 KMP -Tháng'!$Q$2:$Q$53,'48 KMP -Tháng'!$C$2:$C$53,'18 KMP- Tháng'!$D11)</f>
        <v>684.97181799999998</v>
      </c>
      <c r="Q11" s="424">
        <f t="shared" si="0"/>
        <v>363.45366024999998</v>
      </c>
      <c r="R11" s="423">
        <f>SUMIFS('48 KMP -Tháng'!$S$2:$S$53,'48 KMP -Tháng'!$C$2:$C$53,'18 KMP- Tháng'!$D11)</f>
        <v>914.03018499999996</v>
      </c>
      <c r="S11" s="423">
        <f>SUMIFS('48 KMP -Tháng'!T$2:T$53,'48 KMP -Tháng'!$C$2:$C$53,'18 KMP- Tháng'!$D11)</f>
        <v>427.32569400000011</v>
      </c>
      <c r="T11" s="423">
        <f>SUMIFS('48 KMP -Tháng'!U$2:U$53,'48 KMP -Tháng'!$C$2:$C$53,'18 KMP- Tháng'!$D11)</f>
        <v>761.12916300000006</v>
      </c>
      <c r="U11" s="423">
        <f>SUMIFS('48 KMP -Tháng'!V$2:V$53,'48 KMP -Tháng'!$C$2:$C$53,'18 KMP- Tháng'!$D11)</f>
        <v>676.13008899999988</v>
      </c>
      <c r="V11" s="423">
        <f>SUMIFS('48 KMP -Tháng'!W$2:W$53,'48 KMP -Tháng'!$C$2:$C$53,'18 KMP- Tháng'!$D11)</f>
        <v>693.03544600000009</v>
      </c>
      <c r="W11" s="423">
        <f>SUMIFS('48 KMP -Tháng'!X$2:X$53,'48 KMP -Tháng'!$C$2:$C$53,'18 KMP- Tháng'!$D11)</f>
        <v>782.97129899999982</v>
      </c>
      <c r="X11" s="423">
        <f>SUMIFS('48 KMP -Tháng'!Y$2:Y$53,'48 KMP -Tháng'!$C$2:$C$53,'18 KMP- Tháng'!$D11)</f>
        <v>321.45073600000001</v>
      </c>
      <c r="Y11" s="423">
        <f>SUMIFS('48 KMP -Tháng'!Z$2:Z$53,'48 KMP -Tháng'!$C$2:$C$53,'18 KMP- Tháng'!$D11)</f>
        <v>361.48229300000003</v>
      </c>
      <c r="Z11" s="423">
        <f>SUMIFS('48 KMP -Tháng'!AA$2:AA$53,'48 KMP -Tháng'!$C$2:$C$53,'18 KMP- Tháng'!$D11)</f>
        <v>516.38720899999998</v>
      </c>
      <c r="AA11" s="423">
        <f>SUMIFS('48 KMP -Tháng'!AB$2:AB$53,'48 KMP -Tháng'!$C$2:$C$53,'18 KMP- Tháng'!$D11)</f>
        <v>707.21815000000004</v>
      </c>
      <c r="AB11" s="423">
        <f>SUMIFS('48 KMP -Tháng'!AC$2:AC$53,'48 KMP -Tháng'!$C$2:$C$53,'18 KMP- Tháng'!$D11)</f>
        <v>824.52075600000001</v>
      </c>
      <c r="AC11" s="423">
        <f>SUMIFS('48 KMP -Tháng'!AD$2:AD$53,'48 KMP -Tháng'!$C$2:$C$53,'18 KMP- Tháng'!$D11)+SUMIFS('48 KMP -Tháng'!$AE$2:$AE$53,'48 KMP -Tháng'!$C$2:$C$53,'18 KMP- Tháng'!D11)</f>
        <v>612.23483699999997</v>
      </c>
      <c r="AD11" s="425">
        <f t="shared" si="1"/>
        <v>7597.9158569999991</v>
      </c>
      <c r="AE11" s="797">
        <f t="shared" si="2"/>
        <v>633.15965474999996</v>
      </c>
      <c r="AF11" s="423">
        <f>SUMIFS('48 KMP -Tháng'!AH$2:AH$53,'48 KMP -Tháng'!$C$2:$C$53,'18 KMP- Tháng'!$D11)</f>
        <v>300.54102</v>
      </c>
      <c r="AG11" s="423">
        <f>SUMIFS('48 KMP -Tháng'!AI$2:AI$53,'48 KMP -Tháng'!$C$2:$C$53,'18 KMP- Tháng'!$D11)</f>
        <v>507.62118800000002</v>
      </c>
      <c r="AH11" s="423">
        <f>SUMIFS('48 KMP -Tháng'!AJ$2:AJ$53,'48 KMP -Tháng'!$C$2:$C$53,'18 KMP- Tháng'!$D11)</f>
        <v>790.04556200000002</v>
      </c>
      <c r="AI11" s="423">
        <f>SUMIFS('48 KMP -Tháng'!AK$2:AK$53,'48 KMP -Tháng'!$C$2:$C$53,'18 KMP- Tháng'!$D11)</f>
        <v>662.42186100000004</v>
      </c>
      <c r="AJ11" s="423">
        <f>SUMIFS('48 KMP -Tháng'!AL$2:AL$53,'48 KMP -Tháng'!$C$2:$C$53,'18 KMP- Tháng'!$D11)</f>
        <v>955.79570799999999</v>
      </c>
      <c r="AK11" s="423">
        <f>SUMIFS('48 KMP -Tháng'!AM$2:AM$53,'48 KMP -Tháng'!$C$2:$C$53,'18 KMP- Tháng'!$D11)</f>
        <v>756.01673500000004</v>
      </c>
      <c r="AL11" s="423">
        <f>SUMIFS('48 KMP -Tháng'!AN$2:AN$53,'48 KMP -Tháng'!$C$2:$C$53,'18 KMP- Tháng'!$D11)</f>
        <v>856.03756999999996</v>
      </c>
      <c r="AM11" s="423">
        <f>SUMIFS('48 KMP -Tháng'!AO$2:AO$53,'48 KMP -Tháng'!$C$2:$C$53,'18 KMP- Tháng'!$D11)</f>
        <v>870.71485299999995</v>
      </c>
      <c r="AN11" s="423">
        <f>SUMIFS('48 KMP -Tháng'!AP$2:AP$53,'48 KMP -Tháng'!$C$2:$C$53,'18 KMP- Tháng'!$D11)</f>
        <v>886.40273999999999</v>
      </c>
      <c r="AO11" s="423">
        <f>SUMIFS('48 KMP -Tháng'!AQ$2:AQ$53,'48 KMP -Tháng'!$C$2:$C$53,'18 KMP- Tháng'!$D11)</f>
        <v>635.75522799999999</v>
      </c>
      <c r="AP11" s="423">
        <f>SUMIFS('48 KMP -Tháng'!AR$2:AR$53,'48 KMP -Tháng'!$C$2:$C$53,'18 KMP- Tháng'!$D11)</f>
        <v>533.96862999999996</v>
      </c>
      <c r="AQ11" s="423">
        <f>SUMIFS('48 KMP -Tháng'!AS$2:AS$53,'48 KMP -Tháng'!$C$2:$C$53,'18 KMP- Tháng'!$D11)+SUMIFS('48 KMP -Tháng'!AT$2:AT$53,'48 KMP -Tháng'!$C$2:$C$53,'18 KMP- Tháng'!$D11)</f>
        <v>735.36080700000002</v>
      </c>
      <c r="AR11" s="797">
        <f t="shared" si="3"/>
        <v>707.55682516666673</v>
      </c>
      <c r="AS11" s="423">
        <f>SUMIFS('48 KMP -Tháng'!AV$2:AV$53,'48 KMP -Tháng'!$C$2:$C$53,'18 KMP- Tháng'!$D11)</f>
        <v>606.64757799999995</v>
      </c>
      <c r="AT11" s="423">
        <f>SUMIFS('48 KMP -Tháng'!AW$2:AW$53,'48 KMP -Tháng'!$C$2:$C$53,'18 KMP- Tháng'!$D11)</f>
        <v>347.65498300000002</v>
      </c>
      <c r="AU11" s="423">
        <f>SUMIFS('48 KMP -Tháng'!AX$2:AX$53,'48 KMP -Tháng'!$C$2:$C$53,'18 KMP- Tháng'!$D11)</f>
        <v>813.90419799999995</v>
      </c>
      <c r="AV11" s="423">
        <f>SUMIFS('48 KMP -Tháng'!AY$2:AY$53,'48 KMP -Tháng'!$C$2:$C$53,'18 KMP- Tháng'!$D11)</f>
        <v>1024.397252</v>
      </c>
      <c r="AW11" s="423">
        <f>SUMIFS('48 KMP -Tháng'!AZ$2:AZ$53,'48 KMP -Tháng'!$C$2:$C$53,'18 KMP- Tháng'!$D11)</f>
        <v>785.37370599999997</v>
      </c>
      <c r="AX11" s="423">
        <f>SUMIFS('48 KMP -Tháng'!BA$2:BA$53,'48 KMP -Tháng'!$C$2:$C$53,'18 KMP- Tháng'!$D11)</f>
        <v>0</v>
      </c>
      <c r="AY11" s="423">
        <f>SUMIFS('48 KMP -Tháng'!BB$2:BB$53,'48 KMP -Tháng'!$C$2:$C$53,'18 KMP- Tháng'!$D11)</f>
        <v>0</v>
      </c>
      <c r="AZ11" s="423">
        <f>SUMIFS('48 KMP -Tháng'!BC$2:BC$53,'48 KMP -Tháng'!$C$2:$C$53,'18 KMP- Tháng'!$D11)</f>
        <v>0</v>
      </c>
      <c r="BA11" s="423">
        <f>SUMIFS('48 KMP -Tháng'!BD$2:BD$53,'48 KMP -Tháng'!$C$2:$C$53,'18 KMP- Tháng'!$D11)</f>
        <v>0</v>
      </c>
      <c r="BB11" s="423">
        <f>SUMIFS('48 KMP -Tháng'!BE$2:BE$53,'48 KMP -Tháng'!$C$2:$C$53,'18 KMP- Tháng'!$D11)</f>
        <v>0</v>
      </c>
      <c r="BC11" s="423">
        <f>SUMIFS('48 KMP -Tháng'!BF$2:BF$53,'48 KMP -Tháng'!$C$2:$C$53,'18 KMP- Tháng'!$D11)</f>
        <v>0</v>
      </c>
      <c r="BD11" s="423">
        <f>SUMIFS('48 KMP -Tháng'!BG$2:BG$53,'48 KMP -Tháng'!$C$2:$C$53,'18 KMP- Tháng'!$D11)</f>
        <v>0</v>
      </c>
      <c r="BE11" s="797">
        <f t="shared" si="4"/>
        <v>298.16480974999996</v>
      </c>
      <c r="BF11" s="425">
        <f>SUMIFS('48 KMP -Tháng'!BI$2:BI$53,'48 KMP -Tháng'!$C$2:$C$53,'18 KMP- Tháng'!$D11)</f>
        <v>711.9129784782557</v>
      </c>
      <c r="BG11" s="426"/>
      <c r="BH11" s="427">
        <f>SUMIFS('48 KMP -Tháng'!BL$2:BL$50,'48 KMP -Tháng'!$C$2:$C$50,'18 KMP- Tháng'!$D11)</f>
        <v>679.00817341923403</v>
      </c>
      <c r="BI11" s="427">
        <f>SUMIFS('48 KMP -Tháng'!BM$2:BM$50,'48 KMP -Tháng'!$C$2:$C$50,'18 KMP- Tháng'!$D11)</f>
        <v>562.30502743922989</v>
      </c>
      <c r="BJ11" s="427">
        <f>SUMIFS('48 KMP -Tháng'!BN$2:BN$50,'48 KMP -Tháng'!$C$2:$C$50,'18 KMP- Tháng'!$D11)</f>
        <v>711.9129784782557</v>
      </c>
      <c r="BK11" s="427">
        <f>SUMIFS('48 KMP -Tháng'!BO$2:BO$50,'48 KMP -Tháng'!$C$2:$C$50,'18 KMP- Tháng'!$D11)</f>
        <v>715.21167396458748</v>
      </c>
      <c r="BL11" s="427">
        <f>SUMIFS('48 KMP -Tháng'!BP$2:BP$50,'48 KMP -Tháng'!$C$2:$C$50,'18 KMP- Tháng'!$D11)</f>
        <v>711.9129784782557</v>
      </c>
      <c r="BM11" s="427">
        <f>SUMIFS('48 KMP -Tháng'!BQ$2:BQ$50,'48 KMP -Tháng'!$C$2:$C$50,'18 KMP- Tháng'!$D11)</f>
        <v>735.360959548555</v>
      </c>
      <c r="BN11" s="427">
        <f>SUMIFS('48 KMP -Tháng'!BR$2:BR$50,'48 KMP -Tháng'!$C$2:$C$50,'18 KMP- Tháng'!$D11)</f>
        <v>745.36358318346674</v>
      </c>
      <c r="BO11" s="427">
        <f>SUMIFS('48 KMP -Tháng'!BS$2:BS$50,'48 KMP -Tháng'!$C$2:$C$50,'18 KMP- Tháng'!$D11)</f>
        <v>753.96743456527292</v>
      </c>
      <c r="BP11" s="427">
        <f>SUMIFS('48 KMP -Tháng'!BT$2:BT$50,'48 KMP -Tháng'!$C$2:$C$50,'18 KMP- Tháng'!$D11)</f>
        <v>753.61032189929642</v>
      </c>
      <c r="BQ11" s="427">
        <f>SUMIFS('48 KMP -Tháng'!BU$2:BU$50,'48 KMP -Tháng'!$C$2:$C$50,'18 KMP- Tháng'!$D11)</f>
        <v>757.2661300516047</v>
      </c>
      <c r="BR11" s="427">
        <f>SUMIFS('48 KMP -Tháng'!BV$2:BV$50,'48 KMP -Tháng'!$C$2:$C$50,'18 KMP- Tháng'!$D11)</f>
        <v>742.06488769713496</v>
      </c>
      <c r="BS11" s="427">
        <f>SUMIFS('48 KMP -Tháng'!BW$2:BW$50,'48 KMP -Tháng'!$C$2:$C$50,'18 KMP- Tháng'!$D11)</f>
        <v>753.96743456527292</v>
      </c>
      <c r="BT11" s="427">
        <f t="shared" si="5"/>
        <v>8621.951583290167</v>
      </c>
    </row>
    <row r="12" spans="1:74">
      <c r="A12" s="315">
        <v>10</v>
      </c>
      <c r="B12" s="422">
        <f t="shared" si="6"/>
        <v>7</v>
      </c>
      <c r="C12" s="422" t="s">
        <v>425</v>
      </c>
      <c r="D12" s="422" t="s">
        <v>435</v>
      </c>
      <c r="E12" s="423">
        <f>SUMIFS('48 KMP -Tháng'!$F$2:$F$53,'48 KMP -Tháng'!$C$2:$C$53,'18 KMP- Tháng'!D12)</f>
        <v>182.590125</v>
      </c>
      <c r="F12" s="423">
        <f>SUMIFS('48 KMP -Tháng'!$G$2:$G$53,'48 KMP -Tháng'!$C$2:$C$53,'18 KMP- Tháng'!D12)</f>
        <v>256.21135399999997</v>
      </c>
      <c r="G12" s="424">
        <f>SUMIFS('48 KMP -Tháng'!$H$2:$H$53,'48 KMP -Tháng'!$C$2:$C$53,'18 KMP- Tháng'!D12)</f>
        <v>301.69390099999998</v>
      </c>
      <c r="H12" s="423">
        <f>SUMIFS('48 KMP -Tháng'!$I$2:$I$53,'48 KMP -Tháng'!$C$2:$C$53,'18 KMP- Tháng'!D12)</f>
        <v>299.17255299999999</v>
      </c>
      <c r="I12" s="423">
        <f>SUMIFS('48 KMP -Tháng'!$J$2:$J$53,'48 KMP -Tháng'!$C$2:$C$53,'18 KMP- Tháng'!D12)</f>
        <v>189.954498</v>
      </c>
      <c r="J12" s="423">
        <f>SUMIFS('48 KMP -Tháng'!$K$2:$K$53,'48 KMP -Tháng'!$C$2:$C$53,'18 KMP- Tháng'!D12)</f>
        <v>375.78277400000002</v>
      </c>
      <c r="K12" s="423">
        <f>SUMIFS('48 KMP -Tháng'!$L$2:$L$53,'48 KMP -Tháng'!$C$2:$C$53,'18 KMP- Tháng'!D12)</f>
        <v>320.30577699999998</v>
      </c>
      <c r="L12" s="423">
        <f>SUMIFS('48 KMP -Tháng'!$M$2:$M$53,'48 KMP -Tháng'!$C$2:$C$53,'18 KMP- Tháng'!D12)</f>
        <v>367.61022300000002</v>
      </c>
      <c r="M12" s="423">
        <f>SUMIFS('48 KMP -Tháng'!$N$2:$N$53,'48 KMP -Tháng'!$C$2:$C$53,'18 KMP- Tháng'!D12)</f>
        <v>353.52910800000001</v>
      </c>
      <c r="N12" s="423">
        <f>SUMIFS('48 KMP -Tháng'!$O$2:$O$53,'48 KMP -Tháng'!$C$2:$C$53,'18 KMP- Tháng'!$D12)</f>
        <v>388.27704899999998</v>
      </c>
      <c r="O12" s="423">
        <f>SUMIFS('48 KMP -Tháng'!$P$2:$P$53,'48 KMP -Tháng'!$C$2:$C$53,'18 KMP- Tháng'!$D12)</f>
        <v>446.71388200000001</v>
      </c>
      <c r="P12" s="423">
        <f>SUMIFS('48 KMP -Tháng'!$Q$2:$Q$53,'48 KMP -Tháng'!$C$2:$C$53,'18 KMP- Tháng'!$D12)</f>
        <v>393.87627199999997</v>
      </c>
      <c r="Q12" s="424">
        <f t="shared" si="0"/>
        <v>322.9764596666667</v>
      </c>
      <c r="R12" s="423">
        <f>SUMIFS('48 KMP -Tháng'!$S$2:$S$53,'48 KMP -Tháng'!$C$2:$C$53,'18 KMP- Tháng'!$D12)</f>
        <v>384.35845499999999</v>
      </c>
      <c r="S12" s="423">
        <f>SUMIFS('48 KMP -Tháng'!T$2:T$53,'48 KMP -Tháng'!$C$2:$C$53,'18 KMP- Tháng'!$D12)</f>
        <v>269.68292200000002</v>
      </c>
      <c r="T12" s="423">
        <f>SUMIFS('48 KMP -Tháng'!U$2:U$53,'48 KMP -Tháng'!$C$2:$C$53,'18 KMP- Tháng'!$D12)</f>
        <v>412.65767</v>
      </c>
      <c r="U12" s="423">
        <f>SUMIFS('48 KMP -Tháng'!V$2:V$53,'48 KMP -Tháng'!$C$2:$C$53,'18 KMP- Tháng'!$D12)</f>
        <v>390.64389699999998</v>
      </c>
      <c r="V12" s="423">
        <f>SUMIFS('48 KMP -Tháng'!W$2:W$53,'48 KMP -Tháng'!$C$2:$C$53,'18 KMP- Tháng'!$D12)</f>
        <v>392.92402099999998</v>
      </c>
      <c r="W12" s="423">
        <f>SUMIFS('48 KMP -Tháng'!X$2:X$53,'48 KMP -Tháng'!$C$2:$C$53,'18 KMP- Tháng'!$D12)</f>
        <v>355.37142</v>
      </c>
      <c r="X12" s="423">
        <f>SUMIFS('48 KMP -Tháng'!Y$2:Y$53,'48 KMP -Tháng'!$C$2:$C$53,'18 KMP- Tháng'!$D12)</f>
        <v>315.85756800000001</v>
      </c>
      <c r="Y12" s="423">
        <f>SUMIFS('48 KMP -Tháng'!Z$2:Z$53,'48 KMP -Tháng'!$C$2:$C$53,'18 KMP- Tháng'!$D12)</f>
        <v>267.82147500000002</v>
      </c>
      <c r="Z12" s="423">
        <f>SUMIFS('48 KMP -Tháng'!AA$2:AA$53,'48 KMP -Tháng'!$C$2:$C$53,'18 KMP- Tháng'!$D12)</f>
        <v>264.09719999999999</v>
      </c>
      <c r="AA12" s="423">
        <f>SUMIFS('48 KMP -Tháng'!AB$2:AB$53,'48 KMP -Tháng'!$C$2:$C$53,'18 KMP- Tháng'!$D12)</f>
        <v>311.196507</v>
      </c>
      <c r="AB12" s="423">
        <f>SUMIFS('48 KMP -Tháng'!AC$2:AC$53,'48 KMP -Tháng'!$C$2:$C$53,'18 KMP- Tháng'!$D12)</f>
        <v>316.83887600000003</v>
      </c>
      <c r="AC12" s="423">
        <f>SUMIFS('48 KMP -Tháng'!AD$2:AD$53,'48 KMP -Tháng'!$C$2:$C$53,'18 KMP- Tháng'!$D12)+SUMIFS('48 KMP -Tháng'!$AE$2:$AE$53,'48 KMP -Tháng'!$C$2:$C$53,'18 KMP- Tháng'!D12)</f>
        <v>291.09129999999999</v>
      </c>
      <c r="AD12" s="425">
        <f t="shared" si="1"/>
        <v>3972.5413110000009</v>
      </c>
      <c r="AE12" s="797">
        <f t="shared" si="2"/>
        <v>331.04510925000005</v>
      </c>
      <c r="AF12" s="423">
        <f>SUMIFS('48 KMP -Tháng'!AH$2:AH$53,'48 KMP -Tháng'!$C$2:$C$53,'18 KMP- Tháng'!$D12)</f>
        <v>173.80477400000001</v>
      </c>
      <c r="AG12" s="423">
        <f>SUMIFS('48 KMP -Tháng'!AI$2:AI$53,'48 KMP -Tháng'!$C$2:$C$53,'18 KMP- Tháng'!$D12)</f>
        <v>221.54872700000001</v>
      </c>
      <c r="AH12" s="423">
        <f>SUMIFS('48 KMP -Tháng'!AJ$2:AJ$53,'48 KMP -Tháng'!$C$2:$C$53,'18 KMP- Tháng'!$D12)</f>
        <v>282.94844999999998</v>
      </c>
      <c r="AI12" s="423">
        <f>SUMIFS('48 KMP -Tháng'!AK$2:AK$53,'48 KMP -Tháng'!$C$2:$C$53,'18 KMP- Tháng'!$D12)</f>
        <v>237.639893</v>
      </c>
      <c r="AJ12" s="423">
        <f>SUMIFS('48 KMP -Tháng'!AL$2:AL$53,'48 KMP -Tháng'!$C$2:$C$53,'18 KMP- Tháng'!$D12)</f>
        <v>248.403773</v>
      </c>
      <c r="AK12" s="423">
        <f>SUMIFS('48 KMP -Tháng'!AM$2:AM$53,'48 KMP -Tháng'!$C$2:$C$53,'18 KMP- Tháng'!$D12)</f>
        <v>230.558333</v>
      </c>
      <c r="AL12" s="423">
        <f>SUMIFS('48 KMP -Tháng'!AN$2:AN$53,'48 KMP -Tháng'!$C$2:$C$53,'18 KMP- Tháng'!$D12)</f>
        <v>259.28506900000002</v>
      </c>
      <c r="AM12" s="423">
        <f>SUMIFS('48 KMP -Tháng'!AO$2:AO$53,'48 KMP -Tháng'!$C$2:$C$53,'18 KMP- Tháng'!$D12)</f>
        <v>187.38511500000001</v>
      </c>
      <c r="AN12" s="423">
        <f>SUMIFS('48 KMP -Tháng'!AP$2:AP$53,'48 KMP -Tháng'!$C$2:$C$53,'18 KMP- Tháng'!$D12)</f>
        <v>275.35231099999999</v>
      </c>
      <c r="AO12" s="423">
        <f>SUMIFS('48 KMP -Tháng'!AQ$2:AQ$53,'48 KMP -Tháng'!$C$2:$C$53,'18 KMP- Tháng'!$D12)</f>
        <v>215.80422200000001</v>
      </c>
      <c r="AP12" s="423">
        <f>SUMIFS('48 KMP -Tháng'!AR$2:AR$53,'48 KMP -Tháng'!$C$2:$C$53,'18 KMP- Tháng'!$D12)</f>
        <v>191.98058</v>
      </c>
      <c r="AQ12" s="423">
        <f>SUMIFS('48 KMP -Tháng'!AS$2:AS$53,'48 KMP -Tháng'!$C$2:$C$53,'18 KMP- Tháng'!$D12)+SUMIFS('48 KMP -Tháng'!AT$2:AT$53,'48 KMP -Tháng'!$C$2:$C$53,'18 KMP- Tháng'!$D12)</f>
        <v>190.675433</v>
      </c>
      <c r="AR12" s="797">
        <f t="shared" si="3"/>
        <v>226.28222333333335</v>
      </c>
      <c r="AS12" s="423">
        <f>SUMIFS('48 KMP -Tháng'!AV$2:AV$53,'48 KMP -Tháng'!$C$2:$C$53,'18 KMP- Tháng'!$D12)</f>
        <v>161.39285799999999</v>
      </c>
      <c r="AT12" s="423">
        <f>SUMIFS('48 KMP -Tháng'!AW$2:AW$53,'48 KMP -Tháng'!$C$2:$C$53,'18 KMP- Tháng'!$D12)</f>
        <v>107.566253</v>
      </c>
      <c r="AU12" s="423">
        <f>SUMIFS('48 KMP -Tháng'!AX$2:AX$53,'48 KMP -Tháng'!$C$2:$C$53,'18 KMP- Tháng'!$D12)</f>
        <v>342.43532299999998</v>
      </c>
      <c r="AV12" s="423">
        <f>SUMIFS('48 KMP -Tháng'!AY$2:AY$53,'48 KMP -Tháng'!$C$2:$C$53,'18 KMP- Tháng'!$D12)</f>
        <v>395.56823600000001</v>
      </c>
      <c r="AW12" s="423">
        <f>SUMIFS('48 KMP -Tháng'!AZ$2:AZ$53,'48 KMP -Tháng'!$C$2:$C$53,'18 KMP- Tháng'!$D12)</f>
        <v>356.91601600000001</v>
      </c>
      <c r="AX12" s="423">
        <f>SUMIFS('48 KMP -Tháng'!BA$2:BA$53,'48 KMP -Tháng'!$C$2:$C$53,'18 KMP- Tháng'!$D12)</f>
        <v>0</v>
      </c>
      <c r="AY12" s="423">
        <f>SUMIFS('48 KMP -Tháng'!BB$2:BB$53,'48 KMP -Tháng'!$C$2:$C$53,'18 KMP- Tháng'!$D12)</f>
        <v>0</v>
      </c>
      <c r="AZ12" s="423">
        <f>SUMIFS('48 KMP -Tháng'!BC$2:BC$53,'48 KMP -Tháng'!$C$2:$C$53,'18 KMP- Tháng'!$D12)</f>
        <v>0</v>
      </c>
      <c r="BA12" s="423">
        <f>SUMIFS('48 KMP -Tháng'!BD$2:BD$53,'48 KMP -Tháng'!$C$2:$C$53,'18 KMP- Tháng'!$D12)</f>
        <v>0</v>
      </c>
      <c r="BB12" s="423">
        <f>SUMIFS('48 KMP -Tháng'!BE$2:BE$53,'48 KMP -Tháng'!$C$2:$C$53,'18 KMP- Tháng'!$D12)</f>
        <v>0</v>
      </c>
      <c r="BC12" s="423">
        <f>SUMIFS('48 KMP -Tháng'!BF$2:BF$53,'48 KMP -Tháng'!$C$2:$C$53,'18 KMP- Tháng'!$D12)</f>
        <v>0</v>
      </c>
      <c r="BD12" s="423">
        <f>SUMIFS('48 KMP -Tháng'!BG$2:BG$53,'48 KMP -Tháng'!$C$2:$C$53,'18 KMP- Tháng'!$D12)</f>
        <v>0</v>
      </c>
      <c r="BE12" s="797">
        <f t="shared" si="4"/>
        <v>113.65655716666667</v>
      </c>
      <c r="BF12" s="425">
        <f>SUMIFS('48 KMP -Tháng'!BI$2:BI$53,'48 KMP -Tháng'!$C$2:$C$53,'18 KMP- Tháng'!$D12)</f>
        <v>231.92</v>
      </c>
      <c r="BG12" s="426"/>
      <c r="BH12" s="427">
        <f>SUMIFS('48 KMP -Tháng'!BL$2:BL$50,'48 KMP -Tháng'!$C$2:$C$50,'18 KMP- Tháng'!$D12)</f>
        <v>231.92</v>
      </c>
      <c r="BI12" s="427">
        <f>SUMIFS('48 KMP -Tháng'!BM$2:BM$50,'48 KMP -Tháng'!$C$2:$C$50,'18 KMP- Tháng'!$D12)</f>
        <v>231.92</v>
      </c>
      <c r="BJ12" s="427">
        <f>SUMIFS('48 KMP -Tháng'!BN$2:BN$50,'48 KMP -Tháng'!$C$2:$C$50,'18 KMP- Tháng'!$D12)</f>
        <v>231.92</v>
      </c>
      <c r="BK12" s="427">
        <f>SUMIFS('48 KMP -Tháng'!BO$2:BO$50,'48 KMP -Tháng'!$C$2:$C$50,'18 KMP- Tháng'!$D12)</f>
        <v>231.92</v>
      </c>
      <c r="BL12" s="427">
        <f>SUMIFS('48 KMP -Tháng'!BP$2:BP$50,'48 KMP -Tháng'!$C$2:$C$50,'18 KMP- Tháng'!$D12)</f>
        <v>231.92</v>
      </c>
      <c r="BM12" s="427">
        <f>SUMIFS('48 KMP -Tháng'!BQ$2:BQ$50,'48 KMP -Tháng'!$C$2:$C$50,'18 KMP- Tháng'!$D12)</f>
        <v>231.92</v>
      </c>
      <c r="BN12" s="427">
        <f>SUMIFS('48 KMP -Tháng'!BR$2:BR$50,'48 KMP -Tháng'!$C$2:$C$50,'18 KMP- Tháng'!$D12)</f>
        <v>231.92</v>
      </c>
      <c r="BO12" s="427">
        <f>SUMIFS('48 KMP -Tháng'!BS$2:BS$50,'48 KMP -Tháng'!$C$2:$C$50,'18 KMP- Tháng'!$D12)</f>
        <v>231.92</v>
      </c>
      <c r="BP12" s="427">
        <f>SUMIFS('48 KMP -Tháng'!BT$2:BT$50,'48 KMP -Tháng'!$C$2:$C$50,'18 KMP- Tháng'!$D12)</f>
        <v>231.92</v>
      </c>
      <c r="BQ12" s="427">
        <f>SUMIFS('48 KMP -Tháng'!BU$2:BU$50,'48 KMP -Tháng'!$C$2:$C$50,'18 KMP- Tháng'!$D12)</f>
        <v>231.92</v>
      </c>
      <c r="BR12" s="427">
        <f>SUMIFS('48 KMP -Tháng'!BV$2:BV$50,'48 KMP -Tháng'!$C$2:$C$50,'18 KMP- Tháng'!$D12)</f>
        <v>231.92</v>
      </c>
      <c r="BS12" s="427">
        <f>SUMIFS('48 KMP -Tháng'!BW$2:BW$50,'48 KMP -Tháng'!$C$2:$C$50,'18 KMP- Tháng'!$D12)</f>
        <v>231.92</v>
      </c>
      <c r="BT12" s="427">
        <f t="shared" si="5"/>
        <v>2783.0400000000004</v>
      </c>
    </row>
    <row r="13" spans="1:74">
      <c r="A13" s="315">
        <v>11</v>
      </c>
      <c r="B13" s="422">
        <f t="shared" si="6"/>
        <v>8</v>
      </c>
      <c r="C13" s="422" t="s">
        <v>425</v>
      </c>
      <c r="D13" s="422" t="s">
        <v>436</v>
      </c>
      <c r="E13" s="423">
        <f>SUMIFS('48 KMP -Tháng'!$F$2:$F$53,'48 KMP -Tháng'!$C$2:$C$53,'18 KMP- Tháng'!D13)</f>
        <v>188.62547899999998</v>
      </c>
      <c r="F13" s="423">
        <f>SUMIFS('48 KMP -Tháng'!$G$2:$G$53,'48 KMP -Tháng'!$C$2:$C$53,'18 KMP- Tháng'!D13)</f>
        <v>196.28916999999998</v>
      </c>
      <c r="G13" s="424">
        <f>SUMIFS('48 KMP -Tháng'!$H$2:$H$53,'48 KMP -Tháng'!$C$2:$C$53,'18 KMP- Tháng'!D13)</f>
        <v>460.43097999999998</v>
      </c>
      <c r="H13" s="423">
        <f>SUMIFS('48 KMP -Tháng'!$I$2:$I$53,'48 KMP -Tháng'!$C$2:$C$53,'18 KMP- Tháng'!D13)</f>
        <v>381.88881900000001</v>
      </c>
      <c r="I13" s="423">
        <f>SUMIFS('48 KMP -Tháng'!$J$2:$J$53,'48 KMP -Tháng'!$C$2:$C$53,'18 KMP- Tháng'!D13)</f>
        <v>279.47783400000003</v>
      </c>
      <c r="J13" s="423">
        <f>SUMIFS('48 KMP -Tháng'!$K$2:$K$53,'48 KMP -Tháng'!$C$2:$C$53,'18 KMP- Tháng'!D13)</f>
        <v>269.28564700000004</v>
      </c>
      <c r="K13" s="423">
        <f>SUMIFS('48 KMP -Tháng'!$L$2:$L$53,'48 KMP -Tháng'!$C$2:$C$53,'18 KMP- Tháng'!D13)</f>
        <v>204.96910300000002</v>
      </c>
      <c r="L13" s="423">
        <f>SUMIFS('48 KMP -Tháng'!$M$2:$M$53,'48 KMP -Tháng'!$C$2:$C$53,'18 KMP- Tháng'!D13)</f>
        <v>144.59650099999999</v>
      </c>
      <c r="M13" s="423">
        <f>SUMIFS('48 KMP -Tháng'!$N$2:$N$53,'48 KMP -Tháng'!$C$2:$C$53,'18 KMP- Tháng'!D13)</f>
        <v>209.92933399999998</v>
      </c>
      <c r="N13" s="423">
        <f>SUMIFS('48 KMP -Tháng'!$O$2:$O$53,'48 KMP -Tháng'!$C$2:$C$53,'18 KMP- Tháng'!$D13)</f>
        <v>179.10958100000002</v>
      </c>
      <c r="O13" s="423">
        <f>SUMIFS('48 KMP -Tháng'!$P$2:$P$53,'48 KMP -Tháng'!$C$2:$C$53,'18 KMP- Tháng'!$D13)</f>
        <v>139.36256900000001</v>
      </c>
      <c r="P13" s="423">
        <f>SUMIFS('48 KMP -Tháng'!$Q$2:$Q$53,'48 KMP -Tháng'!$C$2:$C$53,'18 KMP- Tháng'!$D13)</f>
        <v>234.21601099999998</v>
      </c>
      <c r="Q13" s="424">
        <f t="shared" si="0"/>
        <v>240.68175233333332</v>
      </c>
      <c r="R13" s="423">
        <f>SUMIFS('48 KMP -Tháng'!$S$2:$S$53,'48 KMP -Tháng'!$C$2:$C$53,'18 KMP- Tháng'!$D13)</f>
        <v>168.93012999999999</v>
      </c>
      <c r="S13" s="423">
        <f>SUMIFS('48 KMP -Tháng'!T$2:T$53,'48 KMP -Tháng'!$C$2:$C$53,'18 KMP- Tháng'!$D13)</f>
        <v>139.05925400000001</v>
      </c>
      <c r="T13" s="423">
        <f>SUMIFS('48 KMP -Tháng'!U$2:U$53,'48 KMP -Tháng'!$C$2:$C$53,'18 KMP- Tháng'!$D13)</f>
        <v>130.98270099999999</v>
      </c>
      <c r="U13" s="423">
        <f>SUMIFS('48 KMP -Tháng'!V$2:V$53,'48 KMP -Tháng'!$C$2:$C$53,'18 KMP- Tháng'!$D13)</f>
        <v>216.14341000000002</v>
      </c>
      <c r="V13" s="423">
        <f>SUMIFS('48 KMP -Tháng'!W$2:W$53,'48 KMP -Tháng'!$C$2:$C$53,'18 KMP- Tháng'!$D13)</f>
        <v>304.87664899999999</v>
      </c>
      <c r="W13" s="423">
        <f>SUMIFS('48 KMP -Tháng'!X$2:X$53,'48 KMP -Tháng'!$C$2:$C$53,'18 KMP- Tháng'!$D13)</f>
        <v>295.18419499999999</v>
      </c>
      <c r="X13" s="423">
        <f>SUMIFS('48 KMP -Tháng'!Y$2:Y$53,'48 KMP -Tháng'!$C$2:$C$53,'18 KMP- Tháng'!$D13)</f>
        <v>186.81335799999999</v>
      </c>
      <c r="Y13" s="423">
        <f>SUMIFS('48 KMP -Tháng'!Z$2:Z$53,'48 KMP -Tháng'!$C$2:$C$53,'18 KMP- Tháng'!$D13)</f>
        <v>232.26438400000001</v>
      </c>
      <c r="Z13" s="423">
        <f>SUMIFS('48 KMP -Tháng'!AA$2:AA$53,'48 KMP -Tháng'!$C$2:$C$53,'18 KMP- Tháng'!$D13)</f>
        <v>145.066621</v>
      </c>
      <c r="AA13" s="423">
        <f>SUMIFS('48 KMP -Tháng'!AB$2:AB$53,'48 KMP -Tháng'!$C$2:$C$53,'18 KMP- Tháng'!$D13)</f>
        <v>272.26879300000002</v>
      </c>
      <c r="AB13" s="423">
        <f>SUMIFS('48 KMP -Tháng'!AC$2:AC$53,'48 KMP -Tháng'!$C$2:$C$53,'18 KMP- Tháng'!$D13)</f>
        <v>272.19795499999998</v>
      </c>
      <c r="AC13" s="423">
        <f>SUMIFS('48 KMP -Tháng'!AD$2:AD$53,'48 KMP -Tháng'!$C$2:$C$53,'18 KMP- Tháng'!$D13)+SUMIFS('48 KMP -Tháng'!$AE$2:$AE$53,'48 KMP -Tháng'!$C$2:$C$53,'18 KMP- Tháng'!D13)</f>
        <v>306.84791300000001</v>
      </c>
      <c r="AD13" s="425">
        <f t="shared" si="1"/>
        <v>2670.6353630000003</v>
      </c>
      <c r="AE13" s="797">
        <f t="shared" si="2"/>
        <v>222.55294691666668</v>
      </c>
      <c r="AF13" s="423">
        <f>SUMIFS('48 KMP -Tháng'!AH$2:AH$53,'48 KMP -Tháng'!$C$2:$C$53,'18 KMP- Tháng'!$D13)</f>
        <v>210.76331500000001</v>
      </c>
      <c r="AG13" s="423">
        <f>SUMIFS('48 KMP -Tháng'!AI$2:AI$53,'48 KMP -Tháng'!$C$2:$C$53,'18 KMP- Tháng'!$D13)</f>
        <v>188.40178499999999</v>
      </c>
      <c r="AH13" s="423">
        <f>SUMIFS('48 KMP -Tháng'!AJ$2:AJ$53,'48 KMP -Tháng'!$C$2:$C$53,'18 KMP- Tháng'!$D13)</f>
        <v>282.89573000000001</v>
      </c>
      <c r="AI13" s="423">
        <f>SUMIFS('48 KMP -Tháng'!AK$2:AK$53,'48 KMP -Tháng'!$C$2:$C$53,'18 KMP- Tháng'!$D13)</f>
        <v>195.67146099999999</v>
      </c>
      <c r="AJ13" s="423">
        <f>SUMIFS('48 KMP -Tháng'!AL$2:AL$53,'48 KMP -Tháng'!$C$2:$C$53,'18 KMP- Tháng'!$D13)</f>
        <v>294.51892900000001</v>
      </c>
      <c r="AK13" s="423">
        <f>SUMIFS('48 KMP -Tháng'!AM$2:AM$53,'48 KMP -Tháng'!$C$2:$C$53,'18 KMP- Tháng'!$D13)</f>
        <v>310.99886800000002</v>
      </c>
      <c r="AL13" s="423">
        <f>SUMIFS('48 KMP -Tháng'!AN$2:AN$53,'48 KMP -Tháng'!$C$2:$C$53,'18 KMP- Tháng'!$D13)</f>
        <v>473.82858199999998</v>
      </c>
      <c r="AM13" s="423">
        <f>SUMIFS('48 KMP -Tháng'!AO$2:AO$53,'48 KMP -Tháng'!$C$2:$C$53,'18 KMP- Tháng'!$D13)</f>
        <v>440.19381600000003</v>
      </c>
      <c r="AN13" s="423">
        <f>SUMIFS('48 KMP -Tháng'!AP$2:AP$53,'48 KMP -Tháng'!$C$2:$C$53,'18 KMP- Tháng'!$D13)</f>
        <v>448.54735499999998</v>
      </c>
      <c r="AO13" s="423">
        <f>SUMIFS('48 KMP -Tháng'!AQ$2:AQ$53,'48 KMP -Tháng'!$C$2:$C$53,'18 KMP- Tháng'!$D13)</f>
        <v>466.49071500000002</v>
      </c>
      <c r="AP13" s="423">
        <f>SUMIFS('48 KMP -Tháng'!AR$2:AR$53,'48 KMP -Tháng'!$C$2:$C$53,'18 KMP- Tháng'!$D13)</f>
        <v>176.16390100000001</v>
      </c>
      <c r="AQ13" s="423">
        <f>SUMIFS('48 KMP -Tháng'!AS$2:AS$53,'48 KMP -Tháng'!$C$2:$C$53,'18 KMP- Tháng'!$D13)+SUMIFS('48 KMP -Tháng'!AT$2:AT$53,'48 KMP -Tháng'!$C$2:$C$53,'18 KMP- Tháng'!$D13)</f>
        <v>280.28190499999999</v>
      </c>
      <c r="AR13" s="797">
        <f t="shared" si="3"/>
        <v>314.06303016666669</v>
      </c>
      <c r="AS13" s="423">
        <f>SUMIFS('48 KMP -Tháng'!AV$2:AV$53,'48 KMP -Tháng'!$C$2:$C$53,'18 KMP- Tháng'!$D13)</f>
        <v>252.349603</v>
      </c>
      <c r="AT13" s="423">
        <f>SUMIFS('48 KMP -Tháng'!AW$2:AW$53,'48 KMP -Tháng'!$C$2:$C$53,'18 KMP- Tháng'!$D13)</f>
        <v>80.021953999999994</v>
      </c>
      <c r="AU13" s="423">
        <f>SUMIFS('48 KMP -Tháng'!AX$2:AX$53,'48 KMP -Tháng'!$C$2:$C$53,'18 KMP- Tháng'!$D13)</f>
        <v>348.78599300000002</v>
      </c>
      <c r="AV13" s="423">
        <f>SUMIFS('48 KMP -Tháng'!AY$2:AY$53,'48 KMP -Tháng'!$C$2:$C$53,'18 KMP- Tháng'!$D13)</f>
        <v>458.30997000000002</v>
      </c>
      <c r="AW13" s="423">
        <f>SUMIFS('48 KMP -Tháng'!AZ$2:AZ$53,'48 KMP -Tháng'!$C$2:$C$53,'18 KMP- Tháng'!$D13)</f>
        <v>385.67558700000001</v>
      </c>
      <c r="AX13" s="423">
        <f>SUMIFS('48 KMP -Tháng'!BA$2:BA$53,'48 KMP -Tháng'!$C$2:$C$53,'18 KMP- Tháng'!$D13)</f>
        <v>0</v>
      </c>
      <c r="AY13" s="423">
        <f>SUMIFS('48 KMP -Tháng'!BB$2:BB$53,'48 KMP -Tháng'!$C$2:$C$53,'18 KMP- Tháng'!$D13)</f>
        <v>0</v>
      </c>
      <c r="AZ13" s="423">
        <f>SUMIFS('48 KMP -Tháng'!BC$2:BC$53,'48 KMP -Tháng'!$C$2:$C$53,'18 KMP- Tháng'!$D13)</f>
        <v>0</v>
      </c>
      <c r="BA13" s="423">
        <f>SUMIFS('48 KMP -Tháng'!BD$2:BD$53,'48 KMP -Tháng'!$C$2:$C$53,'18 KMP- Tháng'!$D13)</f>
        <v>0</v>
      </c>
      <c r="BB13" s="423">
        <f>SUMIFS('48 KMP -Tháng'!BE$2:BE$53,'48 KMP -Tháng'!$C$2:$C$53,'18 KMP- Tháng'!$D13)</f>
        <v>0</v>
      </c>
      <c r="BC13" s="423">
        <f>SUMIFS('48 KMP -Tháng'!BF$2:BF$53,'48 KMP -Tháng'!$C$2:$C$53,'18 KMP- Tháng'!$D13)</f>
        <v>0</v>
      </c>
      <c r="BD13" s="423">
        <f>SUMIFS('48 KMP -Tháng'!BG$2:BG$53,'48 KMP -Tháng'!$C$2:$C$53,'18 KMP- Tháng'!$D13)</f>
        <v>0</v>
      </c>
      <c r="BE13" s="797">
        <f t="shared" si="4"/>
        <v>127.09525891666668</v>
      </c>
      <c r="BF13" s="425">
        <f>SUMIFS('48 KMP -Tháng'!BI$2:BI$53,'48 KMP -Tháng'!$C$2:$C$53,'18 KMP- Tháng'!$D13)</f>
        <v>471.88270318415442</v>
      </c>
      <c r="BG13" s="426"/>
      <c r="BH13" s="427">
        <f>SUMIFS('48 KMP -Tháng'!BL$2:BL$50,'48 KMP -Tháng'!$C$2:$C$50,'18 KMP- Tháng'!$D13)</f>
        <v>452.49026332727141</v>
      </c>
      <c r="BI13" s="427">
        <f>SUMIFS('48 KMP -Tháng'!BM$2:BM$50,'48 KMP -Tháng'!$C$2:$C$50,'18 KMP- Tháng'!$D13)</f>
        <v>361.99221066181713</v>
      </c>
      <c r="BJ13" s="427">
        <f>SUMIFS('48 KMP -Tháng'!BN$2:BN$50,'48 KMP -Tháng'!$C$2:$C$50,'18 KMP- Tháng'!$D13)</f>
        <v>471.88270318415442</v>
      </c>
      <c r="BK13" s="427">
        <f>SUMIFS('48 KMP -Tháng'!BO$2:BO$50,'48 KMP -Tháng'!$C$2:$C$50,'18 KMP- Tháng'!$D13)</f>
        <v>471.88270318415442</v>
      </c>
      <c r="BL13" s="427">
        <f>SUMIFS('48 KMP -Tháng'!BP$2:BP$50,'48 KMP -Tháng'!$C$2:$C$50,'18 KMP- Tháng'!$D13)</f>
        <v>471.88270318415442</v>
      </c>
      <c r="BM13" s="427">
        <f>SUMIFS('48 KMP -Tháng'!BQ$2:BQ$50,'48 KMP -Tháng'!$C$2:$C$50,'18 KMP- Tháng'!$D13)</f>
        <v>471.88270318415442</v>
      </c>
      <c r="BN13" s="427">
        <f>SUMIFS('48 KMP -Tháng'!BR$2:BR$50,'48 KMP -Tháng'!$C$2:$C$50,'18 KMP- Tháng'!$D13)</f>
        <v>496.89225642207646</v>
      </c>
      <c r="BO13" s="427">
        <f>SUMIFS('48 KMP -Tháng'!BS$2:BS$50,'48 KMP -Tháng'!$C$2:$C$50,'18 KMP- Tháng'!$D13)</f>
        <v>496.89225642207646</v>
      </c>
      <c r="BP13" s="427">
        <f>SUMIFS('48 KMP -Tháng'!BT$2:BT$50,'48 KMP -Tháng'!$C$2:$C$50,'18 KMP- Tháng'!$D13)</f>
        <v>496.89225642207646</v>
      </c>
      <c r="BQ13" s="427">
        <f>SUMIFS('48 KMP -Tháng'!BU$2:BU$50,'48 KMP -Tháng'!$C$2:$C$50,'18 KMP- Tháng'!$D13)</f>
        <v>496.89225642207646</v>
      </c>
      <c r="BR13" s="427">
        <f>SUMIFS('48 KMP -Tháng'!BV$2:BV$50,'48 KMP -Tháng'!$C$2:$C$50,'18 KMP- Tháng'!$D13)</f>
        <v>496.89225642207646</v>
      </c>
      <c r="BS13" s="427">
        <f>SUMIFS('48 KMP -Tháng'!BW$2:BW$50,'48 KMP -Tháng'!$C$2:$C$50,'18 KMP- Tháng'!$D13)</f>
        <v>496.89225642207646</v>
      </c>
      <c r="BT13" s="427">
        <f t="shared" si="5"/>
        <v>5683.3668252581656</v>
      </c>
    </row>
    <row r="14" spans="1:74">
      <c r="A14" s="315">
        <v>12</v>
      </c>
      <c r="B14" s="422">
        <f t="shared" si="6"/>
        <v>9</v>
      </c>
      <c r="C14" s="422" t="s">
        <v>425</v>
      </c>
      <c r="D14" s="422" t="s">
        <v>437</v>
      </c>
      <c r="E14" s="423">
        <f>SUMIFS('48 KMP -Tháng'!$F$2:$F$53,'48 KMP -Tháng'!$C$2:$C$53,'18 KMP- Tháng'!D14)</f>
        <v>92.851895999999996</v>
      </c>
      <c r="F14" s="423">
        <f>SUMIFS('48 KMP -Tháng'!$G$2:$G$53,'48 KMP -Tháng'!$C$2:$C$53,'18 KMP- Tháng'!D14)</f>
        <v>113.22258100000001</v>
      </c>
      <c r="G14" s="424">
        <f>SUMIFS('48 KMP -Tháng'!$H$2:$H$53,'48 KMP -Tháng'!$C$2:$C$53,'18 KMP- Tháng'!D14)</f>
        <v>159.68341899999999</v>
      </c>
      <c r="H14" s="423">
        <f>SUMIFS('48 KMP -Tháng'!$I$2:$I$53,'48 KMP -Tháng'!$C$2:$C$53,'18 KMP- Tháng'!D14)</f>
        <v>108.30909699999999</v>
      </c>
      <c r="I14" s="423">
        <f>SUMIFS('48 KMP -Tháng'!$J$2:$J$53,'48 KMP -Tháng'!$C$2:$C$53,'18 KMP- Tháng'!D14)</f>
        <v>162.76302200000001</v>
      </c>
      <c r="J14" s="423">
        <f>SUMIFS('48 KMP -Tháng'!$K$2:$K$53,'48 KMP -Tháng'!$C$2:$C$53,'18 KMP- Tháng'!D14)</f>
        <v>193.360625</v>
      </c>
      <c r="K14" s="423">
        <f>SUMIFS('48 KMP -Tháng'!$L$2:$L$53,'48 KMP -Tháng'!$C$2:$C$53,'18 KMP- Tháng'!D14)</f>
        <v>135.11064500000001</v>
      </c>
      <c r="L14" s="423">
        <f>SUMIFS('48 KMP -Tháng'!$M$2:$M$53,'48 KMP -Tháng'!$C$2:$C$53,'18 KMP- Tháng'!D14)</f>
        <v>93.960159000000004</v>
      </c>
      <c r="M14" s="423">
        <f>SUMIFS('48 KMP -Tháng'!$N$2:$N$53,'48 KMP -Tháng'!$C$2:$C$53,'18 KMP- Tháng'!D14)</f>
        <v>59.163989999999998</v>
      </c>
      <c r="N14" s="423">
        <f>SUMIFS('48 KMP -Tháng'!$O$2:$O$53,'48 KMP -Tháng'!$C$2:$C$53,'18 KMP- Tháng'!$D14)</f>
        <v>55.902678999999999</v>
      </c>
      <c r="O14" s="423">
        <f>SUMIFS('48 KMP -Tháng'!$P$2:$P$53,'48 KMP -Tháng'!$C$2:$C$53,'18 KMP- Tháng'!$D14)</f>
        <v>50.242654999999999</v>
      </c>
      <c r="P14" s="423">
        <f>SUMIFS('48 KMP -Tháng'!$Q$2:$Q$53,'48 KMP -Tháng'!$C$2:$C$53,'18 KMP- Tháng'!$D14)</f>
        <v>118.635864</v>
      </c>
      <c r="Q14" s="424">
        <f t="shared" si="0"/>
        <v>111.93388600000002</v>
      </c>
      <c r="R14" s="423">
        <f>SUMIFS('48 KMP -Tháng'!$S$2:$S$53,'48 KMP -Tháng'!$C$2:$C$53,'18 KMP- Tháng'!$D14)</f>
        <v>69.344239000000002</v>
      </c>
      <c r="S14" s="423">
        <f>SUMIFS('48 KMP -Tháng'!$T$2:$T$53,'48 KMP -Tháng'!$C$2:$C$53,'18 KMP- Tháng'!$D14)</f>
        <v>65.696956</v>
      </c>
      <c r="T14" s="423">
        <f>SUMIFS('48 KMP -Tháng'!U$2:U$53,'48 KMP -Tháng'!$C$2:$C$53,'18 KMP- Tháng'!$D14)</f>
        <v>71.977480999999997</v>
      </c>
      <c r="U14" s="423">
        <f>SUMIFS('48 KMP -Tháng'!V$2:V$53,'48 KMP -Tháng'!$C$2:$C$53,'18 KMP- Tháng'!$D14)</f>
        <v>87.504536000000002</v>
      </c>
      <c r="V14" s="423">
        <f>SUMIFS('48 KMP -Tháng'!W$2:W$53,'48 KMP -Tháng'!$C$2:$C$53,'18 KMP- Tháng'!$D14)</f>
        <v>181.65412699999999</v>
      </c>
      <c r="W14" s="423">
        <f>SUMIFS('48 KMP -Tháng'!X$2:X$53,'48 KMP -Tháng'!$C$2:$C$53,'18 KMP- Tháng'!$D14)</f>
        <v>81.847181000000006</v>
      </c>
      <c r="X14" s="423">
        <f>SUMIFS('48 KMP -Tháng'!Y$2:Y$53,'48 KMP -Tháng'!$C$2:$C$53,'18 KMP- Tháng'!$D14)</f>
        <v>73.038004000000001</v>
      </c>
      <c r="Y14" s="423">
        <f>SUMIFS('48 KMP -Tháng'!Z$2:Z$53,'48 KMP -Tháng'!$C$2:$C$53,'18 KMP- Tháng'!$D14)</f>
        <v>79.525662999999994</v>
      </c>
      <c r="Z14" s="423">
        <f>SUMIFS('48 KMP -Tháng'!AA$2:AA$53,'48 KMP -Tháng'!$C$2:$C$53,'18 KMP- Tháng'!$D14)</f>
        <v>60.357999999999997</v>
      </c>
      <c r="AA14" s="423">
        <f>SUMIFS('48 KMP -Tháng'!AB$2:AB$53,'48 KMP -Tháng'!$C$2:$C$53,'18 KMP- Tháng'!$D14)</f>
        <v>87.399765000000002</v>
      </c>
      <c r="AB14" s="423">
        <f>SUMIFS('48 KMP -Tháng'!AC$2:AC$53,'48 KMP -Tháng'!$C$2:$C$53,'18 KMP- Tháng'!$D14)</f>
        <v>74.767274</v>
      </c>
      <c r="AC14" s="423">
        <f>SUMIFS('48 KMP -Tháng'!AD$2:AD$53,'48 KMP -Tháng'!$C$2:$C$53,'18 KMP- Tháng'!$D14)+SUMIFS('48 KMP -Tháng'!$AE$2:$AE$53,'48 KMP -Tháng'!$C$2:$C$53,'18 KMP- Tháng'!D14)</f>
        <v>71.777555000000007</v>
      </c>
      <c r="AD14" s="425">
        <f t="shared" si="1"/>
        <v>1004.8907810000001</v>
      </c>
      <c r="AE14" s="797">
        <f t="shared" si="2"/>
        <v>83.740898416666667</v>
      </c>
      <c r="AF14" s="423">
        <f>SUMIFS('48 KMP -Tháng'!AH$2:AH$53,'48 KMP -Tháng'!$C$2:$C$53,'18 KMP- Tháng'!$D14)</f>
        <v>45.727381999999999</v>
      </c>
      <c r="AG14" s="423">
        <f>SUMIFS('48 KMP -Tháng'!AI$2:AI$53,'48 KMP -Tháng'!$C$2:$C$53,'18 KMP- Tháng'!$D14)</f>
        <v>53.042850000000001</v>
      </c>
      <c r="AH14" s="423">
        <f>SUMIFS('48 KMP -Tháng'!AJ$2:AJ$53,'48 KMP -Tháng'!$C$2:$C$53,'18 KMP- Tháng'!$D14)</f>
        <v>68.456312999999994</v>
      </c>
      <c r="AI14" s="423">
        <f>SUMIFS('48 KMP -Tháng'!AK$2:AK$53,'48 KMP -Tháng'!$C$2:$C$53,'18 KMP- Tháng'!$D14)</f>
        <v>99.335018000000005</v>
      </c>
      <c r="AJ14" s="423">
        <f>SUMIFS('48 KMP -Tháng'!AL$2:AL$53,'48 KMP -Tháng'!$C$2:$C$53,'18 KMP- Tháng'!$D14)</f>
        <v>84.974800999999999</v>
      </c>
      <c r="AK14" s="423">
        <f>SUMIFS('48 KMP -Tháng'!AM$2:AM$53,'48 KMP -Tháng'!$C$2:$C$53,'18 KMP- Tháng'!$D14)</f>
        <v>72.702527000000003</v>
      </c>
      <c r="AL14" s="423">
        <f>SUMIFS('48 KMP -Tháng'!AN$2:AN$53,'48 KMP -Tháng'!$C$2:$C$53,'18 KMP- Tháng'!$D14)</f>
        <v>138.852576</v>
      </c>
      <c r="AM14" s="423">
        <f>SUMIFS('48 KMP -Tháng'!AO$2:AO$53,'48 KMP -Tháng'!$C$2:$C$53,'18 KMP- Tháng'!$D14)</f>
        <v>95.803742</v>
      </c>
      <c r="AN14" s="423">
        <f>SUMIFS('48 KMP -Tháng'!AP$2:AP$53,'48 KMP -Tháng'!$C$2:$C$53,'18 KMP- Tháng'!$D14)</f>
        <v>141.52082899999999</v>
      </c>
      <c r="AO14" s="423">
        <f>SUMIFS('48 KMP -Tháng'!AQ$2:AQ$53,'48 KMP -Tháng'!$C$2:$C$53,'18 KMP- Tháng'!$D14)</f>
        <v>136.74355199999999</v>
      </c>
      <c r="AP14" s="423">
        <f>SUMIFS('48 KMP -Tháng'!AR$2:AR$53,'48 KMP -Tháng'!$C$2:$C$53,'18 KMP- Tháng'!$D14)</f>
        <v>54.052813</v>
      </c>
      <c r="AQ14" s="423">
        <f>SUMIFS('48 KMP -Tháng'!AS$2:AS$53,'48 KMP -Tháng'!$C$2:$C$53,'18 KMP- Tháng'!$D14)+SUMIFS('48 KMP -Tháng'!AT$2:AT$53,'48 KMP -Tháng'!$C$2:$C$53,'18 KMP- Tháng'!$D14)</f>
        <v>79.987669999999994</v>
      </c>
      <c r="AR14" s="797">
        <f t="shared" si="3"/>
        <v>89.266672750000012</v>
      </c>
      <c r="AS14" s="423">
        <f>SUMIFS('48 KMP -Tháng'!AV$2:AV$53,'48 KMP -Tháng'!$C$2:$C$53,'18 KMP- Tháng'!$D14)</f>
        <v>70.029363000000004</v>
      </c>
      <c r="AT14" s="423">
        <f>SUMIFS('48 KMP -Tháng'!AW$2:AW$53,'48 KMP -Tháng'!$C$2:$C$53,'18 KMP- Tháng'!$D14)</f>
        <v>41.454301999999998</v>
      </c>
      <c r="AU14" s="423">
        <f>SUMIFS('48 KMP -Tháng'!AX$2:AX$53,'48 KMP -Tháng'!$C$2:$C$53,'18 KMP- Tháng'!$D14)</f>
        <v>99.310658000000004</v>
      </c>
      <c r="AV14" s="423">
        <f>SUMIFS('48 KMP -Tháng'!AY$2:AY$53,'48 KMP -Tháng'!$C$2:$C$53,'18 KMP- Tháng'!$D14)</f>
        <v>109.596222</v>
      </c>
      <c r="AW14" s="423">
        <f>SUMIFS('48 KMP -Tháng'!AZ$2:AZ$53,'48 KMP -Tháng'!$C$2:$C$53,'18 KMP- Tháng'!$D14)</f>
        <v>84.135278</v>
      </c>
      <c r="AX14" s="423">
        <f>SUMIFS('48 KMP -Tháng'!BA$2:BA$53,'48 KMP -Tháng'!$C$2:$C$53,'18 KMP- Tháng'!$D14)</f>
        <v>0</v>
      </c>
      <c r="AY14" s="423">
        <f>SUMIFS('48 KMP -Tháng'!BB$2:BB$53,'48 KMP -Tháng'!$C$2:$C$53,'18 KMP- Tháng'!$D14)</f>
        <v>0</v>
      </c>
      <c r="AZ14" s="423">
        <f>SUMIFS('48 KMP -Tháng'!BC$2:BC$53,'48 KMP -Tháng'!$C$2:$C$53,'18 KMP- Tháng'!$D14)</f>
        <v>0</v>
      </c>
      <c r="BA14" s="423">
        <f>SUMIFS('48 KMP -Tháng'!BD$2:BD$53,'48 KMP -Tháng'!$C$2:$C$53,'18 KMP- Tháng'!$D14)</f>
        <v>0</v>
      </c>
      <c r="BB14" s="423">
        <f>SUMIFS('48 KMP -Tháng'!BE$2:BE$53,'48 KMP -Tháng'!$C$2:$C$53,'18 KMP- Tháng'!$D14)</f>
        <v>0</v>
      </c>
      <c r="BC14" s="423">
        <f>SUMIFS('48 KMP -Tháng'!BF$2:BF$53,'48 KMP -Tháng'!$C$2:$C$53,'18 KMP- Tháng'!$D14)</f>
        <v>0</v>
      </c>
      <c r="BD14" s="423">
        <f>SUMIFS('48 KMP -Tháng'!BG$2:BG$53,'48 KMP -Tháng'!$C$2:$C$53,'18 KMP- Tháng'!$D14)</f>
        <v>0</v>
      </c>
      <c r="BE14" s="797">
        <f t="shared" si="4"/>
        <v>33.710485250000005</v>
      </c>
      <c r="BF14" s="425">
        <f>SUMIFS('48 KMP -Tháng'!BI$2:BI$53,'48 KMP -Tháng'!$C$2:$C$53,'18 KMP- Tháng'!$D14)</f>
        <v>122.35857906666668</v>
      </c>
      <c r="BG14" s="426"/>
      <c r="BH14" s="427">
        <f>SUMIFS('48 KMP -Tháng'!BL$2:BL$50,'48 KMP -Tháng'!$C$2:$C$50,'18 KMP- Tháng'!$D14)</f>
        <v>117.85857906666668</v>
      </c>
      <c r="BI14" s="427">
        <f>SUMIFS('48 KMP -Tháng'!BM$2:BM$50,'48 KMP -Tháng'!$C$2:$C$50,'18 KMP- Tháng'!$D14)</f>
        <v>130.10857906666666</v>
      </c>
      <c r="BJ14" s="427">
        <f>SUMIFS('48 KMP -Tháng'!BN$2:BN$50,'48 KMP -Tháng'!$C$2:$C$50,'18 KMP- Tháng'!$D14)</f>
        <v>125.92056526666669</v>
      </c>
      <c r="BK14" s="427">
        <f>SUMIFS('48 KMP -Tháng'!BO$2:BO$50,'48 KMP -Tháng'!$C$2:$C$50,'18 KMP- Tháng'!$D14)</f>
        <v>121.27056526666668</v>
      </c>
      <c r="BL14" s="427">
        <f>SUMIFS('48 KMP -Tháng'!BP$2:BP$50,'48 KMP -Tháng'!$C$2:$C$50,'18 KMP- Tháng'!$D14)</f>
        <v>122.35857906666668</v>
      </c>
      <c r="BM14" s="427">
        <f>SUMIFS('48 KMP -Tháng'!BQ$2:BQ$50,'48 KMP -Tháng'!$C$2:$C$50,'18 KMP- Tháng'!$D14)</f>
        <v>133.31656526666669</v>
      </c>
      <c r="BN14" s="427">
        <f>SUMIFS('48 KMP -Tháng'!BR$2:BR$50,'48 KMP -Tháng'!$C$2:$C$50,'18 KMP- Tháng'!$D14)</f>
        <v>125.77056526666668</v>
      </c>
      <c r="BO14" s="427">
        <f>SUMIFS('48 KMP -Tháng'!BS$2:BS$50,'48 KMP -Tháng'!$C$2:$C$50,'18 KMP- Tháng'!$D14)</f>
        <v>133.52056526666669</v>
      </c>
      <c r="BP14" s="427">
        <f>SUMIFS('48 KMP -Tháng'!BT$2:BT$50,'48 KMP -Tháng'!$C$2:$C$50,'18 KMP- Tháng'!$D14)</f>
        <v>122.50857906666668</v>
      </c>
      <c r="BQ14" s="427">
        <f>SUMIFS('48 KMP -Tháng'!BU$2:BU$50,'48 KMP -Tháng'!$C$2:$C$50,'18 KMP- Tháng'!$D14)</f>
        <v>133.52056526666669</v>
      </c>
      <c r="BR14" s="427">
        <f>SUMIFS('48 KMP -Tháng'!BV$2:BV$50,'48 KMP -Tháng'!$C$2:$C$50,'18 KMP- Tháng'!$D14)</f>
        <v>121.27056526666668</v>
      </c>
      <c r="BS14" s="427">
        <f>SUMIFS('48 KMP -Tháng'!BW$2:BW$50,'48 KMP -Tháng'!$C$2:$C$50,'18 KMP- Tháng'!$D14)</f>
        <v>117.85857906666668</v>
      </c>
      <c r="BT14" s="427">
        <f t="shared" si="5"/>
        <v>1505.2828522</v>
      </c>
    </row>
    <row r="15" spans="1:74">
      <c r="A15" s="315">
        <v>13</v>
      </c>
      <c r="B15" s="422">
        <f t="shared" si="6"/>
        <v>10</v>
      </c>
      <c r="C15" s="422" t="s">
        <v>425</v>
      </c>
      <c r="D15" s="422" t="s">
        <v>438</v>
      </c>
      <c r="E15" s="423">
        <f>SUMIFS('48 KMP -Tháng'!$F$2:$F$53,'48 KMP -Tháng'!$C$2:$C$53,'18 KMP- Tháng'!D15)</f>
        <v>148.21799999999999</v>
      </c>
      <c r="F15" s="423">
        <f>SUMIFS('48 KMP -Tháng'!$G$2:$G$53,'48 KMP -Tháng'!$C$2:$C$53,'18 KMP- Tháng'!D15)</f>
        <v>141.316</v>
      </c>
      <c r="G15" s="424">
        <f>SUMIFS('48 KMP -Tháng'!$H$2:$H$53,'48 KMP -Tháng'!$C$2:$C$53,'18 KMP- Tháng'!D15)</f>
        <v>135.04400000000001</v>
      </c>
      <c r="H15" s="423">
        <f>SUMIFS('48 KMP -Tháng'!$I$2:$I$53,'48 KMP -Tháng'!$C$2:$C$53,'18 KMP- Tháng'!D15)</f>
        <v>119.938</v>
      </c>
      <c r="I15" s="423">
        <f>SUMIFS('48 KMP -Tháng'!$J$2:$J$53,'48 KMP -Tháng'!$C$2:$C$53,'18 KMP- Tháng'!D15)</f>
        <v>155.708</v>
      </c>
      <c r="J15" s="423">
        <f>SUMIFS('48 KMP -Tháng'!$K$2:$K$53,'48 KMP -Tháng'!$C$2:$C$53,'18 KMP- Tháng'!D15)</f>
        <v>100.15600000000001</v>
      </c>
      <c r="K15" s="423">
        <f>SUMIFS('48 KMP -Tháng'!$L$2:$L$53,'48 KMP -Tháng'!$C$2:$C$53,'18 KMP- Tháng'!D15)</f>
        <v>110.04</v>
      </c>
      <c r="L15" s="423">
        <f>SUMIFS('48 KMP -Tháng'!$M$2:$M$53,'48 KMP -Tháng'!$C$2:$C$53,'18 KMP- Tháng'!D15)</f>
        <v>130.928</v>
      </c>
      <c r="M15" s="423">
        <f>SUMIFS('48 KMP -Tháng'!$N$2:$N$53,'48 KMP -Tháng'!$C$2:$C$53,'18 KMP- Tháng'!D15)</f>
        <v>129.892</v>
      </c>
      <c r="N15" s="423">
        <f>SUMIFS('48 KMP -Tháng'!$O$2:$O$53,'48 KMP -Tháng'!$C$2:$C$53,'18 KMP- Tháng'!$D15)</f>
        <v>122.262</v>
      </c>
      <c r="O15" s="423">
        <f>SUMIFS('48 KMP -Tháng'!$P$2:$P$53,'48 KMP -Tháng'!$C$2:$C$53,'18 KMP- Tháng'!$D15)</f>
        <v>113.988</v>
      </c>
      <c r="P15" s="423">
        <f>SUMIFS('48 KMP -Tháng'!$Q$2:$Q$53,'48 KMP -Tháng'!$C$2:$C$53,'18 KMP- Tháng'!$D15)</f>
        <v>133.602</v>
      </c>
      <c r="Q15" s="424">
        <f t="shared" si="0"/>
        <v>128.42433333333335</v>
      </c>
      <c r="R15" s="423">
        <f>SUMIFS('48 KMP -Tháng'!$S$2:$S$53,'48 KMP -Tháng'!$C$2:$C$53,'18 KMP- Tháng'!$D15)</f>
        <v>128.69919999999999</v>
      </c>
      <c r="S15" s="423">
        <f>SUMIFS('48 KMP -Tháng'!T$2:T$53,'48 KMP -Tháng'!$C$2:$C$53,'18 KMP- Tháng'!$D15)</f>
        <v>113.8494</v>
      </c>
      <c r="T15" s="423">
        <f>SUMIFS('48 KMP -Tháng'!U$2:U$53,'48 KMP -Tháng'!$C$2:$C$53,'18 KMP- Tháng'!$D15)</f>
        <v>139.7774</v>
      </c>
      <c r="U15" s="423">
        <f>SUMIFS('48 KMP -Tháng'!V$2:V$53,'48 KMP -Tháng'!$C$2:$C$53,'18 KMP- Tháng'!$D15)</f>
        <v>145.8912</v>
      </c>
      <c r="V15" s="423">
        <f>SUMIFS('48 KMP -Tháng'!W$2:W$53,'48 KMP -Tháng'!$C$2:$C$53,'18 KMP- Tháng'!$D15)</f>
        <v>130.57939999999999</v>
      </c>
      <c r="W15" s="423">
        <f>SUMIFS('48 KMP -Tháng'!X$2:X$53,'48 KMP -Tháng'!$C$2:$C$53,'18 KMP- Tháng'!$D15)</f>
        <v>132.87960000000001</v>
      </c>
      <c r="X15" s="423">
        <f>SUMIFS('48 KMP -Tháng'!Y$2:Y$53,'48 KMP -Tháng'!$C$2:$C$53,'18 KMP- Tháng'!$D15)</f>
        <v>102.1832</v>
      </c>
      <c r="Y15" s="423">
        <f>SUMIFS('48 KMP -Tháng'!Z$2:Z$53,'48 KMP -Tháng'!$C$2:$C$53,'18 KMP- Tháng'!$D15)</f>
        <v>108.79819999999999</v>
      </c>
      <c r="Z15" s="423">
        <f>SUMIFS('48 KMP -Tháng'!AA$2:AA$53,'48 KMP -Tháng'!$C$2:$C$53,'18 KMP- Tháng'!$D15)</f>
        <v>99.789199999999994</v>
      </c>
      <c r="AA15" s="423">
        <f>SUMIFS('48 KMP -Tháng'!AB$2:AB$53,'48 KMP -Tháng'!$C$2:$C$53,'18 KMP- Tháng'!$D15)</f>
        <v>126.86799999999999</v>
      </c>
      <c r="AB15" s="423">
        <f>SUMIFS('48 KMP -Tháng'!AC$2:AC$53,'48 KMP -Tháng'!$C$2:$C$53,'18 KMP- Tháng'!$D15)</f>
        <v>141.09059999999999</v>
      </c>
      <c r="AC15" s="423">
        <f>SUMIFS('48 KMP -Tháng'!AD$2:AD$53,'48 KMP -Tháng'!$C$2:$C$53,'18 KMP- Tháng'!$D15)+SUMIFS('48 KMP -Tháng'!$AE$2:$AE$53,'48 KMP -Tháng'!$C$2:$C$53,'18 KMP- Tháng'!D15)</f>
        <v>125.4876</v>
      </c>
      <c r="AD15" s="425">
        <f t="shared" si="1"/>
        <v>1495.8929999999998</v>
      </c>
      <c r="AE15" s="797">
        <f t="shared" si="2"/>
        <v>124.65774999999998</v>
      </c>
      <c r="AF15" s="423">
        <f>SUMIFS('48 KMP -Tháng'!AH$2:AH$53,'48 KMP -Tháng'!$C$2:$C$53,'18 KMP- Tháng'!$D15)</f>
        <v>91.748999999999995</v>
      </c>
      <c r="AG15" s="423">
        <f>SUMIFS('48 KMP -Tháng'!AI$2:AI$53,'48 KMP -Tháng'!$C$2:$C$53,'18 KMP- Tháng'!$D15)</f>
        <v>140.29400000000001</v>
      </c>
      <c r="AH15" s="423">
        <f>SUMIFS('48 KMP -Tháng'!AJ$2:AJ$53,'48 KMP -Tháng'!$C$2:$C$53,'18 KMP- Tháng'!$D15)</f>
        <v>121.0202</v>
      </c>
      <c r="AI15" s="423">
        <f>SUMIFS('48 KMP -Tháng'!AK$2:AK$53,'48 KMP -Tháng'!$C$2:$C$53,'18 KMP- Tháng'!$D15)</f>
        <v>123.6284</v>
      </c>
      <c r="AJ15" s="423">
        <f>SUMIFS('48 KMP -Tháng'!AL$2:AL$53,'48 KMP -Tháng'!$C$2:$C$53,'18 KMP- Tháng'!$D15)</f>
        <v>165.9742</v>
      </c>
      <c r="AK15" s="423">
        <f>SUMIFS('48 KMP -Tháng'!AM$2:AM$53,'48 KMP -Tháng'!$C$2:$C$53,'18 KMP- Tháng'!$D15)</f>
        <v>159.23320000000001</v>
      </c>
      <c r="AL15" s="423">
        <f>SUMIFS('48 KMP -Tháng'!AN$2:AN$53,'48 KMP -Tháng'!$C$2:$C$53,'18 KMP- Tháng'!$D15)</f>
        <v>167.01859999999999</v>
      </c>
      <c r="AM15" s="423">
        <f>SUMIFS('48 KMP -Tháng'!AO$2:AO$53,'48 KMP -Tháng'!$C$2:$C$53,'18 KMP- Tháng'!$D15)</f>
        <v>211.38460000000001</v>
      </c>
      <c r="AN15" s="423">
        <f>SUMIFS('48 KMP -Tháng'!AP$2:AP$53,'48 KMP -Tháng'!$C$2:$C$53,'18 KMP- Tháng'!$D15)</f>
        <v>180.1884</v>
      </c>
      <c r="AO15" s="423">
        <f>SUMIFS('48 KMP -Tháng'!AQ$2:AQ$53,'48 KMP -Tháng'!$C$2:$C$53,'18 KMP- Tháng'!$D15)</f>
        <v>189.19880000000001</v>
      </c>
      <c r="AP15" s="423">
        <f>SUMIFS('48 KMP -Tháng'!AR$2:AR$53,'48 KMP -Tháng'!$C$2:$C$53,'18 KMP- Tháng'!$D15)</f>
        <v>140.45779999999999</v>
      </c>
      <c r="AQ15" s="423">
        <f>SUMIFS('48 KMP -Tháng'!AS$2:AS$53,'48 KMP -Tháng'!$C$2:$C$53,'18 KMP- Tháng'!$D15)+SUMIFS('48 KMP -Tháng'!AT$2:AT$53,'48 KMP -Tháng'!$C$2:$C$53,'18 KMP- Tháng'!$D15)</f>
        <v>136.7604</v>
      </c>
      <c r="AR15" s="797">
        <f t="shared" si="3"/>
        <v>152.2423</v>
      </c>
      <c r="AS15" s="423">
        <f>SUMIFS('48 KMP -Tháng'!AV$2:AV$53,'48 KMP -Tháng'!$C$2:$C$53,'18 KMP- Tháng'!$D15)</f>
        <v>111.7718</v>
      </c>
      <c r="AT15" s="423">
        <f>SUMIFS('48 KMP -Tháng'!AW$2:AW$53,'48 KMP -Tháng'!$C$2:$C$53,'18 KMP- Tháng'!$D15)</f>
        <v>79.503200000000007</v>
      </c>
      <c r="AU15" s="423">
        <f>SUMIFS('48 KMP -Tháng'!AX$2:AX$53,'48 KMP -Tháng'!$C$2:$C$53,'18 KMP- Tháng'!$D15)</f>
        <v>105.9534</v>
      </c>
      <c r="AV15" s="423">
        <f>SUMIFS('48 KMP -Tháng'!AY$2:AY$53,'48 KMP -Tháng'!$C$2:$C$53,'18 KMP- Tháng'!$D15)</f>
        <v>124.4894</v>
      </c>
      <c r="AW15" s="423">
        <f>SUMIFS('48 KMP -Tháng'!AZ$2:AZ$53,'48 KMP -Tháng'!$C$2:$C$53,'18 KMP- Tháng'!$D15)</f>
        <v>125.0844</v>
      </c>
      <c r="AX15" s="423">
        <f>SUMIFS('48 KMP -Tháng'!BA$2:BA$53,'48 KMP -Tháng'!$C$2:$C$53,'18 KMP- Tháng'!$D15)</f>
        <v>0</v>
      </c>
      <c r="AY15" s="423">
        <f>SUMIFS('48 KMP -Tháng'!BB$2:BB$53,'48 KMP -Tháng'!$C$2:$C$53,'18 KMP- Tháng'!$D15)</f>
        <v>0</v>
      </c>
      <c r="AZ15" s="423">
        <f>SUMIFS('48 KMP -Tháng'!BC$2:BC$53,'48 KMP -Tháng'!$C$2:$C$53,'18 KMP- Tháng'!$D15)</f>
        <v>0</v>
      </c>
      <c r="BA15" s="423">
        <f>SUMIFS('48 KMP -Tháng'!BD$2:BD$53,'48 KMP -Tháng'!$C$2:$C$53,'18 KMP- Tháng'!$D15)</f>
        <v>0</v>
      </c>
      <c r="BB15" s="423">
        <f>SUMIFS('48 KMP -Tháng'!BE$2:BE$53,'48 KMP -Tháng'!$C$2:$C$53,'18 KMP- Tháng'!$D15)</f>
        <v>0</v>
      </c>
      <c r="BC15" s="423">
        <f>SUMIFS('48 KMP -Tháng'!BF$2:BF$53,'48 KMP -Tháng'!$C$2:$C$53,'18 KMP- Tháng'!$D15)</f>
        <v>0</v>
      </c>
      <c r="BD15" s="423">
        <f>SUMIFS('48 KMP -Tháng'!BG$2:BG$53,'48 KMP -Tháng'!$C$2:$C$53,'18 KMP- Tháng'!$D15)</f>
        <v>0</v>
      </c>
      <c r="BE15" s="797">
        <f t="shared" si="4"/>
        <v>45.566849999999995</v>
      </c>
      <c r="BF15" s="425">
        <f>SUMIFS('48 KMP -Tháng'!BI$2:BI$53,'48 KMP -Tháng'!$C$2:$C$53,'18 KMP- Tháng'!$D15)</f>
        <v>221.48736581720004</v>
      </c>
      <c r="BG15" s="426"/>
      <c r="BH15" s="427">
        <f>SUMIFS('48 KMP -Tháng'!BL$2:BL$50,'48 KMP -Tháng'!$C$2:$C$50,'18 KMP- Tháng'!$D15)</f>
        <v>220.10199959720003</v>
      </c>
      <c r="BI15" s="427">
        <f>SUMIFS('48 KMP -Tháng'!BM$2:BM$50,'48 KMP -Tháng'!$C$2:$C$50,'18 KMP- Tháng'!$D15)</f>
        <v>170.77461960160005</v>
      </c>
      <c r="BJ15" s="427">
        <f>SUMIFS('48 KMP -Tháng'!BN$2:BN$50,'48 KMP -Tháng'!$C$2:$C$50,'18 KMP- Tháng'!$D15)</f>
        <v>220.10199959720003</v>
      </c>
      <c r="BK15" s="427">
        <f>SUMIFS('48 KMP -Tháng'!BO$2:BO$50,'48 KMP -Tháng'!$C$2:$C$50,'18 KMP- Tháng'!$D15)</f>
        <v>220.42946855720001</v>
      </c>
      <c r="BL15" s="427">
        <f>SUMIFS('48 KMP -Tháng'!BP$2:BP$50,'48 KMP -Tháng'!$C$2:$C$50,'18 KMP- Tháng'!$D15)</f>
        <v>221.48736581720004</v>
      </c>
      <c r="BM15" s="427">
        <f>SUMIFS('48 KMP -Tháng'!BQ$2:BQ$50,'48 KMP -Tháng'!$C$2:$C$50,'18 KMP- Tháng'!$D15)</f>
        <v>221.2636200572</v>
      </c>
      <c r="BN15" s="427">
        <f>SUMIFS('48 KMP -Tháng'!BR$2:BR$50,'48 KMP -Tháng'!$C$2:$C$50,'18 KMP- Tháng'!$D15)</f>
        <v>225.44506739720009</v>
      </c>
      <c r="BO15" s="427">
        <f>SUMIFS('48 KMP -Tháng'!BS$2:BS$50,'48 KMP -Tháng'!$C$2:$C$50,'18 KMP- Tháng'!$D15)</f>
        <v>225.44506739720009</v>
      </c>
      <c r="BP15" s="427">
        <f>SUMIFS('48 KMP -Tháng'!BT$2:BT$50,'48 KMP -Tháng'!$C$2:$C$50,'18 KMP- Tháng'!$D15)</f>
        <v>225.83180675720004</v>
      </c>
      <c r="BQ15" s="427">
        <f>SUMIFS('48 KMP -Tháng'!BU$2:BU$50,'48 KMP -Tháng'!$C$2:$C$50,'18 KMP- Tháng'!$D15)</f>
        <v>225.36052769720007</v>
      </c>
      <c r="BR15" s="427">
        <f>SUMIFS('48 KMP -Tháng'!BV$2:BV$50,'48 KMP -Tháng'!$C$2:$C$50,'18 KMP- Tháng'!$D15)</f>
        <v>227.02158065720002</v>
      </c>
      <c r="BS15" s="427">
        <f>SUMIFS('48 KMP -Tháng'!BW$2:BW$50,'48 KMP -Tháng'!$C$2:$C$50,'18 KMP- Tháng'!$D15)</f>
        <v>225.36052769720007</v>
      </c>
      <c r="BT15" s="427">
        <f t="shared" si="5"/>
        <v>2628.6236508308011</v>
      </c>
    </row>
    <row r="16" spans="1:74">
      <c r="A16" s="315">
        <v>14</v>
      </c>
      <c r="B16" s="422">
        <f t="shared" si="6"/>
        <v>11</v>
      </c>
      <c r="C16" s="422" t="s">
        <v>425</v>
      </c>
      <c r="D16" s="422" t="s">
        <v>439</v>
      </c>
      <c r="E16" s="423">
        <f>SUMIFS('48 KMP -Tháng'!$F$2:$F$53,'48 KMP -Tháng'!$C$2:$C$53,'18 KMP- Tháng'!D16)</f>
        <v>0</v>
      </c>
      <c r="F16" s="423">
        <f>SUMIFS('48 KMP -Tháng'!$G$2:$G$53,'48 KMP -Tháng'!$C$2:$C$53,'18 KMP- Tháng'!D16)</f>
        <v>0</v>
      </c>
      <c r="G16" s="424">
        <f>SUMIFS('48 KMP -Tháng'!$H$2:$H$53,'48 KMP -Tháng'!$C$2:$C$53,'18 KMP- Tháng'!D16)</f>
        <v>0</v>
      </c>
      <c r="H16" s="423">
        <f>SUMIFS('48 KMP -Tháng'!$I$2:$I$53,'48 KMP -Tháng'!$C$2:$C$53,'18 KMP- Tháng'!D16)</f>
        <v>81.42</v>
      </c>
      <c r="I16" s="423">
        <f>SUMIFS('48 KMP -Tháng'!$J$2:$J$53,'48 KMP -Tháng'!$C$2:$C$53,'18 KMP- Tháng'!D16)</f>
        <v>54.022096999999995</v>
      </c>
      <c r="J16" s="423">
        <f>SUMIFS('48 KMP -Tháng'!$K$2:$K$53,'48 KMP -Tháng'!$C$2:$C$53,'18 KMP- Tháng'!D16)</f>
        <v>61.597110999999998</v>
      </c>
      <c r="K16" s="423">
        <f>SUMIFS('48 KMP -Tháng'!$L$2:$L$53,'48 KMP -Tháng'!$C$2:$C$53,'18 KMP- Tháng'!D16)</f>
        <v>33.630000000000003</v>
      </c>
      <c r="L16" s="423">
        <f>SUMIFS('48 KMP -Tháng'!$M$2:$M$53,'48 KMP -Tháng'!$C$2:$C$53,'18 KMP- Tháng'!D16)</f>
        <v>68.504600000000011</v>
      </c>
      <c r="M16" s="423">
        <f>SUMIFS('48 KMP -Tháng'!$N$2:$N$53,'48 KMP -Tháng'!$C$2:$C$53,'18 KMP- Tháng'!D16)</f>
        <v>44.922600000000003</v>
      </c>
      <c r="N16" s="423">
        <f>SUMIFS('48 KMP -Tháng'!$O$2:$O$53,'48 KMP -Tháng'!$C$2:$C$53,'18 KMP- Tháng'!$D16)</f>
        <v>0</v>
      </c>
      <c r="O16" s="423">
        <f>SUMIFS('48 KMP -Tháng'!$P$2:$P$53,'48 KMP -Tháng'!$C$2:$C$53,'18 KMP- Tháng'!$D16)</f>
        <v>22.420062999999999</v>
      </c>
      <c r="P16" s="423">
        <f>SUMIFS('48 KMP -Tháng'!$Q$2:$Q$53,'48 KMP -Tháng'!$C$2:$C$53,'18 KMP- Tháng'!$D16)</f>
        <v>0.13513700000000001</v>
      </c>
      <c r="Q16" s="424">
        <f t="shared" si="0"/>
        <v>30.554300666666666</v>
      </c>
      <c r="R16" s="423">
        <f>SUMIFS('48 KMP -Tháng'!$S$2:$S$53,'48 KMP -Tháng'!$C$2:$C$53,'18 KMP- Tháng'!$D16)</f>
        <v>22.973268999999998</v>
      </c>
      <c r="S16" s="423">
        <f>SUMIFS('48 KMP -Tháng'!T$2:T$53,'48 KMP -Tháng'!$C$2:$C$53,'18 KMP- Tháng'!$D16)</f>
        <v>0</v>
      </c>
      <c r="T16" s="423">
        <f>SUMIFS('48 KMP -Tháng'!U$2:U$53,'48 KMP -Tháng'!$C$2:$C$53,'18 KMP- Tháng'!$D16)</f>
        <v>23.045940000000002</v>
      </c>
      <c r="U16" s="423">
        <f>SUMIFS('48 KMP -Tháng'!V$2:V$53,'48 KMP -Tháng'!$C$2:$C$53,'18 KMP- Tháng'!$D16)</f>
        <v>0</v>
      </c>
      <c r="V16" s="423">
        <f>SUMIFS('48 KMP -Tháng'!W$2:W$53,'48 KMP -Tháng'!$C$2:$C$53,'18 KMP- Tháng'!$D16)</f>
        <v>0</v>
      </c>
      <c r="W16" s="423">
        <f>SUMIFS('48 KMP -Tháng'!X$2:X$53,'48 KMP -Tháng'!$C$2:$C$53,'18 KMP- Tháng'!$D16)</f>
        <v>10.511874000000001</v>
      </c>
      <c r="X16" s="423">
        <f>SUMIFS('48 KMP -Tháng'!Y$2:Y$53,'48 KMP -Tháng'!$C$2:$C$53,'18 KMP- Tháng'!$D16)</f>
        <v>20.243397999999999</v>
      </c>
      <c r="Y16" s="423">
        <f>SUMIFS('48 KMP -Tháng'!Z$2:Z$53,'48 KMP -Tháng'!$C$2:$C$53,'18 KMP- Tháng'!$D16)</f>
        <v>29.591062000000001</v>
      </c>
      <c r="Z16" s="423">
        <f>SUMIFS('48 KMP -Tháng'!AA$2:AA$53,'48 KMP -Tháng'!$C$2:$C$53,'18 KMP- Tháng'!$D16)</f>
        <v>0.11293499999999999</v>
      </c>
      <c r="AA16" s="423">
        <f>SUMIFS('48 KMP -Tháng'!AB$2:AB$53,'48 KMP -Tháng'!$C$2:$C$53,'18 KMP- Tháng'!$D16)</f>
        <v>40.229782999999998</v>
      </c>
      <c r="AB16" s="423">
        <f>SUMIFS('48 KMP -Tháng'!AC$2:AC$53,'48 KMP -Tháng'!$C$2:$C$53,'18 KMP- Tháng'!$D16)</f>
        <v>11.25</v>
      </c>
      <c r="AC16" s="423">
        <f>SUMIFS('48 KMP -Tháng'!AD$2:AD$53,'48 KMP -Tháng'!$C$2:$C$53,'18 KMP- Tháng'!$D16)+SUMIFS('48 KMP -Tháng'!$AE$2:$AE$53,'48 KMP -Tháng'!$C$2:$C$53,'18 KMP- Tháng'!D16)</f>
        <v>7.5</v>
      </c>
      <c r="AD16" s="425">
        <f t="shared" si="1"/>
        <v>165.45826099999999</v>
      </c>
      <c r="AE16" s="797">
        <f t="shared" si="2"/>
        <v>13.788188416666666</v>
      </c>
      <c r="AF16" s="423">
        <f>SUMIFS('48 KMP -Tháng'!AH$2:AH$53,'48 KMP -Tháng'!$C$2:$C$53,'18 KMP- Tháng'!$D16)</f>
        <v>69.350499999999997</v>
      </c>
      <c r="AG16" s="423">
        <f>SUMIFS('48 KMP -Tháng'!AI$2:AI$53,'48 KMP -Tháng'!$C$2:$C$53,'18 KMP- Tháng'!$D16)</f>
        <v>24.741620000000001</v>
      </c>
      <c r="AH16" s="423">
        <f>SUMIFS('48 KMP -Tháng'!AJ$2:AJ$53,'48 KMP -Tháng'!$C$2:$C$53,'18 KMP- Tháng'!$D16)</f>
        <v>27.060865</v>
      </c>
      <c r="AI16" s="423">
        <f>SUMIFS('48 KMP -Tháng'!AK$2:AK$53,'48 KMP -Tháng'!$C$2:$C$53,'18 KMP- Tháng'!$D16)</f>
        <v>59.404617999999999</v>
      </c>
      <c r="AJ16" s="423">
        <f>SUMIFS('48 KMP -Tháng'!AL$2:AL$53,'48 KMP -Tháng'!$C$2:$C$53,'18 KMP- Tháng'!$D16)</f>
        <v>64.824844999999996</v>
      </c>
      <c r="AK16" s="423">
        <f>SUMIFS('48 KMP -Tháng'!AM$2:AM$53,'48 KMP -Tháng'!$C$2:$C$53,'18 KMP- Tháng'!$D16)</f>
        <v>51.009450999999999</v>
      </c>
      <c r="AL16" s="423">
        <f>SUMIFS('48 KMP -Tháng'!AN$2:AN$53,'48 KMP -Tháng'!$C$2:$C$53,'18 KMP- Tháng'!$D16)</f>
        <v>0.13318199999999999</v>
      </c>
      <c r="AM16" s="423">
        <f>SUMIFS('48 KMP -Tháng'!AO$2:AO$53,'48 KMP -Tháng'!$C$2:$C$53,'18 KMP- Tháng'!$D16)</f>
        <v>22.427802</v>
      </c>
      <c r="AN16" s="423">
        <f>SUMIFS('48 KMP -Tháng'!AP$2:AP$53,'48 KMP -Tháng'!$C$2:$C$53,'18 KMP- Tháng'!$D16)</f>
        <v>103.48003300000001</v>
      </c>
      <c r="AO16" s="423">
        <f>SUMIFS('48 KMP -Tháng'!AQ$2:AQ$53,'48 KMP -Tháng'!$C$2:$C$53,'18 KMP- Tháng'!$D16)</f>
        <v>147.881586</v>
      </c>
      <c r="AP16" s="423">
        <f>SUMIFS('48 KMP -Tháng'!AR$2:AR$53,'48 KMP -Tháng'!$C$2:$C$53,'18 KMP- Tháng'!$D16)</f>
        <v>106.00182599999999</v>
      </c>
      <c r="AQ16" s="423">
        <f>SUMIFS('48 KMP -Tháng'!AS$2:AS$53,'48 KMP -Tháng'!$C$2:$C$53,'18 KMP- Tháng'!$D16)+SUMIFS('48 KMP -Tháng'!AT$2:AT$53,'48 KMP -Tháng'!$C$2:$C$53,'18 KMP- Tháng'!$D16)</f>
        <v>124.927651</v>
      </c>
      <c r="AR16" s="797">
        <f t="shared" si="3"/>
        <v>66.770331583333316</v>
      </c>
      <c r="AS16" s="423">
        <f>SUMIFS('48 KMP -Tháng'!AV$2:AV$53,'48 KMP -Tháng'!$C$2:$C$53,'18 KMP- Tháng'!$D16)</f>
        <v>120.08</v>
      </c>
      <c r="AT16" s="423">
        <f>SUMIFS('48 KMP -Tháng'!AW$2:AW$53,'48 KMP -Tháng'!$C$2:$C$53,'18 KMP- Tháng'!$D16)</f>
        <v>39.67</v>
      </c>
      <c r="AU16" s="423">
        <f>SUMIFS('48 KMP -Tháng'!AX$2:AX$53,'48 KMP -Tháng'!$C$2:$C$53,'18 KMP- Tháng'!$D16)</f>
        <v>199.763631</v>
      </c>
      <c r="AV16" s="423">
        <f>SUMIFS('48 KMP -Tháng'!AY$2:AY$53,'48 KMP -Tháng'!$C$2:$C$53,'18 KMP- Tháng'!$D16)</f>
        <v>40.458143</v>
      </c>
      <c r="AW16" s="423">
        <f>SUMIFS('48 KMP -Tháng'!AZ$2:AZ$53,'48 KMP -Tháng'!$C$2:$C$53,'18 KMP- Tháng'!$D16)</f>
        <v>2.6549999999999998</v>
      </c>
      <c r="AX16" s="423">
        <f>SUMIFS('48 KMP -Tháng'!BA$2:BA$53,'48 KMP -Tháng'!$C$2:$C$53,'18 KMP- Tháng'!$D16)</f>
        <v>0</v>
      </c>
      <c r="AY16" s="423">
        <f>SUMIFS('48 KMP -Tháng'!BB$2:BB$53,'48 KMP -Tháng'!$C$2:$C$53,'18 KMP- Tháng'!$D16)</f>
        <v>0</v>
      </c>
      <c r="AZ16" s="423">
        <f>SUMIFS('48 KMP -Tháng'!BC$2:BC$53,'48 KMP -Tháng'!$C$2:$C$53,'18 KMP- Tháng'!$D16)</f>
        <v>0</v>
      </c>
      <c r="BA16" s="423">
        <f>SUMIFS('48 KMP -Tháng'!BD$2:BD$53,'48 KMP -Tháng'!$C$2:$C$53,'18 KMP- Tháng'!$D16)</f>
        <v>0</v>
      </c>
      <c r="BB16" s="423">
        <f>SUMIFS('48 KMP -Tháng'!BE$2:BE$53,'48 KMP -Tháng'!$C$2:$C$53,'18 KMP- Tháng'!$D16)</f>
        <v>0</v>
      </c>
      <c r="BC16" s="423">
        <f>SUMIFS('48 KMP -Tháng'!BF$2:BF$53,'48 KMP -Tháng'!$C$2:$C$53,'18 KMP- Tháng'!$D16)</f>
        <v>0</v>
      </c>
      <c r="BD16" s="423">
        <f>SUMIFS('48 KMP -Tháng'!BG$2:BG$53,'48 KMP -Tháng'!$C$2:$C$53,'18 KMP- Tháng'!$D16)</f>
        <v>0</v>
      </c>
      <c r="BE16" s="797">
        <f t="shared" si="4"/>
        <v>33.552231166666665</v>
      </c>
      <c r="BF16" s="425">
        <f>SUMIFS('48 KMP -Tháng'!BI$2:BI$53,'48 KMP -Tháng'!$C$2:$C$53,'18 KMP- Tháng'!$D16)</f>
        <v>49.856552724992397</v>
      </c>
      <c r="BG16" s="426"/>
      <c r="BH16" s="427">
        <f>SUMIFS('48 KMP -Tháng'!BL$2:BL$50,'48 KMP -Tháng'!$C$2:$C$50,'18 KMP- Tháng'!$D16)</f>
        <v>55.069493307236243</v>
      </c>
      <c r="BI16" s="427">
        <f>SUMIFS('48 KMP -Tháng'!BM$2:BM$50,'48 KMP -Tháng'!$C$2:$C$50,'18 KMP- Tháng'!$D16)</f>
        <v>47.074623377166319</v>
      </c>
      <c r="BJ16" s="427">
        <f>SUMIFS('48 KMP -Tháng'!BN$2:BN$50,'48 KMP -Tháng'!$C$2:$C$50,'18 KMP- Tháng'!$D16)</f>
        <v>49.856552724992397</v>
      </c>
      <c r="BK16" s="427">
        <f>SUMIFS('48 KMP -Tháng'!BO$2:BO$50,'48 KMP -Tháng'!$C$2:$C$50,'18 KMP- Tháng'!$D16)</f>
        <v>57.851422655062336</v>
      </c>
      <c r="BL16" s="427">
        <f>SUMIFS('48 KMP -Tháng'!BP$2:BP$50,'48 KMP -Tháng'!$C$2:$C$50,'18 KMP- Tháng'!$D16)</f>
        <v>49.856552724992397</v>
      </c>
      <c r="BM16" s="427">
        <f>SUMIFS('48 KMP -Tháng'!BQ$2:BQ$50,'48 KMP -Tháng'!$C$2:$C$50,'18 KMP- Tháng'!$D16)</f>
        <v>80.620526828063248</v>
      </c>
      <c r="BN16" s="427">
        <f>SUMIFS('48 KMP -Tháng'!BR$2:BR$50,'48 KMP -Tháng'!$C$2:$C$50,'18 KMP- Tháng'!$D16)</f>
        <v>59.242387328975376</v>
      </c>
      <c r="BO16" s="427">
        <f>SUMIFS('48 KMP -Tháng'!BS$2:BS$50,'48 KMP -Tháng'!$C$2:$C$50,'18 KMP- Tháng'!$D16)</f>
        <v>54.02944674673153</v>
      </c>
      <c r="BP16" s="427">
        <f>SUMIFS('48 KMP -Tháng'!BT$2:BT$50,'48 KMP -Tháng'!$C$2:$C$50,'18 KMP- Tháng'!$D16)</f>
        <v>79.229562154150202</v>
      </c>
      <c r="BQ16" s="427">
        <f>SUMIFS('48 KMP -Tháng'!BU$2:BU$50,'48 KMP -Tháng'!$C$2:$C$50,'18 KMP- Tháng'!$D16)</f>
        <v>62.024316676801462</v>
      </c>
      <c r="BR16" s="427">
        <f>SUMIFS('48 KMP -Tháng'!BV$2:BV$50,'48 KMP -Tháng'!$C$2:$C$50,'18 KMP- Tháng'!$D16)</f>
        <v>51.247517398905444</v>
      </c>
      <c r="BS16" s="427">
        <f>SUMIFS('48 KMP -Tháng'!BW$2:BW$50,'48 KMP -Tháng'!$C$2:$C$50,'18 KMP- Tháng'!$D16)</f>
        <v>54.02944674673153</v>
      </c>
      <c r="BT16" s="427">
        <f t="shared" si="5"/>
        <v>700.13184866980851</v>
      </c>
    </row>
    <row r="17" spans="1:76" s="33" customFormat="1">
      <c r="A17" s="315">
        <v>15</v>
      </c>
      <c r="B17" s="416" t="s">
        <v>522</v>
      </c>
      <c r="C17" s="417" t="s">
        <v>523</v>
      </c>
      <c r="D17" s="417"/>
      <c r="E17" s="418"/>
      <c r="F17" s="418"/>
      <c r="G17" s="418"/>
      <c r="H17" s="418"/>
      <c r="I17" s="418"/>
      <c r="J17" s="418"/>
      <c r="K17" s="418"/>
      <c r="L17" s="418"/>
      <c r="M17" s="418"/>
      <c r="N17" s="418"/>
      <c r="O17" s="418"/>
      <c r="P17" s="418"/>
      <c r="Q17" s="418"/>
      <c r="R17" s="418"/>
      <c r="S17" s="418"/>
      <c r="T17" s="418"/>
      <c r="U17" s="418"/>
      <c r="V17" s="418"/>
      <c r="W17" s="418"/>
      <c r="X17" s="418"/>
      <c r="Y17" s="418"/>
      <c r="Z17" s="418"/>
      <c r="AA17" s="418"/>
      <c r="AB17" s="418"/>
      <c r="AC17" s="418"/>
      <c r="AD17" s="419"/>
      <c r="AE17" s="419"/>
      <c r="AF17" s="419"/>
      <c r="AG17" s="419"/>
      <c r="AH17" s="419"/>
      <c r="AI17" s="419"/>
      <c r="AJ17" s="419"/>
      <c r="AK17" s="419"/>
      <c r="AL17" s="419"/>
      <c r="AM17" s="419"/>
      <c r="AN17" s="419"/>
      <c r="AO17" s="419"/>
      <c r="AP17" s="419"/>
      <c r="AQ17" s="419"/>
      <c r="AR17" s="419"/>
      <c r="AS17" s="419"/>
      <c r="AT17" s="419"/>
      <c r="AU17" s="419"/>
      <c r="AV17" s="419"/>
      <c r="AW17" s="419"/>
      <c r="AX17" s="419"/>
      <c r="AY17" s="419"/>
      <c r="AZ17" s="419"/>
      <c r="BA17" s="419"/>
      <c r="BB17" s="419"/>
      <c r="BC17" s="419"/>
      <c r="BD17" s="419"/>
      <c r="BE17" s="419"/>
      <c r="BF17" s="419"/>
      <c r="BG17" s="420"/>
      <c r="BH17" s="421"/>
      <c r="BI17" s="421"/>
      <c r="BJ17" s="421"/>
      <c r="BK17" s="421"/>
      <c r="BL17" s="421"/>
      <c r="BM17" s="421"/>
      <c r="BN17" s="421"/>
      <c r="BO17" s="421"/>
      <c r="BP17" s="421"/>
      <c r="BQ17" s="421"/>
      <c r="BR17" s="421"/>
      <c r="BS17" s="421"/>
      <c r="BT17" s="421"/>
    </row>
    <row r="18" spans="1:76">
      <c r="A18" s="315">
        <v>16</v>
      </c>
      <c r="B18" s="422">
        <v>1</v>
      </c>
      <c r="C18" s="422" t="s">
        <v>440</v>
      </c>
      <c r="D18" s="422" t="s">
        <v>441</v>
      </c>
      <c r="E18" s="423">
        <f>SUMIFS('48 KMP -Tháng'!$F$2:$F$53,'48 KMP -Tháng'!$C$2:$C$53,'18 KMP- Tháng'!D18)</f>
        <v>3029.1393939999998</v>
      </c>
      <c r="F18" s="423">
        <f>SUMIFS('48 KMP -Tháng'!$G$2:$G$53,'48 KMP -Tháng'!$C$2:$C$53,'18 KMP- Tháng'!D18)</f>
        <v>3029.1393939999998</v>
      </c>
      <c r="G18" s="424">
        <f>SUMIFS('48 KMP -Tháng'!$H$2:$H$53,'48 KMP -Tháng'!$C$2:$C$53,'18 KMP- Tháng'!D18)</f>
        <v>3029.1393939999998</v>
      </c>
      <c r="H18" s="423">
        <f>SUMIFS('48 KMP -Tháng'!$I$2:$I$53,'48 KMP -Tháng'!$C$2:$C$53,'18 KMP- Tháng'!D18)</f>
        <v>1200</v>
      </c>
      <c r="I18" s="423">
        <f>SUMIFS('48 KMP -Tháng'!$J$2:$J$53,'48 KMP -Tháng'!$C$2:$C$53,'18 KMP- Tháng'!D18)</f>
        <v>1381.636364</v>
      </c>
      <c r="J18" s="423">
        <f>SUMIFS('48 KMP -Tháng'!$K$2:$K$53,'48 KMP -Tháng'!$C$2:$C$53,'18 KMP- Tháng'!D18)</f>
        <v>1317.818182</v>
      </c>
      <c r="K18" s="423">
        <f>SUMIFS('48 KMP -Tháng'!$L$2:$L$53,'48 KMP -Tháng'!$C$2:$C$53,'18 KMP- Tháng'!D18)</f>
        <v>1317.818182</v>
      </c>
      <c r="L18" s="423">
        <f>SUMIFS('48 KMP -Tháng'!$M$2:$M$53,'48 KMP -Tháng'!$C$2:$C$53,'18 KMP- Tháng'!D18)</f>
        <v>1179.4181819999999</v>
      </c>
      <c r="M18" s="423">
        <f>SUMIFS('48 KMP -Tháng'!$N$2:$N$53,'48 KMP -Tháng'!$C$2:$C$53,'18 KMP- Tháng'!D18)</f>
        <v>0</v>
      </c>
      <c r="N18" s="423">
        <f>SUMIFS('48 KMP -Tháng'!$O$2:$O$53,'48 KMP -Tháng'!$C$2:$C$53,'18 KMP- Tháng'!$D18)</f>
        <v>79.418182000000002</v>
      </c>
      <c r="O18" s="423">
        <f>SUMIFS('48 KMP -Tháng'!$P$2:$P$53,'48 KMP -Tháng'!$C$2:$C$53,'18 KMP- Tháng'!$D18)</f>
        <v>79.418182000000002</v>
      </c>
      <c r="P18" s="423">
        <f>SUMIFS('48 KMP -Tháng'!$Q$2:$Q$53,'48 KMP -Tháng'!$C$2:$C$53,'18 KMP- Tháng'!$D18)</f>
        <v>79.418182000000002</v>
      </c>
      <c r="Q18" s="424">
        <f>AVERAGE(E18:P18)</f>
        <v>1310.196969833333</v>
      </c>
      <c r="R18" s="423">
        <f>SUMIFS('48 KMP -Tháng'!$S$2:$S$53,'48 KMP -Tháng'!$C$2:$C$53,'18 KMP- Tháng'!$D18)+154+R29</f>
        <v>5953.6515149999996</v>
      </c>
      <c r="S18" s="423">
        <f>SUMIFS('48 KMP -Tháng'!$T$2:$T$53,'48 KMP -Tháng'!$C$2:$C$53,'18 KMP- Tháng'!$D18)-154+S29</f>
        <v>7553.6515149999996</v>
      </c>
      <c r="T18" s="423">
        <f>SUMIFS('48 KMP -Tháng'!U$2:U$53,'48 KMP -Tháng'!$C$2:$C$53,'18 KMP- Tháng'!$D18)+T29</f>
        <v>7603.6514150000003</v>
      </c>
      <c r="U18" s="423">
        <f>SUMIFS('48 KMP -Tháng'!V$2:V$53,'48 KMP -Tháng'!$C$2:$C$53,'18 KMP- Tháng'!$D18)+U29</f>
        <v>7489.8333329999996</v>
      </c>
      <c r="V18" s="423">
        <f>SUMIFS('48 KMP -Tháng'!W$2:W$53,'48 KMP -Tháng'!$C$2:$C$53,'18 KMP- Tháng'!$D18)+V29</f>
        <v>7715.8333329999996</v>
      </c>
      <c r="W18" s="423">
        <f>SUMIFS('48 KMP -Tháng'!X$2:X$53,'48 KMP -Tháng'!$C$2:$C$53,'18 KMP- Tháng'!$D18)+W29</f>
        <v>7565.8333329999996</v>
      </c>
      <c r="X18" s="423">
        <f>SUMIFS('48 KMP -Tháng'!Y$2:Y$53,'48 KMP -Tháng'!$C$2:$C$53,'18 KMP- Tháng'!$D18)+X29</f>
        <v>7565.8333329999996</v>
      </c>
      <c r="Y18" s="423">
        <f>SUMIFS('48 KMP -Tháng'!Z$2:Z$53,'48 KMP -Tháng'!$C$2:$C$53,'18 KMP- Tháng'!$D18)+Y29</f>
        <v>7565.8333329999996</v>
      </c>
      <c r="Z18" s="423">
        <f>SUMIFS('48 KMP -Tháng'!AA$2:AA$53,'48 KMP -Tháng'!$C$2:$C$53,'18 KMP- Tháng'!$D18)+Z29</f>
        <v>7565.8333329999996</v>
      </c>
      <c r="AA18" s="423">
        <f>SUMIFS('48 KMP -Tháng'!AB$2:AB$53,'48 KMP -Tháng'!$C$2:$C$53,'18 KMP- Tháng'!$D18)+AA29</f>
        <v>6965.8333329999996</v>
      </c>
      <c r="AB18" s="423">
        <f>SUMIFS('48 KMP -Tháng'!AC$2:AC$53,'48 KMP -Tháng'!$C$2:$C$53,'18 KMP- Tháng'!$D18)+AB29</f>
        <v>6815.8333329999996</v>
      </c>
      <c r="AC18" s="1381">
        <f>SUMIFS('48 KMP -Tháng'!AD$2:AD$53,'48 KMP -Tháng'!$C$2:$C$53,'18 KMP- Tháng'!$D18)+AC29</f>
        <v>7115.8333380000004</v>
      </c>
      <c r="AD18" s="1231">
        <f>SUM(R18:AC18)</f>
        <v>87477.454447000011</v>
      </c>
      <c r="AE18" s="797">
        <f t="shared" si="2"/>
        <v>7289.7878705833346</v>
      </c>
      <c r="AF18" s="1032">
        <f>SUMIFS('48 KMP -Tháng'!AH$2:AH$53,'48 KMP -Tháng'!$C$2:$C$53,'18 KMP- Tháng'!$D18)+AF29</f>
        <v>7607.0608030000003</v>
      </c>
      <c r="AG18" s="1032">
        <f>SUMIFS('48 KMP -Tháng'!AI$2:AI$53,'48 KMP -Tháng'!$C$2:$C$53,'18 KMP- Tháng'!$D18)+AG29</f>
        <v>7607.0608030000003</v>
      </c>
      <c r="AH18" s="1032">
        <f>SUMIFS('48 KMP -Tháng'!AJ$2:AJ$53,'48 KMP -Tháng'!$C$2:$C$53,'18 KMP- Tháng'!$D18)+AH29</f>
        <v>7661.0608030000003</v>
      </c>
      <c r="AI18" s="1032">
        <f>SUMIFS('48 KMP -Tháng'!AK$2:AK$53,'48 KMP -Tháng'!$C$2:$C$53,'18 KMP- Tháng'!$D18)+AI29</f>
        <v>7511.0608030000003</v>
      </c>
      <c r="AJ18" s="1032">
        <f>SUMIFS('48 KMP -Tháng'!AL$2:AL$53,'48 KMP -Tháng'!$C$2:$C$53,'18 KMP- Tháng'!$D18)+AJ29</f>
        <v>7537.0608030000003</v>
      </c>
      <c r="AK18" s="1032">
        <f>SUMIFS('48 KMP -Tháng'!AM$2:AM$53,'48 KMP -Tháng'!$C$2:$C$53,'18 KMP- Tháng'!$D18)+AK29</f>
        <v>8266.7444390000001</v>
      </c>
      <c r="AL18" s="1032">
        <f>SUMIFS('48 KMP -Tháng'!AN$2:AN$53,'48 KMP -Tháng'!$C$2:$C$53,'18 KMP- Tháng'!$D18)+AL29</f>
        <v>8544.6585909999994</v>
      </c>
      <c r="AM18" s="1032">
        <f>SUMIFS('48 KMP -Tháng'!AO$2:AO$53,'48 KMP -Tháng'!$C$2:$C$53,'18 KMP- Tháng'!$D18)+AM29</f>
        <v>8994.6585909999994</v>
      </c>
      <c r="AN18" s="1032">
        <f>SUMIFS('48 KMP -Tháng'!AP$2:AP$53,'48 KMP -Tháng'!$C$2:$C$53,'18 KMP- Tháng'!$D18)+AN29</f>
        <v>9001.4585910000005</v>
      </c>
      <c r="AO18" s="1032">
        <f>SUMIFS('48 KMP -Tháng'!AQ$2:AQ$53,'48 KMP -Tháng'!$C$2:$C$53,'18 KMP- Tháng'!$D18)+AO29</f>
        <v>9011.6585909999994</v>
      </c>
      <c r="AP18" s="1032">
        <f>SUMIFS('48 KMP -Tháng'!AR$2:AR$53,'48 KMP -Tháng'!$C$2:$C$53,'18 KMP- Tháng'!$D18)+AP29</f>
        <v>9011.6585909999994</v>
      </c>
      <c r="AQ18" s="1032">
        <f>SUMIFS('48 KMP -Tháng'!AS$2:AS$53,'48 KMP -Tháng'!$C$2:$C$53,'18 KMP- Tháng'!$D18)+AQ29</f>
        <v>8116.6585910000003</v>
      </c>
      <c r="AR18" s="797">
        <f t="shared" si="3"/>
        <v>8239.2333333333336</v>
      </c>
      <c r="AS18" s="1032">
        <f>SUMIFS('48 KMP -Tháng'!AV$2:AV$53,'48 KMP -Tháng'!$C$2:$C$53,'18 KMP- Tháng'!$D18)+AS29</f>
        <v>9336.6666700000005</v>
      </c>
      <c r="AT18" s="1032">
        <f>SUMIFS('48 KMP -Tháng'!AW$2:AW$53,'48 KMP -Tháng'!$C$2:$C$53,'18 KMP- Tháng'!$D18)+AT29</f>
        <v>9336.6666700000005</v>
      </c>
      <c r="AU18" s="1032">
        <f>SUMIFS('48 KMP -Tháng'!AX$2:AX$53,'48 KMP -Tháng'!$C$2:$C$53,'18 KMP- Tháng'!$D18)+AU29</f>
        <v>9336.6666700000005</v>
      </c>
      <c r="AV18" s="1032">
        <f>SUMIFS('48 KMP -Tháng'!AY$2:AY$53,'48 KMP -Tháng'!$C$2:$C$53,'18 KMP- Tháng'!$D18)+AV29</f>
        <v>9336.6666700000005</v>
      </c>
      <c r="AW18" s="1032">
        <f>SUMIFS('48 KMP -Tháng'!AZ$2:AZ$53,'48 KMP -Tháng'!$C$2:$C$53,'18 KMP- Tháng'!$D18)+AW29</f>
        <v>9336.666663</v>
      </c>
      <c r="AX18" s="1032">
        <f>SUMIFS('48 KMP -Tháng'!BA$2:BA$53,'48 KMP -Tháng'!$C$2:$C$53,'18 KMP- Tháng'!$D18)+AX29</f>
        <v>0</v>
      </c>
      <c r="AY18" s="1032">
        <f>SUMIFS('48 KMP -Tháng'!BB$2:BB$53,'48 KMP -Tháng'!$C$2:$C$53,'18 KMP- Tháng'!$D18)+AY29</f>
        <v>0</v>
      </c>
      <c r="AZ18" s="1032">
        <f>SUMIFS('48 KMP -Tháng'!BC$2:BC$53,'48 KMP -Tháng'!$C$2:$C$53,'18 KMP- Tháng'!$D18)+AZ29</f>
        <v>0</v>
      </c>
      <c r="BA18" s="1032">
        <f>SUMIFS('48 KMP -Tháng'!BD$2:BD$53,'48 KMP -Tháng'!$C$2:$C$53,'18 KMP- Tháng'!$D18)+BA29</f>
        <v>0</v>
      </c>
      <c r="BB18" s="1032">
        <f>SUMIFS('48 KMP -Tháng'!BE$2:BE$53,'48 KMP -Tháng'!$C$2:$C$53,'18 KMP- Tháng'!$D18)+BB29</f>
        <v>0</v>
      </c>
      <c r="BC18" s="1032">
        <f>SUMIFS('48 KMP -Tháng'!BF$2:BF$53,'48 KMP -Tháng'!$C$2:$C$53,'18 KMP- Tháng'!$D18)+BC29</f>
        <v>0</v>
      </c>
      <c r="BD18" s="1032">
        <f>SUMIFS('48 KMP -Tháng'!BG$2:BG$53,'48 KMP -Tháng'!$C$2:$C$53,'18 KMP- Tháng'!$D18)+BD29</f>
        <v>0</v>
      </c>
      <c r="BE18" s="797">
        <f t="shared" ref="BE18:BE25" si="7">AVERAGE(AS18:BD18)</f>
        <v>3890.2777785833337</v>
      </c>
      <c r="BF18" s="425">
        <f>SUMIFS('48 KMP -Tháng'!BI$2:BI$53,'48 KMP -Tháng'!$C$2:$C$53,'18 KMP- Tháng'!$D18)</f>
        <v>5820</v>
      </c>
      <c r="BG18" s="426"/>
      <c r="BH18" s="427">
        <f>SUMIFS('48 KMP -Tháng'!BL$2:BL$50,'48 KMP -Tháng'!$C$2:$C$50,'18 KMP- Tháng'!$D18)</f>
        <v>5820</v>
      </c>
      <c r="BI18" s="427">
        <f>SUMIFS('48 KMP -Tháng'!BM$2:BM$50,'48 KMP -Tháng'!$C$2:$C$50,'18 KMP- Tháng'!$D18)</f>
        <v>5820</v>
      </c>
      <c r="BJ18" s="427">
        <f>SUMIFS('48 KMP -Tháng'!BN$2:BN$50,'48 KMP -Tháng'!$C$2:$C$50,'18 KMP- Tháng'!$D18)</f>
        <v>5820</v>
      </c>
      <c r="BK18" s="427">
        <f>SUMIFS('48 KMP -Tháng'!BO$2:BO$50,'48 KMP -Tháng'!$C$2:$C$50,'18 KMP- Tháng'!$D18)</f>
        <v>5820</v>
      </c>
      <c r="BL18" s="427">
        <f>SUMIFS('48 KMP -Tháng'!BP$2:BP$50,'48 KMP -Tháng'!$C$2:$C$50,'18 KMP- Tháng'!$D18)</f>
        <v>5820</v>
      </c>
      <c r="BM18" s="427">
        <f>SUMIFS('48 KMP -Tháng'!BQ$2:BQ$50,'48 KMP -Tháng'!$C$2:$C$50,'18 KMP- Tháng'!$D18)</f>
        <v>5820</v>
      </c>
      <c r="BN18" s="427">
        <f>SUMIFS('48 KMP -Tháng'!BR$2:BR$50,'48 KMP -Tháng'!$C$2:$C$50,'18 KMP- Tháng'!$D18)</f>
        <v>5820</v>
      </c>
      <c r="BO18" s="427">
        <f>SUMIFS('48 KMP -Tháng'!BS$2:BS$50,'48 KMP -Tháng'!$C$2:$C$50,'18 KMP- Tháng'!$D18)</f>
        <v>5820</v>
      </c>
      <c r="BP18" s="427">
        <f>SUMIFS('48 KMP -Tháng'!BT$2:BT$50,'48 KMP -Tháng'!$C$2:$C$50,'18 KMP- Tháng'!$D18)</f>
        <v>5820</v>
      </c>
      <c r="BQ18" s="427">
        <f>SUMIFS('48 KMP -Tháng'!BU$2:BU$50,'48 KMP -Tháng'!$C$2:$C$50,'18 KMP- Tháng'!$D18)</f>
        <v>5820</v>
      </c>
      <c r="BR18" s="427">
        <f>SUMIFS('48 KMP -Tháng'!BV$2:BV$50,'48 KMP -Tháng'!$C$2:$C$50,'18 KMP- Tháng'!$D18)</f>
        <v>5820</v>
      </c>
      <c r="BS18" s="427">
        <f>SUMIFS('48 KMP -Tháng'!BW$2:BW$50,'48 KMP -Tháng'!$C$2:$C$50,'18 KMP- Tháng'!$D18)</f>
        <v>5820</v>
      </c>
      <c r="BT18" s="427">
        <f t="shared" ref="BT18:BT24" si="8">SUM(BH18:BS18)</f>
        <v>69840</v>
      </c>
      <c r="BV18" s="428"/>
      <c r="BW18" s="428"/>
      <c r="BX18" s="428"/>
    </row>
    <row r="19" spans="1:76">
      <c r="A19" s="315">
        <v>17</v>
      </c>
      <c r="B19" s="422">
        <f t="shared" ref="B19:B24" si="9">B18+1</f>
        <v>2</v>
      </c>
      <c r="C19" s="422" t="s">
        <v>440</v>
      </c>
      <c r="D19" s="422" t="s">
        <v>442</v>
      </c>
      <c r="E19" s="423">
        <f>SUMIFS('48 KMP -Tháng'!$F$2:$F$53,'48 KMP -Tháng'!$C$2:$C$53,'18 KMP- Tháng'!D19)</f>
        <v>6125.5390770000004</v>
      </c>
      <c r="F19" s="423">
        <f>SUMIFS('48 KMP -Tháng'!$G$2:$G$53,'48 KMP -Tháng'!$C$2:$C$53,'18 KMP- Tháng'!D19)</f>
        <v>6126.0910359999998</v>
      </c>
      <c r="G19" s="424">
        <f>SUMIFS('48 KMP -Tháng'!$H$2:$H$53,'48 KMP -Tháng'!$C$2:$C$53,'18 KMP- Tháng'!D19)</f>
        <v>6407.0904010000004</v>
      </c>
      <c r="H19" s="423">
        <f>SUMIFS('48 KMP -Tháng'!$I$2:$I$53,'48 KMP -Tháng'!$C$2:$C$53,'18 KMP- Tháng'!D19)</f>
        <v>7043.8874960000003</v>
      </c>
      <c r="I19" s="423">
        <f>SUMIFS('48 KMP -Tháng'!$J$2:$J$53,'48 KMP -Tháng'!$C$2:$C$53,'18 KMP- Tháng'!D19)</f>
        <v>7372.1250959999998</v>
      </c>
      <c r="J19" s="423">
        <f>SUMIFS('48 KMP -Tháng'!$K$2:$K$53,'48 KMP -Tháng'!$C$2:$C$53,'18 KMP- Tháng'!D19)</f>
        <v>7571.593116</v>
      </c>
      <c r="K19" s="423">
        <f>SUMIFS('48 KMP -Tháng'!$L$2:$L$53,'48 KMP -Tháng'!$C$2:$C$53,'18 KMP- Tháng'!D19)</f>
        <v>7495.9041289999996</v>
      </c>
      <c r="L19" s="423">
        <f>SUMIFS('48 KMP -Tháng'!$M$2:$M$53,'48 KMP -Tháng'!$C$2:$C$53,'18 KMP- Tháng'!D19)</f>
        <v>8307.0938870000009</v>
      </c>
      <c r="M19" s="423">
        <f>SUMIFS('48 KMP -Tháng'!$N$2:$N$53,'48 KMP -Tháng'!$C$2:$C$53,'18 KMP- Tháng'!D19)</f>
        <v>8042.3777319999999</v>
      </c>
      <c r="N19" s="423">
        <f>SUMIFS('48 KMP -Tháng'!$O$2:$O$53,'48 KMP -Tháng'!$C$2:$C$53,'18 KMP- Tháng'!$D19)</f>
        <v>7933.8950500000001</v>
      </c>
      <c r="O19" s="423">
        <f>SUMIFS('48 KMP -Tháng'!$P$2:$P$53,'48 KMP -Tháng'!$C$2:$C$53,'18 KMP- Tháng'!$D19)</f>
        <v>8291.7686730000005</v>
      </c>
      <c r="P19" s="423">
        <f>SUMIFS('48 KMP -Tháng'!$Q$2:$Q$53,'48 KMP -Tháng'!$C$2:$C$53,'18 KMP- Tháng'!$D19)</f>
        <v>8517.5400150000005</v>
      </c>
      <c r="Q19" s="424">
        <f t="shared" si="0"/>
        <v>7436.2421423333353</v>
      </c>
      <c r="R19" s="423">
        <f>SUMIFS('48 KMP -Tháng'!$S$2:$S$53,'48 KMP -Tháng'!$C$2:$C$53,'18 KMP- Tháng'!$D19)</f>
        <v>9830.8313450000005</v>
      </c>
      <c r="S19" s="423">
        <f>SUMIFS('48 KMP -Tháng'!$T$2:$T$53,'48 KMP -Tháng'!$C$2:$C$53,'18 KMP- Tháng'!$D19)</f>
        <v>8773.2714360000009</v>
      </c>
      <c r="T19" s="423">
        <f>SUMIFS('48 KMP -Tháng'!U$2:U$53,'48 KMP -Tháng'!$C$2:$C$53,'18 KMP- Tháng'!$D19)</f>
        <v>9519.9123970000001</v>
      </c>
      <c r="U19" s="423">
        <f>SUMIFS('48 KMP -Tháng'!V$2:V$53,'48 KMP -Tháng'!$C$2:$C$53,'18 KMP- Tháng'!$D19)</f>
        <v>10326.124313</v>
      </c>
      <c r="V19" s="423">
        <f>SUMIFS('48 KMP -Tháng'!W$2:W$53,'48 KMP -Tháng'!$C$2:$C$53,'18 KMP- Tháng'!$D19)</f>
        <v>10542.358342</v>
      </c>
      <c r="W19" s="423">
        <f>SUMIFS('48 KMP -Tháng'!X$2:X$53,'48 KMP -Tháng'!$C$2:$C$53,'18 KMP- Tháng'!$D19)</f>
        <v>10420.118291000001</v>
      </c>
      <c r="X19" s="423">
        <f>SUMIFS('48 KMP -Tháng'!Y$2:Y$53,'48 KMP -Tháng'!$C$2:$C$53,'18 KMP- Tháng'!$D19)</f>
        <v>10367.214110999999</v>
      </c>
      <c r="Y19" s="423">
        <f>SUMIFS('48 KMP -Tháng'!Z$2:Z$53,'48 KMP -Tháng'!$C$2:$C$53,'18 KMP- Tháng'!$D19)</f>
        <v>10248.121787</v>
      </c>
      <c r="Z19" s="423">
        <f>SUMIFS('48 KMP -Tháng'!AA$2:AA$53,'48 KMP -Tháng'!$C$2:$C$53,'18 KMP- Tháng'!$D19)</f>
        <v>10990.529123</v>
      </c>
      <c r="AA19" s="423">
        <f>SUMIFS('48 KMP -Tháng'!AB$2:AB$53,'48 KMP -Tháng'!$C$2:$C$53,'18 KMP- Tháng'!$D19)</f>
        <v>11059.132774</v>
      </c>
      <c r="AB19" s="423">
        <f>SUMIFS('48 KMP -Tháng'!AC$2:AC$53,'48 KMP -Tháng'!$C$2:$C$53,'18 KMP- Tháng'!$D19)</f>
        <v>11344.443729000001</v>
      </c>
      <c r="AC19" s="423">
        <f>SUMIFS('48 KMP -Tháng'!AD$2:AD$53,'48 KMP -Tháng'!$C$2:$C$53,'18 KMP- Tháng'!$D19)+SUMIFS('48 KMP -Tháng'!$AE$2:$AE$53,'48 KMP -Tháng'!$C$2:$C$53,'18 KMP- Tháng'!D19)</f>
        <v>13046.731478</v>
      </c>
      <c r="AD19" s="425">
        <f t="shared" si="1"/>
        <v>126468.789126</v>
      </c>
      <c r="AE19" s="797">
        <f t="shared" si="2"/>
        <v>10539.0657605</v>
      </c>
      <c r="AF19" s="423">
        <f>SUMIFS('48 KMP -Tháng'!AH$2:AH$53,'48 KMP -Tháng'!$C$2:$C$53,'18 KMP- Tháng'!$D19)</f>
        <v>12484.720971999999</v>
      </c>
      <c r="AG19" s="423">
        <f>SUMIFS('48 KMP -Tháng'!AI$2:AI$53,'48 KMP -Tháng'!$C$2:$C$53,'18 KMP- Tháng'!$D19)</f>
        <v>12440.263203</v>
      </c>
      <c r="AH19" s="423">
        <f>SUMIFS('48 KMP -Tháng'!AJ$2:AJ$53,'48 KMP -Tháng'!$C$2:$C$53,'18 KMP- Tháng'!$D19)</f>
        <v>12471.463223000001</v>
      </c>
      <c r="AI19" s="423">
        <f>SUMIFS('48 KMP -Tháng'!AK$2:AK$53,'48 KMP -Tháng'!$C$2:$C$53,'18 KMP- Tháng'!$D19)</f>
        <v>13751.320948</v>
      </c>
      <c r="AJ19" s="423">
        <f>SUMIFS('48 KMP -Tháng'!AL$2:AL$53,'48 KMP -Tháng'!$C$2:$C$53,'18 KMP- Tháng'!$D19)</f>
        <v>13836.715722999999</v>
      </c>
      <c r="AK19" s="423">
        <f>SUMIFS('48 KMP -Tháng'!AM$2:AM$53,'48 KMP -Tháng'!$C$2:$C$53,'18 KMP- Tháng'!$D19)</f>
        <v>14183.474963000001</v>
      </c>
      <c r="AL19" s="423">
        <f>SUMIFS('48 KMP -Tháng'!AN$2:AN$53,'48 KMP -Tháng'!$C$2:$C$53,'18 KMP- Tháng'!$D19)</f>
        <v>14703.546302000001</v>
      </c>
      <c r="AM19" s="423">
        <f>SUMIFS('48 KMP -Tháng'!AO$2:AO$53,'48 KMP -Tháng'!$C$2:$C$53,'18 KMP- Tháng'!$D19)</f>
        <v>14974.12703</v>
      </c>
      <c r="AN19" s="423">
        <f>SUMIFS('48 KMP -Tháng'!AP$2:AP$53,'48 KMP -Tháng'!$C$2:$C$53,'18 KMP- Tháng'!$D19)</f>
        <v>15329.392134</v>
      </c>
      <c r="AO19" s="423">
        <f>SUMIFS('48 KMP -Tháng'!AQ$2:AQ$53,'48 KMP -Tháng'!$C$2:$C$53,'18 KMP- Tháng'!$D19)</f>
        <v>14505.21227</v>
      </c>
      <c r="AP19" s="423">
        <f>SUMIFS('48 KMP -Tháng'!AR$2:AR$53,'48 KMP -Tháng'!$C$2:$C$53,'18 KMP- Tháng'!$D19)</f>
        <v>14089.326478000001</v>
      </c>
      <c r="AQ19" s="423">
        <f>SUMIFS('48 KMP -Tháng'!AS$2:AS$53,'48 KMP -Tháng'!$C$2:$C$53,'18 KMP- Tháng'!$D19)+SUMIFS('48 KMP -Tháng'!AT$2:AT$53,'48 KMP -Tháng'!$C$2:$C$53,'18 KMP- Tháng'!$D19)</f>
        <v>20951.962551000001</v>
      </c>
      <c r="AR19" s="797">
        <f t="shared" si="3"/>
        <v>14476.793816416668</v>
      </c>
      <c r="AS19" s="423">
        <f>SUMIFS('48 KMP -Tháng'!AV$2:AV$53,'48 KMP -Tháng'!$C$2:$C$53,'18 KMP- Tháng'!$D19)</f>
        <v>14411.695471000001</v>
      </c>
      <c r="AT19" s="423">
        <f>SUMIFS('48 KMP -Tháng'!AW$2:AW$53,'48 KMP -Tháng'!$C$2:$C$53,'18 KMP- Tháng'!$D19)</f>
        <v>12889.941534</v>
      </c>
      <c r="AU19" s="423">
        <f>SUMIFS('48 KMP -Tháng'!AX$2:AX$53,'48 KMP -Tháng'!$C$2:$C$53,'18 KMP- Tháng'!$D19)</f>
        <v>13887.70347</v>
      </c>
      <c r="AV19" s="423">
        <f>SUMIFS('48 KMP -Tháng'!AY$2:AY$53,'48 KMP -Tháng'!$C$2:$C$53,'18 KMP- Tháng'!$D19)</f>
        <v>15549.865876</v>
      </c>
      <c r="AW19" s="423">
        <f>SUMIFS('48 KMP -Tháng'!AZ$2:AZ$53,'48 KMP -Tháng'!$C$2:$C$53,'18 KMP- Tháng'!$D19)</f>
        <v>14649.384491000001</v>
      </c>
      <c r="AX19" s="423">
        <f>SUMIFS('48 KMP -Tháng'!BA$2:BA$53,'48 KMP -Tháng'!$C$2:$C$53,'18 KMP- Tháng'!$D19)</f>
        <v>0</v>
      </c>
      <c r="AY19" s="423">
        <f>SUMIFS('48 KMP -Tháng'!BB$2:BB$53,'48 KMP -Tháng'!$C$2:$C$53,'18 KMP- Tháng'!$D19)</f>
        <v>0</v>
      </c>
      <c r="AZ19" s="423">
        <f>SUMIFS('48 KMP -Tháng'!BC$2:BC$53,'48 KMP -Tháng'!$C$2:$C$53,'18 KMP- Tháng'!$D19)</f>
        <v>0</v>
      </c>
      <c r="BA19" s="423">
        <f>SUMIFS('48 KMP -Tháng'!BD$2:BD$53,'48 KMP -Tháng'!$C$2:$C$53,'18 KMP- Tháng'!$D19)</f>
        <v>0</v>
      </c>
      <c r="BB19" s="423">
        <f>SUMIFS('48 KMP -Tháng'!BE$2:BE$53,'48 KMP -Tháng'!$C$2:$C$53,'18 KMP- Tháng'!$D19)</f>
        <v>0</v>
      </c>
      <c r="BC19" s="423">
        <f>SUMIFS('48 KMP -Tháng'!BF$2:BF$53,'48 KMP -Tháng'!$C$2:$C$53,'18 KMP- Tháng'!$D19)</f>
        <v>0</v>
      </c>
      <c r="BD19" s="423">
        <f>SUMIFS('48 KMP -Tháng'!BG$2:BG$53,'48 KMP -Tháng'!$C$2:$C$53,'18 KMP- Tháng'!$D19)</f>
        <v>0</v>
      </c>
      <c r="BE19" s="797">
        <f t="shared" si="7"/>
        <v>5949.0492368333335</v>
      </c>
      <c r="BF19" s="425">
        <f>SUMIFS('48 KMP -Tháng'!BI$2:BI$53,'48 KMP -Tháng'!$C$2:$C$53,'18 KMP- Tháng'!$D19)</f>
        <v>15842.84843769231</v>
      </c>
      <c r="BG19" s="426"/>
      <c r="BH19" s="427">
        <f>SUMIFS('48 KMP -Tháng'!BL$2:BL$50,'48 KMP -Tháng'!$C$2:$C$50,'18 KMP- Tháng'!$D19)</f>
        <v>15931.069797384615</v>
      </c>
      <c r="BI19" s="427">
        <f>SUMIFS('48 KMP -Tháng'!BM$2:BM$50,'48 KMP -Tháng'!$C$2:$C$50,'18 KMP- Tháng'!$D19)</f>
        <v>15790.248279384619</v>
      </c>
      <c r="BJ19" s="427">
        <f>SUMIFS('48 KMP -Tháng'!BN$2:BN$50,'48 KMP -Tháng'!$C$2:$C$50,'18 KMP- Tháng'!$D19)</f>
        <v>15196.810000538462</v>
      </c>
      <c r="BK19" s="427">
        <f>SUMIFS('48 KMP -Tháng'!BO$2:BO$50,'48 KMP -Tháng'!$C$2:$C$50,'18 KMP- Tháng'!$D19)</f>
        <v>16297.499056557692</v>
      </c>
      <c r="BL19" s="427">
        <f>SUMIFS('48 KMP -Tháng'!BP$2:BP$50,'48 KMP -Tháng'!$C$2:$C$50,'18 KMP- Tháng'!$D19)</f>
        <v>15842.84843769231</v>
      </c>
      <c r="BM19" s="427">
        <f>SUMIFS('48 KMP -Tháng'!BQ$2:BQ$50,'48 KMP -Tháng'!$C$2:$C$50,'18 KMP- Tháng'!$D19)</f>
        <v>16608.384155269232</v>
      </c>
      <c r="BN19" s="427">
        <f>SUMIFS('48 KMP -Tháng'!BR$2:BR$50,'48 KMP -Tháng'!$C$2:$C$50,'18 KMP- Tháng'!$D19)</f>
        <v>16228.669642442308</v>
      </c>
      <c r="BO19" s="427">
        <f>SUMIFS('48 KMP -Tháng'!BS$2:BS$50,'48 KMP -Tháng'!$C$2:$C$50,'18 KMP- Tháng'!$D19)</f>
        <v>16424.568209153847</v>
      </c>
      <c r="BP19" s="427">
        <f>SUMIFS('48 KMP -Tháng'!BT$2:BT$50,'48 KMP -Tháng'!$C$2:$C$50,'18 KMP- Tháng'!$D19)</f>
        <v>16603.793978038459</v>
      </c>
      <c r="BQ19" s="427">
        <f>SUMIFS('48 KMP -Tháng'!BU$2:BU$50,'48 KMP -Tháng'!$C$2:$C$50,'18 KMP- Tháng'!$D19)</f>
        <v>15861.049816326924</v>
      </c>
      <c r="BR19" s="427">
        <f>SUMIFS('48 KMP -Tháng'!BV$2:BV$50,'48 KMP -Tháng'!$C$2:$C$50,'18 KMP- Tháng'!$D19)</f>
        <v>16586.944001269232</v>
      </c>
      <c r="BS19" s="427">
        <f>SUMIFS('48 KMP -Tháng'!BW$2:BW$50,'48 KMP -Tháng'!$C$2:$C$50,'18 KMP- Tháng'!$D19)</f>
        <v>18480.446209153848</v>
      </c>
      <c r="BT19" s="427">
        <f t="shared" si="8"/>
        <v>195852.33158321158</v>
      </c>
    </row>
    <row r="20" spans="1:76">
      <c r="A20" s="315">
        <v>5</v>
      </c>
      <c r="B20" s="422">
        <f t="shared" si="9"/>
        <v>3</v>
      </c>
      <c r="C20" s="422" t="s">
        <v>440</v>
      </c>
      <c r="D20" s="422" t="s">
        <v>443</v>
      </c>
      <c r="E20" s="423">
        <f>SUMIFS('48 KMP -Tháng'!$F$2:$F$53,'48 KMP -Tháng'!$C$2:$C$53,'18 KMP- Tháng'!D20)</f>
        <v>1999.745032</v>
      </c>
      <c r="F20" s="423">
        <f>SUMIFS('48 KMP -Tháng'!$G$2:$G$53,'48 KMP -Tháng'!$C$2:$C$53,'18 KMP- Tháng'!D20)</f>
        <v>2159.0866270000001</v>
      </c>
      <c r="G20" s="424">
        <f>SUMIFS('48 KMP -Tháng'!$H$2:$H$53,'48 KMP -Tháng'!$C$2:$C$53,'18 KMP- Tháng'!D20)</f>
        <v>2355.4122550000002</v>
      </c>
      <c r="H20" s="423">
        <f>SUMIFS('48 KMP -Tháng'!$I$2:$I$53,'48 KMP -Tháng'!$C$2:$C$53,'18 KMP- Tháng'!D20)</f>
        <v>2503.34139</v>
      </c>
      <c r="I20" s="423">
        <f>SUMIFS('48 KMP -Tháng'!$J$2:$J$53,'48 KMP -Tháng'!$C$2:$C$53,'18 KMP- Tháng'!D20)</f>
        <v>2453.5862940000002</v>
      </c>
      <c r="J20" s="423">
        <f>SUMIFS('48 KMP -Tháng'!$K$2:$K$53,'48 KMP -Tháng'!$C$2:$C$53,'18 KMP- Tháng'!D20)</f>
        <v>2496.0810230000002</v>
      </c>
      <c r="K20" s="423">
        <f>SUMIFS('48 KMP -Tháng'!$L$2:$L$53,'48 KMP -Tháng'!$C$2:$C$53,'18 KMP- Tháng'!D20)</f>
        <v>2605.8116279999999</v>
      </c>
      <c r="L20" s="423">
        <f>SUMIFS('48 KMP -Tháng'!$M$2:$M$53,'48 KMP -Tháng'!$C$2:$C$53,'18 KMP- Tháng'!D20)</f>
        <v>2747.3790829999998</v>
      </c>
      <c r="M20" s="423">
        <f>SUMIFS('48 KMP -Tháng'!$N$2:$N$53,'48 KMP -Tháng'!$C$2:$C$53,'18 KMP- Tháng'!D20)</f>
        <v>2849.3270080000002</v>
      </c>
      <c r="N20" s="423">
        <f>SUMIFS('48 KMP -Tháng'!$O$2:$O$53,'48 KMP -Tháng'!$C$2:$C$53,'18 KMP- Tháng'!$D20)</f>
        <v>2883.5538980000001</v>
      </c>
      <c r="O20" s="423">
        <f>SUMIFS('48 KMP -Tháng'!$P$2:$P$53,'48 KMP -Tháng'!$C$2:$C$53,'18 KMP- Tháng'!$D20)</f>
        <v>2888.0607730000002</v>
      </c>
      <c r="P20" s="423">
        <f>SUMIFS('48 KMP -Tháng'!$Q$2:$Q$53,'48 KMP -Tháng'!$C$2:$C$53,'18 KMP- Tháng'!$D20)</f>
        <v>3035.1713089999998</v>
      </c>
      <c r="Q20" s="424">
        <f>AVERAGE(E20:P20)</f>
        <v>2581.3796933333338</v>
      </c>
      <c r="R20" s="423">
        <f>SUMIFS('48 KMP -Tháng'!$S$2:$S$53,'48 KMP -Tháng'!$C$2:$C$53,'18 KMP- Tháng'!$D20)</f>
        <v>2998.4795089999998</v>
      </c>
      <c r="S20" s="423">
        <f>SUMIFS('48 KMP -Tháng'!T$2:T$53,'48 KMP -Tháng'!$C$2:$C$53,'18 KMP- Tháng'!$D20)</f>
        <v>3003.3587619999998</v>
      </c>
      <c r="T20" s="423">
        <f>SUMIFS('48 KMP -Tháng'!U$2:U$53,'48 KMP -Tháng'!$C$2:$C$53,'18 KMP- Tháng'!$D20)</f>
        <v>2998.9789329999999</v>
      </c>
      <c r="U20" s="423">
        <f>SUMIFS('48 KMP -Tháng'!V$2:V$53,'48 KMP -Tháng'!$C$2:$C$53,'18 KMP- Tháng'!$D20)</f>
        <v>3181.0243989999999</v>
      </c>
      <c r="V20" s="423">
        <f>SUMIFS('48 KMP -Tháng'!W$2:W$53,'48 KMP -Tháng'!$C$2:$C$53,'18 KMP- Tháng'!$D20)</f>
        <v>3238.7242780000001</v>
      </c>
      <c r="W20" s="423">
        <f>SUMIFS('48 KMP -Tháng'!X$2:X$53,'48 KMP -Tháng'!$C$2:$C$53,'18 KMP- Tháng'!$D20)</f>
        <v>3240.4400230000001</v>
      </c>
      <c r="X20" s="423">
        <f>SUMIFS('48 KMP -Tháng'!Y$2:Y$53,'48 KMP -Tháng'!$C$2:$C$53,'18 KMP- Tháng'!$D20)</f>
        <v>3274.4964810000001</v>
      </c>
      <c r="Y20" s="423">
        <f>SUMIFS('48 KMP -Tháng'!Z$2:Z$53,'48 KMP -Tháng'!$C$2:$C$53,'18 KMP- Tháng'!$D20)</f>
        <v>3295.429795</v>
      </c>
      <c r="Z20" s="423">
        <f>SUMIFS('48 KMP -Tháng'!AA$2:AA$53,'48 KMP -Tháng'!$C$2:$C$53,'18 KMP- Tháng'!$D20)</f>
        <v>3434.7116219999998</v>
      </c>
      <c r="AA20" s="423">
        <f>SUMIFS('48 KMP -Tháng'!AB$2:AB$53,'48 KMP -Tháng'!$C$2:$C$53,'18 KMP- Tháng'!$D20)</f>
        <v>3434.7924050000001</v>
      </c>
      <c r="AB20" s="423">
        <f>SUMIFS('48 KMP -Tháng'!AC$2:AC$53,'48 KMP -Tháng'!$C$2:$C$53,'18 KMP- Tháng'!$D20)</f>
        <v>3448.9865410000002</v>
      </c>
      <c r="AC20" s="423">
        <f>SUMIFS('48 KMP -Tháng'!AD$2:AD$53,'48 KMP -Tháng'!$C$2:$C$53,'18 KMP- Tháng'!$D20)+SUMIFS('48 KMP -Tháng'!$AE$2:$AE$53,'48 KMP -Tháng'!$C$2:$C$53,'18 KMP- Tháng'!D20)</f>
        <v>3762.4606610000001</v>
      </c>
      <c r="AD20" s="1231">
        <f>SUM(R20:AC20)</f>
        <v>39311.883408999995</v>
      </c>
      <c r="AE20" s="797">
        <f t="shared" si="2"/>
        <v>3275.9902840833329</v>
      </c>
      <c r="AF20" s="423">
        <f>SUMIFS('48 KMP -Tháng'!AH$2:AH$53,'48 KMP -Tháng'!$C$2:$C$53,'18 KMP- Tháng'!$D20)</f>
        <v>3803.154168</v>
      </c>
      <c r="AG20" s="423">
        <f>SUMIFS('48 KMP -Tháng'!AI$2:AI$53,'48 KMP -Tháng'!$C$2:$C$53,'18 KMP- Tháng'!$D20)</f>
        <v>3804.6986139999999</v>
      </c>
      <c r="AH20" s="423">
        <f>SUMIFS('48 KMP -Tháng'!AJ$2:AJ$53,'48 KMP -Tháng'!$C$2:$C$53,'18 KMP- Tháng'!$D20)</f>
        <v>4002.6339750000002</v>
      </c>
      <c r="AI20" s="423">
        <f>SUMIFS('48 KMP -Tháng'!AK$2:AK$53,'48 KMP -Tháng'!$C$2:$C$53,'18 KMP- Tháng'!$D20)</f>
        <v>3905.1959280000001</v>
      </c>
      <c r="AJ20" s="423">
        <f>SUMIFS('48 KMP -Tháng'!AL$2:AL$53,'48 KMP -Tháng'!$C$2:$C$53,'18 KMP- Tháng'!$D20)</f>
        <v>4091.8549859999998</v>
      </c>
      <c r="AK20" s="423">
        <f>SUMIFS('48 KMP -Tháng'!AM$2:AM$53,'48 KMP -Tháng'!$C$2:$C$53,'18 KMP- Tháng'!$D20)</f>
        <v>4087.4683380000001</v>
      </c>
      <c r="AL20" s="423">
        <f>SUMIFS('48 KMP -Tháng'!AN$2:AN$53,'48 KMP -Tháng'!$C$2:$C$53,'18 KMP- Tháng'!$D20)</f>
        <v>4085.457551</v>
      </c>
      <c r="AM20" s="423">
        <f>SUMIFS('48 KMP -Tháng'!AO$2:AO$53,'48 KMP -Tháng'!$C$2:$C$53,'18 KMP- Tháng'!$D20)</f>
        <v>4092.9951599999999</v>
      </c>
      <c r="AN20" s="423">
        <f>SUMIFS('48 KMP -Tháng'!AP$2:AP$53,'48 KMP -Tháng'!$C$2:$C$53,'18 KMP- Tháng'!$D20)</f>
        <v>4407.5000479999999</v>
      </c>
      <c r="AO20" s="423">
        <f>SUMIFS('48 KMP -Tháng'!AQ$2:AQ$53,'48 KMP -Tháng'!$C$2:$C$53,'18 KMP- Tháng'!$D20)</f>
        <v>4260.8566920000003</v>
      </c>
      <c r="AP20" s="423">
        <f>SUMIFS('48 KMP -Tháng'!AR$2:AR$53,'48 KMP -Tháng'!$C$2:$C$53,'18 KMP- Tháng'!$D20)</f>
        <v>4421.9505609999997</v>
      </c>
      <c r="AQ20" s="423">
        <f>SUMIFS('48 KMP -Tháng'!AS$2:AS$53,'48 KMP -Tháng'!$C$2:$C$53,'18 KMP- Tháng'!$D20)+SUMIFS('48 KMP -Tháng'!AT$2:AT$53,'48 KMP -Tháng'!$C$2:$C$53,'18 KMP- Tháng'!$D20)</f>
        <v>4442.3183429999999</v>
      </c>
      <c r="AR20" s="797">
        <f t="shared" si="3"/>
        <v>4117.1736969999993</v>
      </c>
      <c r="AS20" s="423">
        <f>SUMIFS('48 KMP -Tháng'!AV$2:AV$53,'48 KMP -Tháng'!$C$2:$C$53,'18 KMP- Tháng'!$D20)</f>
        <v>2133.9688449999999</v>
      </c>
      <c r="AT20" s="423">
        <f>SUMIFS('48 KMP -Tháng'!AW$2:AW$53,'48 KMP -Tháng'!$C$2:$C$53,'18 KMP- Tháng'!$D20)</f>
        <v>2103.0084879999999</v>
      </c>
      <c r="AU20" s="423">
        <f>SUMIFS('48 KMP -Tháng'!AX$2:AX$53,'48 KMP -Tháng'!$C$2:$C$53,'18 KMP- Tháng'!$D20)</f>
        <v>2118.1115580000001</v>
      </c>
      <c r="AV20" s="423">
        <f>SUMIFS('48 KMP -Tháng'!AY$2:AY$53,'48 KMP -Tháng'!$C$2:$C$53,'18 KMP- Tháng'!$D20)</f>
        <v>2277.961573</v>
      </c>
      <c r="AW20" s="423">
        <f>SUMIFS('48 KMP -Tháng'!AZ$2:AZ$53,'48 KMP -Tháng'!$C$2:$C$53,'18 KMP- Tháng'!$D20)</f>
        <v>2330.9775570000002</v>
      </c>
      <c r="AX20" s="423">
        <f>SUMIFS('48 KMP -Tháng'!BA$2:BA$53,'48 KMP -Tháng'!$C$2:$C$53,'18 KMP- Tháng'!$D20)</f>
        <v>0</v>
      </c>
      <c r="AY20" s="423">
        <f>SUMIFS('48 KMP -Tháng'!BB$2:BB$53,'48 KMP -Tháng'!$C$2:$C$53,'18 KMP- Tháng'!$D20)</f>
        <v>0</v>
      </c>
      <c r="AZ20" s="423">
        <f>SUMIFS('48 KMP -Tháng'!BC$2:BC$53,'48 KMP -Tháng'!$C$2:$C$53,'18 KMP- Tháng'!$D20)</f>
        <v>0</v>
      </c>
      <c r="BA20" s="423">
        <f>SUMIFS('48 KMP -Tháng'!BD$2:BD$53,'48 KMP -Tháng'!$C$2:$C$53,'18 KMP- Tháng'!$D20)</f>
        <v>0</v>
      </c>
      <c r="BB20" s="423">
        <f>SUMIFS('48 KMP -Tháng'!BE$2:BE$53,'48 KMP -Tháng'!$C$2:$C$53,'18 KMP- Tháng'!$D20)</f>
        <v>0</v>
      </c>
      <c r="BC20" s="423">
        <f>SUMIFS('48 KMP -Tháng'!BF$2:BF$53,'48 KMP -Tháng'!$C$2:$C$53,'18 KMP- Tháng'!$D20)</f>
        <v>0</v>
      </c>
      <c r="BD20" s="423">
        <f>SUMIFS('48 KMP -Tháng'!BG$2:BG$53,'48 KMP -Tháng'!$C$2:$C$53,'18 KMP- Tháng'!$D20)</f>
        <v>0</v>
      </c>
      <c r="BE20" s="797">
        <f t="shared" si="7"/>
        <v>913.66900175000001</v>
      </c>
      <c r="BF20" s="425">
        <f>SUMIFS('48 KMP -Tháng'!BI$2:BI$53,'48 KMP -Tháng'!$C$2:$C$53,'18 KMP- Tháng'!$D20)</f>
        <v>5826.0945669208149</v>
      </c>
      <c r="BG20" s="426"/>
      <c r="BH20" s="427">
        <f>SUMIFS('48 KMP -Tháng'!BL$2:BL$50,'48 KMP -Tháng'!$C$2:$C$50,'18 KMP- Tháng'!$D20)</f>
        <v>5303.4900609208144</v>
      </c>
      <c r="BI20" s="427">
        <f>SUMIFS('48 KMP -Tháng'!BM$2:BM$50,'48 KMP -Tháng'!$C$2:$C$50,'18 KMP- Tháng'!$D20)</f>
        <v>5687.8820129208143</v>
      </c>
      <c r="BJ20" s="427">
        <f>SUMIFS('48 KMP -Tháng'!BN$2:BN$50,'48 KMP -Tháng'!$C$2:$C$50,'18 KMP- Tháng'!$D20)</f>
        <v>5775.9012329208144</v>
      </c>
      <c r="BK20" s="427">
        <f>SUMIFS('48 KMP -Tháng'!BO$2:BO$50,'48 KMP -Tháng'!$C$2:$C$50,'18 KMP- Tháng'!$D20)</f>
        <v>5810.1415109208147</v>
      </c>
      <c r="BL20" s="427">
        <f>SUMIFS('48 KMP -Tháng'!BP$2:BP$50,'48 KMP -Tháng'!$C$2:$C$50,'18 KMP- Tháng'!$D20)</f>
        <v>5826.0945669208149</v>
      </c>
      <c r="BM20" s="427">
        <f>SUMIFS('48 KMP -Tháng'!BQ$2:BQ$50,'48 KMP -Tháng'!$C$2:$C$50,'18 KMP- Tháng'!$D20)</f>
        <v>5968.0697049208147</v>
      </c>
      <c r="BN20" s="427">
        <f>SUMIFS('48 KMP -Tháng'!BR$2:BR$50,'48 KMP -Tháng'!$C$2:$C$50,'18 KMP- Tháng'!$D20)</f>
        <v>5968.0697049208147</v>
      </c>
      <c r="BO20" s="427">
        <f>SUMIFS('48 KMP -Tháng'!BS$2:BS$50,'48 KMP -Tháng'!$C$2:$C$50,'18 KMP- Tháng'!$D20)</f>
        <v>5968.0697049208147</v>
      </c>
      <c r="BP20" s="427">
        <f>SUMIFS('48 KMP -Tháng'!BT$2:BT$50,'48 KMP -Tháng'!$C$2:$C$50,'18 KMP- Tháng'!$D20)</f>
        <v>5968.0697049208147</v>
      </c>
      <c r="BQ20" s="427">
        <f>SUMIFS('48 KMP -Tháng'!BU$2:BU$50,'48 KMP -Tháng'!$C$2:$C$50,'18 KMP- Tháng'!$D20)</f>
        <v>5980.8891379208144</v>
      </c>
      <c r="BR20" s="427">
        <f>SUMIFS('48 KMP -Tháng'!BV$2:BV$50,'48 KMP -Tháng'!$C$2:$C$50,'18 KMP- Tháng'!$D20)</f>
        <v>5980.8891379208144</v>
      </c>
      <c r="BS20" s="427">
        <f>SUMIFS('48 KMP -Tháng'!BW$2:BW$50,'48 KMP -Tháng'!$C$2:$C$50,'18 KMP- Tháng'!$D20)</f>
        <v>5993.1641379208149</v>
      </c>
      <c r="BT20" s="427">
        <f t="shared" si="8"/>
        <v>70230.730618049784</v>
      </c>
    </row>
    <row r="21" spans="1:76">
      <c r="A21" s="315">
        <v>18</v>
      </c>
      <c r="B21" s="422">
        <f t="shared" si="9"/>
        <v>4</v>
      </c>
      <c r="C21" s="422" t="s">
        <v>440</v>
      </c>
      <c r="D21" s="422" t="s">
        <v>444</v>
      </c>
      <c r="E21" s="423">
        <f>SUMIFS('48 KMP -Tháng'!$F$2:$F$53,'48 KMP -Tháng'!$C$2:$C$53,'18 KMP- Tháng'!D21)</f>
        <v>630.61573399999986</v>
      </c>
      <c r="F21" s="423">
        <f>SUMIFS('48 KMP -Tháng'!$G$2:$G$53,'48 KMP -Tháng'!$C$2:$C$53,'18 KMP- Tháng'!D21)</f>
        <v>854.1576580000002</v>
      </c>
      <c r="G21" s="424">
        <f>SUMIFS('48 KMP -Tháng'!$H$2:$H$53,'48 KMP -Tháng'!$C$2:$C$53,'18 KMP- Tháng'!D21)</f>
        <v>966.39520199999981</v>
      </c>
      <c r="H21" s="423">
        <f>SUMIFS('48 KMP -Tháng'!$I$2:$I$53,'48 KMP -Tháng'!$C$2:$C$53,'18 KMP- Tháng'!D21)</f>
        <v>754.47364200000004</v>
      </c>
      <c r="I21" s="423">
        <f>SUMIFS('48 KMP -Tháng'!$J$2:$J$53,'48 KMP -Tháng'!$C$2:$C$53,'18 KMP- Tháng'!D21)</f>
        <v>658.77374900000007</v>
      </c>
      <c r="J21" s="423">
        <f>SUMIFS('48 KMP -Tháng'!$K$2:$K$53,'48 KMP -Tháng'!$C$2:$C$53,'18 KMP- Tháng'!D21)</f>
        <v>768.27695300000005</v>
      </c>
      <c r="K21" s="423">
        <f>SUMIFS('48 KMP -Tháng'!$L$2:$L$53,'48 KMP -Tháng'!$C$2:$C$53,'18 KMP- Tháng'!D21)</f>
        <v>802.81471999999985</v>
      </c>
      <c r="L21" s="423">
        <f>SUMIFS('48 KMP -Tháng'!$M$2:$M$53,'48 KMP -Tháng'!$C$2:$C$53,'18 KMP- Tháng'!D21)</f>
        <v>656.1743909999999</v>
      </c>
      <c r="M21" s="423">
        <f>SUMIFS('48 KMP -Tháng'!$N$2:$N$53,'48 KMP -Tháng'!$C$2:$C$53,'18 KMP- Tháng'!D21)</f>
        <v>591.34523200000001</v>
      </c>
      <c r="N21" s="423">
        <f>SUMIFS('48 KMP -Tháng'!$O$2:$O$53,'48 KMP -Tháng'!$C$2:$C$53,'18 KMP- Tháng'!$D21)</f>
        <v>628.2454120000001</v>
      </c>
      <c r="O21" s="423">
        <f>SUMIFS('48 KMP -Tháng'!$P$2:$P$53,'48 KMP -Tháng'!$C$2:$C$53,'18 KMP- Tháng'!$D21)</f>
        <v>639.27243399999986</v>
      </c>
      <c r="P21" s="423">
        <f>SUMIFS('48 KMP -Tháng'!$Q$2:$Q$53,'48 KMP -Tháng'!$C$2:$C$53,'18 KMP- Tháng'!$D21)</f>
        <v>1090.457459</v>
      </c>
      <c r="Q21" s="424">
        <f t="shared" si="0"/>
        <v>753.4168821666666</v>
      </c>
      <c r="R21" s="423">
        <f>SUMIFS('48 KMP -Tháng'!$S$2:$S$53,'48 KMP -Tháng'!$C$2:$C$53,'18 KMP- Tháng'!$D21)</f>
        <v>1658.4109130000002</v>
      </c>
      <c r="S21" s="423">
        <f>SUMIFS('48 KMP -Tháng'!$T$2:$T$53,'48 KMP -Tháng'!$C$2:$C$53,'18 KMP- Tháng'!$D21)</f>
        <v>1378.8071309999998</v>
      </c>
      <c r="T21" s="423">
        <f>SUMIFS('48 KMP -Tháng'!U$2:U$53,'48 KMP -Tháng'!$C$2:$C$53,'18 KMP- Tháng'!$D21)</f>
        <v>1151.334644</v>
      </c>
      <c r="U21" s="423">
        <f>SUMIFS('48 KMP -Tháng'!V$2:V$53,'48 KMP -Tháng'!$C$2:$C$53,'18 KMP- Tháng'!$D21)</f>
        <v>1337.384814</v>
      </c>
      <c r="V21" s="423">
        <f>SUMIFS('48 KMP -Tháng'!W$2:W$53,'48 KMP -Tháng'!$C$2:$C$53,'18 KMP- Tháng'!$D21)</f>
        <v>1902.7088930000002</v>
      </c>
      <c r="W21" s="423">
        <f>SUMIFS('48 KMP -Tháng'!X$2:X$53,'48 KMP -Tháng'!$C$2:$C$53,'18 KMP- Tháng'!$D21)</f>
        <v>1863.0131699999999</v>
      </c>
      <c r="X21" s="423">
        <f>SUMIFS('48 KMP -Tháng'!Y$2:Y$53,'48 KMP -Tháng'!$C$2:$C$53,'18 KMP- Tháng'!$D21)</f>
        <v>1570.2129000000007</v>
      </c>
      <c r="Y21" s="423">
        <f>SUMIFS('48 KMP -Tháng'!Z$2:Z$53,'48 KMP -Tháng'!$C$2:$C$53,'18 KMP- Tháng'!$D21)</f>
        <v>2908.310896</v>
      </c>
      <c r="Z21" s="423">
        <f>SUMIFS('48 KMP -Tháng'!AA$2:AA$53,'48 KMP -Tháng'!$C$2:$C$53,'18 KMP- Tháng'!$D21)</f>
        <v>3601.9095000000002</v>
      </c>
      <c r="AA21" s="423">
        <f>SUMIFS('48 KMP -Tháng'!AB$2:AB$53,'48 KMP -Tháng'!$C$2:$C$53,'18 KMP- Tháng'!$D21)</f>
        <v>3859.1731200000004</v>
      </c>
      <c r="AB21" s="423">
        <f>SUMIFS('48 KMP -Tháng'!AC$2:AC$53,'48 KMP -Tháng'!$C$2:$C$53,'18 KMP- Tháng'!$D21)</f>
        <v>3573.6560359999999</v>
      </c>
      <c r="AC21" s="423">
        <f>SUMIFS('48 KMP -Tháng'!AD$2:AD$53,'48 KMP -Tháng'!$C$2:$C$53,'18 KMP- Tháng'!$D21)+SUMIFS('48 KMP -Tháng'!$AE$2:$AE$53,'48 KMP -Tháng'!$C$2:$C$53,'18 KMP- Tháng'!D21)</f>
        <v>11179.558634000005</v>
      </c>
      <c r="AD21" s="425">
        <f t="shared" si="1"/>
        <v>35984.480651000005</v>
      </c>
      <c r="AE21" s="797">
        <f t="shared" si="2"/>
        <v>2998.7067209166671</v>
      </c>
      <c r="AF21" s="423">
        <f>SUMIFS('48 KMP -Tháng'!AH$2:AH$53,'48 KMP -Tháng'!$C$2:$C$53,'18 KMP- Tháng'!$D21)</f>
        <v>3756.3001390000004</v>
      </c>
      <c r="AG21" s="423">
        <f>SUMIFS('48 KMP -Tháng'!AI$2:AI$53,'48 KMP -Tháng'!$C$2:$C$53,'18 KMP- Tháng'!$D21)</f>
        <v>2649.8565070000004</v>
      </c>
      <c r="AH21" s="423">
        <f>SUMIFS('48 KMP -Tháng'!AJ$2:AJ$53,'48 KMP -Tháng'!$C$2:$C$53,'18 KMP- Tháng'!$D21)</f>
        <v>4055.7808199999999</v>
      </c>
      <c r="AI21" s="423">
        <f>SUMIFS('48 KMP -Tháng'!AK$2:AK$53,'48 KMP -Tháng'!$C$2:$C$53,'18 KMP- Tháng'!$D21)</f>
        <v>2478.233021</v>
      </c>
      <c r="AJ21" s="423">
        <f>SUMIFS('48 KMP -Tháng'!AL$2:AL$53,'48 KMP -Tháng'!$C$2:$C$53,'18 KMP- Tháng'!$D21)</f>
        <v>3092.6388239999997</v>
      </c>
      <c r="AK21" s="423">
        <f>SUMIFS('48 KMP -Tháng'!AM$2:AM$53,'48 KMP -Tháng'!$C$2:$C$53,'18 KMP- Tháng'!$D21)</f>
        <v>2790.8938039999998</v>
      </c>
      <c r="AL21" s="423">
        <f>SUMIFS('48 KMP -Tháng'!AN$2:AN$53,'48 KMP -Tháng'!$C$2:$C$53,'18 KMP- Tháng'!$D21)</f>
        <v>3004.5350559999997</v>
      </c>
      <c r="AM21" s="423">
        <f>SUMIFS('48 KMP -Tháng'!AO$2:AO$53,'48 KMP -Tháng'!$C$2:$C$53,'18 KMP- Tháng'!$D21)</f>
        <v>3024.5032630000001</v>
      </c>
      <c r="AN21" s="423">
        <f>SUMIFS('48 KMP -Tháng'!AP$2:AP$53,'48 KMP -Tháng'!$C$2:$C$53,'18 KMP- Tháng'!$D21)</f>
        <v>4612.0710640000007</v>
      </c>
      <c r="AO21" s="423">
        <f>SUMIFS('48 KMP -Tháng'!AQ$2:AQ$53,'48 KMP -Tháng'!$C$2:$C$53,'18 KMP- Tháng'!$D21)</f>
        <v>4798.4915730000012</v>
      </c>
      <c r="AP21" s="423">
        <f>SUMIFS('48 KMP -Tháng'!AR$2:AR$53,'48 KMP -Tháng'!$C$2:$C$53,'18 KMP- Tháng'!$D21)</f>
        <v>5053.5685229999999</v>
      </c>
      <c r="AQ21" s="423">
        <f>SUMIFS('48 KMP -Tháng'!AS$2:AS$53,'48 KMP -Tháng'!$C$2:$C$53,'18 KMP- Tháng'!$D21)+SUMIFS('48 KMP -Tháng'!AT$2:AT$53,'48 KMP -Tháng'!$C$2:$C$53,'18 KMP- Tháng'!$D21)</f>
        <v>6387.3636730000007</v>
      </c>
      <c r="AR21" s="797">
        <f t="shared" si="3"/>
        <v>3808.6863555833334</v>
      </c>
      <c r="AS21" s="423">
        <f>SUMIFS('48 KMP -Tháng'!AV$2:AV$53,'48 KMP -Tháng'!$C$2:$C$53,'18 KMP- Tháng'!$D21)</f>
        <v>3513.173522</v>
      </c>
      <c r="AT21" s="423">
        <f>SUMIFS('48 KMP -Tháng'!AW$2:AW$53,'48 KMP -Tháng'!$C$2:$C$53,'18 KMP- Tháng'!$D21)</f>
        <v>3218.4780719999999</v>
      </c>
      <c r="AU21" s="423">
        <f>SUMIFS('48 KMP -Tháng'!AX$2:AX$53,'48 KMP -Tháng'!$C$2:$C$53,'18 KMP- Tháng'!$D21)</f>
        <v>2488.6643530000001</v>
      </c>
      <c r="AV21" s="423">
        <f>SUMIFS('48 KMP -Tháng'!AY$2:AY$53,'48 KMP -Tháng'!$C$2:$C$53,'18 KMP- Tháng'!$D21)</f>
        <v>2842.2283769999999</v>
      </c>
      <c r="AW21" s="423">
        <f>SUMIFS('48 KMP -Tháng'!AZ$2:AZ$53,'48 KMP -Tháng'!$C$2:$C$53,'18 KMP- Tháng'!$D21)</f>
        <v>3355.4641259999994</v>
      </c>
      <c r="AX21" s="423">
        <f>SUMIFS('48 KMP -Tháng'!BA$2:BA$53,'48 KMP -Tháng'!$C$2:$C$53,'18 KMP- Tháng'!$D21)</f>
        <v>0</v>
      </c>
      <c r="AY21" s="423">
        <f>SUMIFS('48 KMP -Tháng'!BB$2:BB$53,'48 KMP -Tháng'!$C$2:$C$53,'18 KMP- Tháng'!$D21)</f>
        <v>0</v>
      </c>
      <c r="AZ21" s="423">
        <f>SUMIFS('48 KMP -Tháng'!BC$2:BC$53,'48 KMP -Tháng'!$C$2:$C$53,'18 KMP- Tháng'!$D21)</f>
        <v>0</v>
      </c>
      <c r="BA21" s="423">
        <f>SUMIFS('48 KMP -Tháng'!BD$2:BD$53,'48 KMP -Tháng'!$C$2:$C$53,'18 KMP- Tháng'!$D21)</f>
        <v>0</v>
      </c>
      <c r="BB21" s="423">
        <f>SUMIFS('48 KMP -Tháng'!BE$2:BE$53,'48 KMP -Tháng'!$C$2:$C$53,'18 KMP- Tháng'!$D21)</f>
        <v>0</v>
      </c>
      <c r="BC21" s="423">
        <f>SUMIFS('48 KMP -Tháng'!BF$2:BF$53,'48 KMP -Tháng'!$C$2:$C$53,'18 KMP- Tháng'!$D21)</f>
        <v>0</v>
      </c>
      <c r="BD21" s="423">
        <f>SUMIFS('48 KMP -Tháng'!BG$2:BG$53,'48 KMP -Tháng'!$C$2:$C$53,'18 KMP- Tháng'!$D21)</f>
        <v>0</v>
      </c>
      <c r="BE21" s="797">
        <f t="shared" si="7"/>
        <v>1284.8340374999998</v>
      </c>
      <c r="BF21" s="425">
        <f>SUMIFS('48 KMP -Tháng'!BI$2:BI$53,'48 KMP -Tháng'!$C$2:$C$53,'18 KMP- Tháng'!$D21)</f>
        <v>4436.1529066383737</v>
      </c>
      <c r="BG21" s="426"/>
      <c r="BH21" s="427">
        <f>SUMIFS('48 KMP -Tháng'!BL$2:BL$50,'48 KMP -Tháng'!$C$2:$C$50,'18 KMP- Tháng'!$D21)</f>
        <v>5586.5078673894895</v>
      </c>
      <c r="BI21" s="427">
        <f>SUMIFS('48 KMP -Tháng'!BM$2:BM$50,'48 KMP -Tháng'!$C$2:$C$50,'18 KMP- Tháng'!$D21)</f>
        <v>2556.1730431913147</v>
      </c>
      <c r="BJ21" s="427">
        <f>SUMIFS('48 KMP -Tháng'!BN$2:BN$50,'48 KMP -Tháng'!$C$2:$C$50,'18 KMP- Tháng'!$D21)</f>
        <v>3257.808809294716</v>
      </c>
      <c r="BK21" s="427">
        <f>SUMIFS('48 KMP -Tháng'!BO$2:BO$50,'48 KMP -Tháng'!$C$2:$C$50,'18 KMP- Tháng'!$D21)</f>
        <v>3146.5397182601464</v>
      </c>
      <c r="BL21" s="427">
        <f>SUMIFS('48 KMP -Tháng'!BP$2:BP$50,'48 KMP -Tháng'!$C$2:$C$50,'18 KMP- Tháng'!$D21)</f>
        <v>4436.1529066383737</v>
      </c>
      <c r="BM21" s="427">
        <f>SUMIFS('48 KMP -Tháng'!BQ$2:BQ$50,'48 KMP -Tháng'!$C$2:$C$50,'18 KMP- Tháng'!$D21)</f>
        <v>3247.7263303423015</v>
      </c>
      <c r="BN21" s="427">
        <f>SUMIFS('48 KMP -Tháng'!BR$2:BR$50,'48 KMP -Tháng'!$C$2:$C$50,'18 KMP- Tháng'!$D21)</f>
        <v>3745.6867013041019</v>
      </c>
      <c r="BO21" s="427">
        <f>SUMIFS('48 KMP -Tháng'!BS$2:BS$50,'48 KMP -Tháng'!$C$2:$C$50,'18 KMP- Tháng'!$D21)</f>
        <v>3765.1154900052802</v>
      </c>
      <c r="BP21" s="427">
        <f>SUMIFS('48 KMP -Tháng'!BT$2:BT$50,'48 KMP -Tháng'!$C$2:$C$50,'18 KMP- Tháng'!$D21)</f>
        <v>4354.1627094281703</v>
      </c>
      <c r="BQ21" s="427">
        <f>SUMIFS('48 KMP -Tháng'!BU$2:BU$50,'48 KMP -Tháng'!$C$2:$C$50,'18 KMP- Tháng'!$D21)</f>
        <v>3239.6357159012318</v>
      </c>
      <c r="BR21" s="427">
        <f>SUMIFS('48 KMP -Tháng'!BV$2:BV$50,'48 KMP -Tháng'!$C$2:$C$50,'18 KMP- Tháng'!$D21)</f>
        <v>3024.6289198740224</v>
      </c>
      <c r="BS21" s="427">
        <f>SUMIFS('48 KMP -Tháng'!BW$2:BW$50,'48 KMP -Tháng'!$C$2:$C$50,'18 KMP- Tháng'!$D21)</f>
        <v>3089.8531112165324</v>
      </c>
      <c r="BT21" s="427">
        <f t="shared" si="8"/>
        <v>43449.991322845672</v>
      </c>
    </row>
    <row r="22" spans="1:76">
      <c r="A22" s="315">
        <v>19</v>
      </c>
      <c r="B22" s="422">
        <f t="shared" si="9"/>
        <v>5</v>
      </c>
      <c r="C22" s="422" t="s">
        <v>440</v>
      </c>
      <c r="D22" s="422" t="s">
        <v>445</v>
      </c>
      <c r="E22" s="423">
        <f>SUMIFS('48 KMP -Tháng'!$F$2:$F$53,'48 KMP -Tháng'!$C$2:$C$53,'18 KMP- Tháng'!D22)</f>
        <v>465.27927</v>
      </c>
      <c r="F22" s="423">
        <f>SUMIFS('48 KMP -Tháng'!$G$2:$G$53,'48 KMP -Tháng'!$C$2:$C$53,'18 KMP- Tháng'!D22)</f>
        <v>498.88963100000001</v>
      </c>
      <c r="G22" s="424">
        <f>SUMIFS('48 KMP -Tháng'!$H$2:$H$53,'48 KMP -Tháng'!$C$2:$C$53,'18 KMP- Tháng'!D22)</f>
        <v>485.24326100000002</v>
      </c>
      <c r="H22" s="423">
        <f>SUMIFS('48 KMP -Tháng'!$I$2:$I$53,'48 KMP -Tháng'!$C$2:$C$53,'18 KMP- Tháng'!D22)</f>
        <v>431.96916599999997</v>
      </c>
      <c r="I22" s="423">
        <f>SUMIFS('48 KMP -Tháng'!$J$2:$J$53,'48 KMP -Tháng'!$C$2:$C$53,'18 KMP- Tháng'!D22)</f>
        <v>578.64694599999996</v>
      </c>
      <c r="J22" s="423">
        <f>SUMIFS('48 KMP -Tháng'!$K$2:$K$53,'48 KMP -Tháng'!$C$2:$C$53,'18 KMP- Tháng'!D22)</f>
        <v>481.06259</v>
      </c>
      <c r="K22" s="423">
        <f>SUMIFS('48 KMP -Tháng'!$L$2:$L$53,'48 KMP -Tháng'!$C$2:$C$53,'18 KMP- Tháng'!D22)</f>
        <v>502.90178500000002</v>
      </c>
      <c r="L22" s="423">
        <f>SUMIFS('48 KMP -Tháng'!$M$2:$M$53,'48 KMP -Tháng'!$C$2:$C$53,'18 KMP- Tháng'!D22)</f>
        <v>554.27070400000002</v>
      </c>
      <c r="M22" s="423">
        <f>SUMIFS('48 KMP -Tháng'!$N$2:$N$53,'48 KMP -Tháng'!$C$2:$C$53,'18 KMP- Tháng'!D22)</f>
        <v>469.50239099999999</v>
      </c>
      <c r="N22" s="423">
        <f>SUMIFS('48 KMP -Tháng'!$O$2:$O$53,'48 KMP -Tháng'!$C$2:$C$53,'18 KMP- Tháng'!$D22)</f>
        <v>547.69279300000005</v>
      </c>
      <c r="O22" s="423">
        <f>SUMIFS('48 KMP -Tháng'!$P$2:$P$53,'48 KMP -Tháng'!$C$2:$C$53,'18 KMP- Tháng'!$D22)</f>
        <v>615.94742800000006</v>
      </c>
      <c r="P22" s="423">
        <f>SUMIFS('48 KMP -Tháng'!$Q$2:$Q$53,'48 KMP -Tháng'!$C$2:$C$53,'18 KMP- Tháng'!$D22)</f>
        <v>681.05225900000005</v>
      </c>
      <c r="Q22" s="424">
        <f t="shared" si="0"/>
        <v>526.03818533333344</v>
      </c>
      <c r="R22" s="423">
        <f>SUMIFS('48 KMP -Tháng'!$S$2:$S$53,'48 KMP -Tháng'!$C$2:$C$53,'18 KMP- Tháng'!$D22)</f>
        <v>716.08840799999996</v>
      </c>
      <c r="S22" s="423">
        <f>SUMIFS('48 KMP -Tháng'!$T$2:$T$53,'48 KMP -Tháng'!$C$2:$C$53,'18 KMP- Tháng'!$D22)</f>
        <v>691.59377400000005</v>
      </c>
      <c r="T22" s="423">
        <f>SUMIFS('48 KMP -Tháng'!U$2:U$53,'48 KMP -Tháng'!$C$2:$C$53,'18 KMP- Tháng'!$D22)</f>
        <v>833.34065199999998</v>
      </c>
      <c r="U22" s="423">
        <f>SUMIFS('48 KMP -Tháng'!V$2:V$53,'48 KMP -Tháng'!$C$2:$C$53,'18 KMP- Tháng'!$D22)</f>
        <v>880.05645200000004</v>
      </c>
      <c r="V22" s="423">
        <f>SUMIFS('48 KMP -Tháng'!W$2:W$53,'48 KMP -Tháng'!$C$2:$C$53,'18 KMP- Tháng'!$D22)</f>
        <v>962.45493699999997</v>
      </c>
      <c r="W22" s="423">
        <f>SUMIFS('48 KMP -Tháng'!X$2:X$53,'48 KMP -Tháng'!$C$2:$C$53,'18 KMP- Tháng'!$D22)</f>
        <v>779.98906199999999</v>
      </c>
      <c r="X22" s="423">
        <f>SUMIFS('48 KMP -Tháng'!Y$2:Y$53,'48 KMP -Tháng'!$C$2:$C$53,'18 KMP- Tháng'!$D22)</f>
        <v>678.94090300000005</v>
      </c>
      <c r="Y22" s="423">
        <f>SUMIFS('48 KMP -Tháng'!Z$2:Z$53,'48 KMP -Tháng'!$C$2:$C$53,'18 KMP- Tháng'!$D22)</f>
        <v>825.70615199999997</v>
      </c>
      <c r="Z22" s="423">
        <f>SUMIFS('48 KMP -Tháng'!AA$2:AA$53,'48 KMP -Tháng'!$C$2:$C$53,'18 KMP- Tháng'!$D22)</f>
        <v>1011.891319</v>
      </c>
      <c r="AA22" s="423">
        <f>SUMIFS('48 KMP -Tháng'!AB$2:AB$53,'48 KMP -Tháng'!$C$2:$C$53,'18 KMP- Tháng'!$D22)</f>
        <v>830.77095499999996</v>
      </c>
      <c r="AB22" s="423">
        <f>SUMIFS('48 KMP -Tháng'!AC$2:AC$53,'48 KMP -Tháng'!$C$2:$C$53,'18 KMP- Tháng'!$D22)</f>
        <v>1000.806672</v>
      </c>
      <c r="AC22" s="423">
        <f>SUMIFS('48 KMP -Tháng'!AD$2:AD$53,'48 KMP -Tháng'!$C$2:$C$53,'18 KMP- Tháng'!$D22)+SUMIFS('48 KMP -Tháng'!$AE$2:$AE$53,'48 KMP -Tháng'!$C$2:$C$53,'18 KMP- Tháng'!D22)</f>
        <v>1080.1792390000001</v>
      </c>
      <c r="AD22" s="425">
        <f t="shared" si="1"/>
        <v>10291.818524999999</v>
      </c>
      <c r="AE22" s="797">
        <f t="shared" si="2"/>
        <v>857.65154374999986</v>
      </c>
      <c r="AF22" s="423">
        <f>SUMIFS('48 KMP -Tháng'!AH$2:AH$53,'48 KMP -Tháng'!$C$2:$C$53,'18 KMP- Tháng'!$D22)</f>
        <v>846.79768000000001</v>
      </c>
      <c r="AG22" s="423">
        <f>SUMIFS('48 KMP -Tháng'!AI$2:AI$53,'48 KMP -Tháng'!$C$2:$C$53,'18 KMP- Tháng'!$D22)</f>
        <v>1000.829428</v>
      </c>
      <c r="AH22" s="423">
        <f>SUMIFS('48 KMP -Tháng'!AJ$2:AJ$53,'48 KMP -Tháng'!$C$2:$C$53,'18 KMP- Tháng'!$D22)</f>
        <v>946.99695599999995</v>
      </c>
      <c r="AI22" s="423">
        <f>SUMIFS('48 KMP -Tháng'!AK$2:AK$53,'48 KMP -Tháng'!$C$2:$C$53,'18 KMP- Tháng'!$D22)</f>
        <v>1097.7775140000001</v>
      </c>
      <c r="AJ22" s="423">
        <f>SUMIFS('48 KMP -Tháng'!AL$2:AL$53,'48 KMP -Tháng'!$C$2:$C$53,'18 KMP- Tháng'!$D22)</f>
        <v>1084.371903</v>
      </c>
      <c r="AK22" s="423">
        <f>SUMIFS('48 KMP -Tháng'!AM$2:AM$53,'48 KMP -Tháng'!$C$2:$C$53,'18 KMP- Tháng'!$D22)</f>
        <v>891.13647100000003</v>
      </c>
      <c r="AL22" s="423">
        <f>SUMIFS('48 KMP -Tháng'!AN$2:AN$53,'48 KMP -Tháng'!$C$2:$C$53,'18 KMP- Tháng'!$D22)</f>
        <v>968.12022300000001</v>
      </c>
      <c r="AM22" s="423">
        <f>SUMIFS('48 KMP -Tháng'!AO$2:AO$53,'48 KMP -Tháng'!$C$2:$C$53,'18 KMP- Tháng'!$D22)</f>
        <v>921.39117799999997</v>
      </c>
      <c r="AN22" s="423">
        <f>SUMIFS('48 KMP -Tháng'!AP$2:AP$53,'48 KMP -Tháng'!$C$2:$C$53,'18 KMP- Tháng'!$D22)</f>
        <v>942.63703399999997</v>
      </c>
      <c r="AO22" s="423">
        <f>SUMIFS('48 KMP -Tháng'!AQ$2:AQ$53,'48 KMP -Tháng'!$C$2:$C$53,'18 KMP- Tháng'!$D22)</f>
        <v>955.97821499999998</v>
      </c>
      <c r="AP22" s="423">
        <f>SUMIFS('48 KMP -Tháng'!AR$2:AR$53,'48 KMP -Tháng'!$C$2:$C$53,'18 KMP- Tháng'!$D22)</f>
        <v>1002.406715</v>
      </c>
      <c r="AQ22" s="423">
        <f>SUMIFS('48 KMP -Tháng'!AS$2:AS$53,'48 KMP -Tháng'!$C$2:$C$53,'18 KMP- Tháng'!$D22)+SUMIFS('48 KMP -Tháng'!AT$2:AT$53,'48 KMP -Tháng'!$C$2:$C$53,'18 KMP- Tháng'!$D22)</f>
        <v>881.78607799999997</v>
      </c>
      <c r="AR22" s="797">
        <f t="shared" si="3"/>
        <v>961.68578291666643</v>
      </c>
      <c r="AS22" s="423">
        <f>SUMIFS('48 KMP -Tháng'!AV$2:AV$53,'48 KMP -Tháng'!$C$2:$C$53,'18 KMP- Tháng'!$D22)</f>
        <v>600.67994299999998</v>
      </c>
      <c r="AT22" s="423">
        <f>SUMIFS('48 KMP -Tháng'!AW$2:AW$53,'48 KMP -Tháng'!$C$2:$C$53,'18 KMP- Tháng'!$D22)</f>
        <v>520.80578700000001</v>
      </c>
      <c r="AU22" s="423">
        <f>SUMIFS('48 KMP -Tháng'!AX$2:AX$53,'48 KMP -Tháng'!$C$2:$C$53,'18 KMP- Tháng'!$D22)</f>
        <v>606.28655600000002</v>
      </c>
      <c r="AV22" s="423">
        <f>SUMIFS('48 KMP -Tháng'!AY$2:AY$53,'48 KMP -Tháng'!$C$2:$C$53,'18 KMP- Tháng'!$D22)</f>
        <v>576.96160699999996</v>
      </c>
      <c r="AW22" s="423">
        <f>SUMIFS('48 KMP -Tháng'!AZ$2:AZ$53,'48 KMP -Tháng'!$C$2:$C$53,'18 KMP- Tháng'!$D22)</f>
        <v>610.26077499999997</v>
      </c>
      <c r="AX22" s="423">
        <f>SUMIFS('48 KMP -Tháng'!BA$2:BA$53,'48 KMP -Tháng'!$C$2:$C$53,'18 KMP- Tháng'!$D22)</f>
        <v>0</v>
      </c>
      <c r="AY22" s="423">
        <f>SUMIFS('48 KMP -Tháng'!BB$2:BB$53,'48 KMP -Tháng'!$C$2:$C$53,'18 KMP- Tháng'!$D22)</f>
        <v>0</v>
      </c>
      <c r="AZ22" s="423">
        <f>SUMIFS('48 KMP -Tháng'!BC$2:BC$53,'48 KMP -Tháng'!$C$2:$C$53,'18 KMP- Tháng'!$D22)</f>
        <v>0</v>
      </c>
      <c r="BA22" s="423">
        <f>SUMIFS('48 KMP -Tháng'!BD$2:BD$53,'48 KMP -Tháng'!$C$2:$C$53,'18 KMP- Tháng'!$D22)</f>
        <v>0</v>
      </c>
      <c r="BB22" s="423">
        <f>SUMIFS('48 KMP -Tháng'!BE$2:BE$53,'48 KMP -Tháng'!$C$2:$C$53,'18 KMP- Tháng'!$D22)</f>
        <v>0</v>
      </c>
      <c r="BC22" s="423">
        <f>SUMIFS('48 KMP -Tháng'!BF$2:BF$53,'48 KMP -Tháng'!$C$2:$C$53,'18 KMP- Tháng'!$D22)</f>
        <v>0</v>
      </c>
      <c r="BD22" s="423">
        <f>SUMIFS('48 KMP -Tháng'!BG$2:BG$53,'48 KMP -Tháng'!$C$2:$C$53,'18 KMP- Tháng'!$D22)</f>
        <v>0</v>
      </c>
      <c r="BE22" s="797">
        <f t="shared" si="7"/>
        <v>242.91622233333328</v>
      </c>
      <c r="BF22" s="425">
        <f>SUMIFS('48 KMP -Tháng'!BI$2:BI$53,'48 KMP -Tháng'!$C$2:$C$53,'18 KMP- Tháng'!$D22)</f>
        <v>787.24237985516299</v>
      </c>
      <c r="BG22" s="426"/>
      <c r="BH22" s="427">
        <f>SUMIFS('48 KMP -Tháng'!BL$2:BL$50,'48 KMP -Tháng'!$C$2:$C$50,'18 KMP- Tháng'!$D22)</f>
        <v>1097.4625267947374</v>
      </c>
      <c r="BI22" s="427">
        <f>SUMIFS('48 KMP -Tháng'!BM$2:BM$50,'48 KMP -Tháng'!$C$2:$C$50,'18 KMP- Tháng'!$D22)</f>
        <v>684.3883389500387</v>
      </c>
      <c r="BJ22" s="427">
        <f>SUMIFS('48 KMP -Tháng'!BN$2:BN$50,'48 KMP -Tháng'!$C$2:$C$50,'18 KMP- Tháng'!$D22)</f>
        <v>909.00912691545204</v>
      </c>
      <c r="BK22" s="427">
        <f>SUMIFS('48 KMP -Tháng'!BO$2:BO$50,'48 KMP -Tháng'!$C$2:$C$50,'18 KMP- Tháng'!$D22)</f>
        <v>950.68150148275629</v>
      </c>
      <c r="BL22" s="427">
        <f>SUMIFS('48 KMP -Tháng'!BP$2:BP$50,'48 KMP -Tháng'!$C$2:$C$50,'18 KMP- Tháng'!$D22)</f>
        <v>787.24237985516299</v>
      </c>
      <c r="BM22" s="427">
        <f>SUMIFS('48 KMP -Tháng'!BQ$2:BQ$50,'48 KMP -Tháng'!$C$2:$C$50,'18 KMP- Tháng'!$D22)</f>
        <v>842.19632634117897</v>
      </c>
      <c r="BN22" s="427">
        <f>SUMIFS('48 KMP -Tháng'!BR$2:BR$50,'48 KMP -Tháng'!$C$2:$C$50,'18 KMP- Tháng'!$D22)</f>
        <v>822.75043507037333</v>
      </c>
      <c r="BO22" s="427">
        <f>SUMIFS('48 KMP -Tháng'!BS$2:BS$50,'48 KMP -Tháng'!$C$2:$C$50,'18 KMP- Tháng'!$D22)</f>
        <v>778.17658718628445</v>
      </c>
      <c r="BP22" s="427">
        <f>SUMIFS('48 KMP -Tháng'!BT$2:BT$50,'48 KMP -Tháng'!$C$2:$C$50,'18 KMP- Tháng'!$D22)</f>
        <v>805.80359646110617</v>
      </c>
      <c r="BQ22" s="427">
        <f>SUMIFS('48 KMP -Tháng'!BU$2:BU$50,'48 KMP -Tháng'!$C$2:$C$50,'18 KMP- Tháng'!$D22)</f>
        <v>789.03098314356475</v>
      </c>
      <c r="BR22" s="427">
        <f>SUMIFS('48 KMP -Tháng'!BV$2:BV$50,'48 KMP -Tháng'!$C$2:$C$50,'18 KMP- Tháng'!$D22)</f>
        <v>680.53850176721824</v>
      </c>
      <c r="BS22" s="427">
        <f>SUMIFS('48 KMP -Tháng'!BW$2:BW$50,'48 KMP -Tháng'!$C$2:$C$50,'18 KMP- Tháng'!$D22)</f>
        <v>784.4652000531986</v>
      </c>
      <c r="BT22" s="427">
        <f t="shared" si="8"/>
        <v>9931.7455040210716</v>
      </c>
    </row>
    <row r="23" spans="1:76">
      <c r="A23" s="315">
        <v>20</v>
      </c>
      <c r="B23" s="422">
        <f t="shared" si="9"/>
        <v>6</v>
      </c>
      <c r="C23" s="422" t="s">
        <v>440</v>
      </c>
      <c r="D23" s="422" t="s">
        <v>446</v>
      </c>
      <c r="E23" s="423">
        <f>SUMIFS('48 KMP -Tháng'!$F$2:$F$53,'48 KMP -Tháng'!$C$2:$C$53,'18 KMP- Tháng'!D23)</f>
        <v>246.48996799999998</v>
      </c>
      <c r="F23" s="423">
        <f>SUMIFS('48 KMP -Tháng'!$G$2:$G$53,'48 KMP -Tháng'!$C$2:$C$53,'18 KMP- Tháng'!D23)</f>
        <v>196.31483499999999</v>
      </c>
      <c r="G23" s="424">
        <f>SUMIFS('48 KMP -Tháng'!$H$2:$H$53,'48 KMP -Tháng'!$C$2:$C$53,'18 KMP- Tháng'!D23)</f>
        <v>283.67628499999995</v>
      </c>
      <c r="H23" s="423">
        <f>SUMIFS('48 KMP -Tháng'!$I$2:$I$53,'48 KMP -Tháng'!$C$2:$C$53,'18 KMP- Tháng'!D23)</f>
        <v>199.32285299999998</v>
      </c>
      <c r="I23" s="423">
        <f>SUMIFS('48 KMP -Tháng'!$J$2:$J$53,'48 KMP -Tháng'!$C$2:$C$53,'18 KMP- Tháng'!D23)</f>
        <v>400.21661099999994</v>
      </c>
      <c r="J23" s="423">
        <f>SUMIFS('48 KMP -Tháng'!$K$2:$K$53,'48 KMP -Tháng'!$C$2:$C$53,'18 KMP- Tháng'!D23)</f>
        <v>382.31868700000001</v>
      </c>
      <c r="K23" s="423">
        <f>SUMIFS('48 KMP -Tháng'!$L$2:$L$53,'48 KMP -Tháng'!$C$2:$C$53,'18 KMP- Tháng'!D23)</f>
        <v>546.65978099999995</v>
      </c>
      <c r="L23" s="423">
        <f>SUMIFS('48 KMP -Tháng'!$M$2:$M$53,'48 KMP -Tháng'!$C$2:$C$53,'18 KMP- Tháng'!D23)</f>
        <v>459.12409699999995</v>
      </c>
      <c r="M23" s="423">
        <f>SUMIFS('48 KMP -Tháng'!$N$2:$N$53,'48 KMP -Tháng'!$C$2:$C$53,'18 KMP- Tháng'!D23)</f>
        <v>351.15703000000002</v>
      </c>
      <c r="N23" s="423">
        <f>SUMIFS('48 KMP -Tháng'!$O$2:$O$53,'48 KMP -Tháng'!$C$2:$C$53,'18 KMP- Tháng'!$D23)</f>
        <v>507.62330700000001</v>
      </c>
      <c r="O23" s="423">
        <f>SUMIFS('48 KMP -Tháng'!$P$2:$P$53,'48 KMP -Tháng'!$C$2:$C$53,'18 KMP- Tháng'!$D23)</f>
        <v>624.38641399999995</v>
      </c>
      <c r="P23" s="423">
        <f>SUMIFS('48 KMP -Tháng'!$Q$2:$Q$53,'48 KMP -Tháng'!$C$2:$C$53,'18 KMP- Tháng'!$D23)</f>
        <v>848.89990699999998</v>
      </c>
      <c r="Q23" s="424">
        <f t="shared" si="0"/>
        <v>420.51581458333322</v>
      </c>
      <c r="R23" s="423">
        <f>SUMIFS('48 KMP -Tháng'!$S$2:$S$53,'48 KMP -Tháng'!$C$2:$C$53,'18 KMP- Tháng'!$D23)</f>
        <v>538.72162100000003</v>
      </c>
      <c r="S23" s="423">
        <f>SUMIFS('48 KMP -Tháng'!$T$2:$T$53,'48 KMP -Tháng'!$C$2:$C$53,'18 KMP- Tháng'!$D23)</f>
        <v>645.51002000000005</v>
      </c>
      <c r="T23" s="423">
        <f>SUMIFS('48 KMP -Tháng'!U$2:U$53,'48 KMP -Tháng'!$C$2:$C$53,'18 KMP- Tháng'!$D23)</f>
        <v>698.78772200000003</v>
      </c>
      <c r="U23" s="423">
        <f>SUMIFS('48 KMP -Tháng'!V$2:V$53,'48 KMP -Tháng'!$C$2:$C$53,'18 KMP- Tháng'!$D23)</f>
        <v>640.0876760000001</v>
      </c>
      <c r="V23" s="423">
        <f>SUMIFS('48 KMP -Tháng'!W$2:W$53,'48 KMP -Tháng'!$C$2:$C$53,'18 KMP- Tháng'!$D23)</f>
        <v>763.75839600000006</v>
      </c>
      <c r="W23" s="423">
        <f>SUMIFS('48 KMP -Tháng'!X$2:X$53,'48 KMP -Tháng'!$C$2:$C$53,'18 KMP- Tháng'!$D23)</f>
        <v>839.77968399999997</v>
      </c>
      <c r="X23" s="423">
        <f>SUMIFS('48 KMP -Tháng'!Y$2:Y$53,'48 KMP -Tháng'!$C$2:$C$53,'18 KMP- Tháng'!$D23)</f>
        <v>569.16955900000005</v>
      </c>
      <c r="Y23" s="423">
        <f>SUMIFS('48 KMP -Tháng'!Z$2:Z$53,'48 KMP -Tháng'!$C$2:$C$53,'18 KMP- Tháng'!$D23)</f>
        <v>809.00254699999994</v>
      </c>
      <c r="Z23" s="423">
        <f>SUMIFS('48 KMP -Tháng'!AA$2:AA$53,'48 KMP -Tháng'!$C$2:$C$53,'18 KMP- Tháng'!$D23)</f>
        <v>931.70146299999999</v>
      </c>
      <c r="AA23" s="423">
        <f>SUMIFS('48 KMP -Tháng'!AB$2:AB$53,'48 KMP -Tháng'!$C$2:$C$53,'18 KMP- Tháng'!$D23)</f>
        <v>1009.2301160000001</v>
      </c>
      <c r="AB23" s="423">
        <f>SUMIFS('48 KMP -Tháng'!AC$2:AC$53,'48 KMP -Tháng'!$C$2:$C$53,'18 KMP- Tháng'!$D23)</f>
        <v>1237.657117</v>
      </c>
      <c r="AC23" s="423">
        <f>SUMIFS('48 KMP -Tháng'!AD$2:AD$53,'48 KMP -Tháng'!$C$2:$C$53,'18 KMP- Tháng'!$D23)+SUMIFS('48 KMP -Tháng'!$AE$2:$AE$53,'48 KMP -Tháng'!$C$2:$C$53,'18 KMP- Tháng'!D23)</f>
        <v>1484.7749200000003</v>
      </c>
      <c r="AD23" s="425">
        <f t="shared" si="1"/>
        <v>10168.180841000001</v>
      </c>
      <c r="AE23" s="797">
        <f t="shared" si="2"/>
        <v>847.34840341666677</v>
      </c>
      <c r="AF23" s="423">
        <f>SUMIFS('48 KMP -Tháng'!AH$2:AH$53,'48 KMP -Tháng'!$C$2:$C$53,'18 KMP- Tháng'!$D23)</f>
        <v>954.84058600000003</v>
      </c>
      <c r="AG23" s="423">
        <f>SUMIFS('48 KMP -Tháng'!AI$2:AI$53,'48 KMP -Tháng'!$C$2:$C$53,'18 KMP- Tháng'!$D23)</f>
        <v>1156.6500449999999</v>
      </c>
      <c r="AH23" s="423">
        <f>SUMIFS('48 KMP -Tháng'!AJ$2:AJ$53,'48 KMP -Tháng'!$C$2:$C$53,'18 KMP- Tháng'!$D23)</f>
        <v>1032.198695</v>
      </c>
      <c r="AI23" s="423">
        <f>SUMIFS('48 KMP -Tháng'!AK$2:AK$53,'48 KMP -Tháng'!$C$2:$C$53,'18 KMP- Tháng'!$D23)</f>
        <v>1123.1554360000002</v>
      </c>
      <c r="AJ23" s="423">
        <f>SUMIFS('48 KMP -Tháng'!AL$2:AL$53,'48 KMP -Tháng'!$C$2:$C$53,'18 KMP- Tháng'!$D23)</f>
        <v>1070.7569490000001</v>
      </c>
      <c r="AK23" s="423">
        <f>SUMIFS('48 KMP -Tháng'!AM$2:AM$53,'48 KMP -Tháng'!$C$2:$C$53,'18 KMP- Tháng'!$D23)</f>
        <v>1292.3613570000002</v>
      </c>
      <c r="AL23" s="423">
        <f>SUMIFS('48 KMP -Tháng'!AN$2:AN$53,'48 KMP -Tháng'!$C$2:$C$53,'18 KMP- Tháng'!$D23)</f>
        <v>1336.968877</v>
      </c>
      <c r="AM23" s="423">
        <f>SUMIFS('48 KMP -Tháng'!AO$2:AO$53,'48 KMP -Tháng'!$C$2:$C$53,'18 KMP- Tháng'!$D23)</f>
        <v>1300.5327359999999</v>
      </c>
      <c r="AN23" s="423">
        <f>SUMIFS('48 KMP -Tháng'!AP$2:AP$53,'48 KMP -Tháng'!$C$2:$C$53,'18 KMP- Tháng'!$D23)</f>
        <v>1135.2528440000001</v>
      </c>
      <c r="AO23" s="423">
        <f>SUMIFS('48 KMP -Tháng'!AQ$2:AQ$53,'48 KMP -Tháng'!$C$2:$C$53,'18 KMP- Tháng'!$D23)</f>
        <v>1276.4911440000001</v>
      </c>
      <c r="AP23" s="423">
        <f>SUMIFS('48 KMP -Tháng'!AR$2:AR$53,'48 KMP -Tháng'!$C$2:$C$53,'18 KMP- Tháng'!$D23)</f>
        <v>1152.781774</v>
      </c>
      <c r="AQ23" s="423">
        <f>SUMIFS('48 KMP -Tháng'!AS$2:AS$53,'48 KMP -Tháng'!$C$2:$C$53,'18 KMP- Tháng'!$D23)+SUMIFS('48 KMP -Tháng'!AT$2:AT$53,'48 KMP -Tháng'!$C$2:$C$53,'18 KMP- Tháng'!$D23)</f>
        <v>1098.2780640000001</v>
      </c>
      <c r="AR23" s="797">
        <f t="shared" si="3"/>
        <v>1160.8557089166666</v>
      </c>
      <c r="AS23" s="423">
        <f>SUMIFS('48 KMP -Tháng'!AV$2:AV$53,'48 KMP -Tháng'!$C$2:$C$53,'18 KMP- Tháng'!$D23)</f>
        <v>953.05825100000004</v>
      </c>
      <c r="AT23" s="423">
        <f>SUMIFS('48 KMP -Tháng'!AW$2:AW$53,'48 KMP -Tháng'!$C$2:$C$53,'18 KMP- Tháng'!$D23)</f>
        <v>699.73584800000003</v>
      </c>
      <c r="AU23" s="423">
        <f>SUMIFS('48 KMP -Tháng'!AX$2:AX$53,'48 KMP -Tháng'!$C$2:$C$53,'18 KMP- Tháng'!$D23)</f>
        <v>863.95969500000012</v>
      </c>
      <c r="AV23" s="423">
        <f>SUMIFS('48 KMP -Tháng'!AY$2:AY$53,'48 KMP -Tháng'!$C$2:$C$53,'18 KMP- Tháng'!$D23)</f>
        <v>1018.525967</v>
      </c>
      <c r="AW23" s="423">
        <f>SUMIFS('48 KMP -Tháng'!AZ$2:AZ$53,'48 KMP -Tháng'!$C$2:$C$53,'18 KMP- Tháng'!$D23)</f>
        <v>1261.7044699999999</v>
      </c>
      <c r="AX23" s="423">
        <f>SUMIFS('48 KMP -Tháng'!BA$2:BA$53,'48 KMP -Tháng'!$C$2:$C$53,'18 KMP- Tháng'!$D23)</f>
        <v>0</v>
      </c>
      <c r="AY23" s="423">
        <f>SUMIFS('48 KMP -Tháng'!BB$2:BB$53,'48 KMP -Tháng'!$C$2:$C$53,'18 KMP- Tháng'!$D23)</f>
        <v>0</v>
      </c>
      <c r="AZ23" s="423">
        <f>SUMIFS('48 KMP -Tháng'!BC$2:BC$53,'48 KMP -Tháng'!$C$2:$C$53,'18 KMP- Tháng'!$D23)</f>
        <v>0</v>
      </c>
      <c r="BA23" s="423">
        <f>SUMIFS('48 KMP -Tháng'!BD$2:BD$53,'48 KMP -Tháng'!$C$2:$C$53,'18 KMP- Tháng'!$D23)</f>
        <v>0</v>
      </c>
      <c r="BB23" s="423">
        <f>SUMIFS('48 KMP -Tháng'!BE$2:BE$53,'48 KMP -Tháng'!$C$2:$C$53,'18 KMP- Tháng'!$D23)</f>
        <v>0</v>
      </c>
      <c r="BC23" s="423">
        <f>SUMIFS('48 KMP -Tháng'!BF$2:BF$53,'48 KMP -Tháng'!$C$2:$C$53,'18 KMP- Tháng'!$D23)</f>
        <v>0</v>
      </c>
      <c r="BD23" s="423">
        <f>SUMIFS('48 KMP -Tháng'!BG$2:BG$53,'48 KMP -Tháng'!$C$2:$C$53,'18 KMP- Tháng'!$D23)</f>
        <v>0</v>
      </c>
      <c r="BE23" s="797">
        <f t="shared" si="7"/>
        <v>399.74868591666672</v>
      </c>
      <c r="BF23" s="425">
        <f>SUMIFS('48 KMP -Tháng'!BI$2:BI$53,'48 KMP -Tháng'!$C$2:$C$53,'18 KMP- Tháng'!$D23)</f>
        <v>1171.3660458101872</v>
      </c>
      <c r="BG23" s="426"/>
      <c r="BH23" s="427">
        <f>SUMIFS('48 KMP -Tháng'!BL$2:BL$50,'48 KMP -Tháng'!$C$2:$C$50,'18 KMP- Tháng'!$D23)</f>
        <v>1006.3909672479249</v>
      </c>
      <c r="BI23" s="427">
        <f>SUMIFS('48 KMP -Tháng'!BM$2:BM$50,'48 KMP -Tháng'!$C$2:$C$50,'18 KMP- Tháng'!$D23)</f>
        <v>790.98151514487347</v>
      </c>
      <c r="BJ23" s="427">
        <f>SUMIFS('48 KMP -Tháng'!BN$2:BN$50,'48 KMP -Tháng'!$C$2:$C$50,'18 KMP- Tháng'!$D23)</f>
        <v>1265.3543462268537</v>
      </c>
      <c r="BK23" s="427">
        <f>SUMIFS('48 KMP -Tháng'!BO$2:BO$50,'48 KMP -Tháng'!$C$2:$C$50,'18 KMP- Tháng'!$D23)</f>
        <v>1161.7049307954319</v>
      </c>
      <c r="BL23" s="427">
        <f>SUMIFS('48 KMP -Tháng'!BP$2:BP$50,'48 KMP -Tháng'!$C$2:$C$50,'18 KMP- Tháng'!$D23)</f>
        <v>1171.3660458101872</v>
      </c>
      <c r="BM23" s="427">
        <f>SUMIFS('48 KMP -Tháng'!BQ$2:BQ$50,'48 KMP -Tháng'!$C$2:$C$50,'18 KMP- Tháng'!$D23)</f>
        <v>1498.3283359620987</v>
      </c>
      <c r="BN23" s="427">
        <f>SUMIFS('48 KMP -Tháng'!BR$2:BR$50,'48 KMP -Tháng'!$C$2:$C$50,'18 KMP- Tháng'!$D23)</f>
        <v>1319.012510734022</v>
      </c>
      <c r="BO23" s="427">
        <f>SUMIFS('48 KMP -Tháng'!BS$2:BS$50,'48 KMP -Tháng'!$C$2:$C$50,'18 KMP- Tháng'!$D23)</f>
        <v>1202.2024329840224</v>
      </c>
      <c r="BP23" s="427">
        <f>SUMIFS('48 KMP -Tháng'!BT$2:BT$50,'48 KMP -Tháng'!$C$2:$C$50,'18 KMP- Tháng'!$D23)</f>
        <v>1366.8730393972839</v>
      </c>
      <c r="BQ23" s="427">
        <f>SUMIFS('48 KMP -Tháng'!BU$2:BU$50,'48 KMP -Tháng'!$C$2:$C$50,'18 KMP- Tháng'!$D23)</f>
        <v>1222.2986830673553</v>
      </c>
      <c r="BR23" s="427">
        <f>SUMIFS('48 KMP -Tháng'!BV$2:BV$50,'48 KMP -Tháng'!$C$2:$C$50,'18 KMP- Tháng'!$D23)</f>
        <v>1221.7830999389505</v>
      </c>
      <c r="BS23" s="427">
        <f>SUMIFS('48 KMP -Tháng'!BW$2:BW$50,'48 KMP -Tháng'!$C$2:$C$50,'18 KMP- Tháng'!$D23)</f>
        <v>1250.6741891923555</v>
      </c>
      <c r="BT23" s="427">
        <f t="shared" si="8"/>
        <v>14476.97009650136</v>
      </c>
    </row>
    <row r="24" spans="1:76">
      <c r="A24" s="315">
        <v>21</v>
      </c>
      <c r="B24" s="422">
        <f t="shared" si="9"/>
        <v>7</v>
      </c>
      <c r="C24" s="422" t="s">
        <v>440</v>
      </c>
      <c r="D24" s="422" t="s">
        <v>447</v>
      </c>
      <c r="E24" s="423">
        <f>SUMIFS('48 KMP -Tháng'!$F$2:$F$53,'48 KMP -Tháng'!$C$2:$C$53,'18 KMP- Tháng'!D24)</f>
        <v>44.321387999999999</v>
      </c>
      <c r="F24" s="423">
        <f>SUMIFS('48 KMP -Tháng'!$G$2:$G$53,'48 KMP -Tháng'!$C$2:$C$53,'18 KMP- Tháng'!D24)</f>
        <v>0</v>
      </c>
      <c r="G24" s="424">
        <f>SUMIFS('48 KMP -Tháng'!$H$2:$H$53,'48 KMP -Tháng'!$C$2:$C$53,'18 KMP- Tháng'!D24)</f>
        <v>48.722388000000002</v>
      </c>
      <c r="H24" s="423">
        <f>SUMIFS('48 KMP -Tháng'!$I$2:$I$53,'48 KMP -Tháng'!$C$2:$C$53,'18 KMP- Tháng'!D24)</f>
        <v>76.187495999999996</v>
      </c>
      <c r="I24" s="423">
        <f>SUMIFS('48 KMP -Tháng'!$J$2:$J$53,'48 KMP -Tháng'!$C$2:$C$53,'18 KMP- Tháng'!D24)</f>
        <v>68.801481999999993</v>
      </c>
      <c r="J24" s="423">
        <f>SUMIFS('48 KMP -Tháng'!$K$2:$K$53,'48 KMP -Tháng'!$C$2:$C$53,'18 KMP- Tháng'!D24)</f>
        <v>28.249625999999999</v>
      </c>
      <c r="K24" s="423">
        <f>SUMIFS('48 KMP -Tháng'!$L$2:$L$53,'48 KMP -Tháng'!$C$2:$C$53,'18 KMP- Tháng'!D24)</f>
        <v>91.396439000000001</v>
      </c>
      <c r="L24" s="423">
        <f>SUMIFS('48 KMP -Tháng'!$M$2:$M$53,'48 KMP -Tháng'!$C$2:$C$53,'18 KMP- Tháng'!D24)</f>
        <v>93.845376000000002</v>
      </c>
      <c r="M24" s="423">
        <f>SUMIFS('48 KMP -Tháng'!$N$2:$N$53,'48 KMP -Tháng'!$C$2:$C$53,'18 KMP- Tháng'!D24)</f>
        <v>109.400024</v>
      </c>
      <c r="N24" s="423">
        <f>SUMIFS('48 KMP -Tháng'!$O$2:$O$53,'48 KMP -Tháng'!$C$2:$C$53,'18 KMP- Tháng'!$D24)</f>
        <v>129.99653499999999</v>
      </c>
      <c r="O24" s="423">
        <f>SUMIFS('48 KMP -Tháng'!$P$2:$P$53,'48 KMP -Tháng'!$C$2:$C$53,'18 KMP- Tháng'!$D24)</f>
        <v>157.60198</v>
      </c>
      <c r="P24" s="423">
        <f>SUMIFS('48 KMP -Tháng'!$Q$2:$Q$53,'48 KMP -Tháng'!$C$2:$C$53,'18 KMP- Tháng'!$D24)</f>
        <v>316.88398999999998</v>
      </c>
      <c r="Q24" s="424">
        <f t="shared" si="0"/>
        <v>97.117227</v>
      </c>
      <c r="R24" s="423">
        <f>SUMIFS('48 KMP -Tháng'!$S$2:$S$53,'48 KMP -Tháng'!$C$2:$C$53,'18 KMP- Tháng'!$D24)</f>
        <v>460.46177499999999</v>
      </c>
      <c r="S24" s="423">
        <f>SUMIFS('48 KMP -Tháng'!$T$2:$T$53,'48 KMP -Tháng'!$C$2:$C$53,'18 KMP- Tháng'!$D24)</f>
        <v>563.90951600000005</v>
      </c>
      <c r="T24" s="423">
        <f>SUMIFS('48 KMP -Tháng'!U$2:U$53,'48 KMP -Tháng'!$C$2:$C$53,'18 KMP- Tháng'!$D24)</f>
        <v>587.31592000000001</v>
      </c>
      <c r="U24" s="423">
        <f>SUMIFS('48 KMP -Tháng'!V$2:V$53,'48 KMP -Tháng'!$C$2:$C$53,'18 KMP- Tháng'!$D24)</f>
        <v>905.70814199999995</v>
      </c>
      <c r="V24" s="423">
        <f>SUMIFS('48 KMP -Tháng'!W$2:W$53,'48 KMP -Tháng'!$C$2:$C$53,'18 KMP- Tháng'!$D24)</f>
        <v>974.31002899999999</v>
      </c>
      <c r="W24" s="423">
        <f>SUMIFS('48 KMP -Tháng'!X$2:X$53,'48 KMP -Tháng'!$C$2:$C$53,'18 KMP- Tháng'!$D24)</f>
        <v>1115.0560800000001</v>
      </c>
      <c r="X24" s="423">
        <f>SUMIFS('48 KMP -Tháng'!Y$2:Y$53,'48 KMP -Tháng'!$C$2:$C$53,'18 KMP- Tháng'!$D24)</f>
        <v>1160.8230060000001</v>
      </c>
      <c r="Y24" s="423">
        <f>SUMIFS('48 KMP -Tháng'!Z$2:Z$53,'48 KMP -Tháng'!$C$2:$C$53,'18 KMP- Tháng'!$D24)</f>
        <v>939.58504500000004</v>
      </c>
      <c r="Z24" s="423">
        <f>SUMIFS('48 KMP -Tháng'!AA$2:AA$53,'48 KMP -Tháng'!$C$2:$C$53,'18 KMP- Tháng'!$D24)</f>
        <v>859.44410500000004</v>
      </c>
      <c r="AA24" s="423">
        <f>SUMIFS('48 KMP -Tháng'!AB$2:AB$53,'48 KMP -Tháng'!$C$2:$C$53,'18 KMP- Tháng'!$D24)</f>
        <v>840.16551500000003</v>
      </c>
      <c r="AB24" s="423">
        <f>SUMIFS('48 KMP -Tháng'!AC$2:AC$53,'48 KMP -Tháng'!$C$2:$C$53,'18 KMP- Tháng'!$D24)</f>
        <v>889.15908100000001</v>
      </c>
      <c r="AC24" s="423">
        <f>SUMIFS('48 KMP -Tháng'!AD$2:AD$53,'48 KMP -Tháng'!$C$2:$C$53,'18 KMP- Tháng'!$D24)+SUMIFS('48 KMP -Tháng'!$AE$2:$AE$53,'48 KMP -Tháng'!$C$2:$C$53,'18 KMP- Tháng'!D24)</f>
        <v>1032.562923</v>
      </c>
      <c r="AD24" s="425">
        <f t="shared" si="1"/>
        <v>10328.501137000001</v>
      </c>
      <c r="AE24" s="797">
        <f t="shared" si="2"/>
        <v>860.70842808333339</v>
      </c>
      <c r="AF24" s="423">
        <f>SUMIFS('48 KMP -Tháng'!AH$2:AH$53,'48 KMP -Tháng'!$C$2:$C$53,'18 KMP- Tháng'!$D24)</f>
        <v>1114.8242760000001</v>
      </c>
      <c r="AG24" s="423">
        <f>SUMIFS('48 KMP -Tháng'!AI$2:AI$53,'48 KMP -Tháng'!$C$2:$C$53,'18 KMP- Tháng'!$D24)</f>
        <v>928.37928099999999</v>
      </c>
      <c r="AH24" s="423">
        <f>SUMIFS('48 KMP -Tháng'!AJ$2:AJ$53,'48 KMP -Tháng'!$C$2:$C$53,'18 KMP- Tháng'!$D24)</f>
        <v>673.96678899999995</v>
      </c>
      <c r="AI24" s="423">
        <f>SUMIFS('48 KMP -Tháng'!AK$2:AK$53,'48 KMP -Tháng'!$C$2:$C$53,'18 KMP- Tháng'!$D24)</f>
        <v>888.39345200000002</v>
      </c>
      <c r="AJ24" s="423">
        <f>SUMIFS('48 KMP -Tháng'!AL$2:AL$53,'48 KMP -Tháng'!$C$2:$C$53,'18 KMP- Tháng'!$D24)</f>
        <v>1189.130459</v>
      </c>
      <c r="AK24" s="423">
        <f>SUMIFS('48 KMP -Tháng'!AM$2:AM$53,'48 KMP -Tháng'!$C$2:$C$53,'18 KMP- Tháng'!$D24)</f>
        <v>1448.8998220000001</v>
      </c>
      <c r="AL24" s="423">
        <f>SUMIFS('48 KMP -Tháng'!AN$2:AN$53,'48 KMP -Tháng'!$C$2:$C$53,'18 KMP- Tháng'!$D24)</f>
        <v>1242.023326</v>
      </c>
      <c r="AM24" s="423">
        <f>SUMIFS('48 KMP -Tháng'!AO$2:AO$53,'48 KMP -Tháng'!$C$2:$C$53,'18 KMP- Tháng'!$D24)</f>
        <v>1303.5609099999999</v>
      </c>
      <c r="AN24" s="423">
        <f>SUMIFS('48 KMP -Tháng'!AP$2:AP$53,'48 KMP -Tháng'!$C$2:$C$53,'18 KMP- Tháng'!$D24)</f>
        <v>1595.764355</v>
      </c>
      <c r="AO24" s="423">
        <f>SUMIFS('48 KMP -Tháng'!AQ$2:AQ$53,'48 KMP -Tháng'!$C$2:$C$53,'18 KMP- Tháng'!$D24)</f>
        <v>1368.802426</v>
      </c>
      <c r="AP24" s="423">
        <f>SUMIFS('48 KMP -Tháng'!AR$2:AR$53,'48 KMP -Tháng'!$C$2:$C$53,'18 KMP- Tháng'!$D24)</f>
        <v>1256.132292</v>
      </c>
      <c r="AQ24" s="423">
        <f>SUMIFS('48 KMP -Tháng'!AS$2:AS$53,'48 KMP -Tháng'!$C$2:$C$53,'18 KMP- Tháng'!$D24)+SUMIFS('48 KMP -Tháng'!AT$2:AT$53,'48 KMP -Tháng'!$C$2:$C$53,'18 KMP- Tháng'!$D24)</f>
        <v>1256.103396</v>
      </c>
      <c r="AR24" s="797">
        <f t="shared" si="3"/>
        <v>1188.8317320000001</v>
      </c>
      <c r="AS24" s="423">
        <f>SUMIFS('48 KMP -Tháng'!AV$2:AV$53,'48 KMP -Tháng'!$C$2:$C$53,'18 KMP- Tháng'!$D24)</f>
        <v>1240.115065</v>
      </c>
      <c r="AT24" s="423">
        <f>SUMIFS('48 KMP -Tháng'!AW$2:AW$53,'48 KMP -Tháng'!$C$2:$C$53,'18 KMP- Tháng'!$D24)</f>
        <v>1156.2794180000001</v>
      </c>
      <c r="AU24" s="423">
        <f>SUMIFS('48 KMP -Tháng'!AX$2:AX$53,'48 KMP -Tháng'!$C$2:$C$53,'18 KMP- Tháng'!$D24)</f>
        <v>959.71856400000001</v>
      </c>
      <c r="AV24" s="423">
        <f>SUMIFS('48 KMP -Tháng'!AY$2:AY$53,'48 KMP -Tháng'!$C$2:$C$53,'18 KMP- Tháng'!$D24)</f>
        <v>1062.0844750000001</v>
      </c>
      <c r="AW24" s="423">
        <f>SUMIFS('48 KMP -Tháng'!AZ$2:AZ$53,'48 KMP -Tháng'!$C$2:$C$53,'18 KMP- Tháng'!$D24)</f>
        <v>838.83679099999995</v>
      </c>
      <c r="AX24" s="423">
        <f>SUMIFS('48 KMP -Tháng'!BA$2:BA$53,'48 KMP -Tháng'!$C$2:$C$53,'18 KMP- Tháng'!$D24)</f>
        <v>0</v>
      </c>
      <c r="AY24" s="423">
        <f>SUMIFS('48 KMP -Tháng'!BB$2:BB$53,'48 KMP -Tháng'!$C$2:$C$53,'18 KMP- Tháng'!$D24)</f>
        <v>0</v>
      </c>
      <c r="AZ24" s="423">
        <f>SUMIFS('48 KMP -Tháng'!BC$2:BC$53,'48 KMP -Tháng'!$C$2:$C$53,'18 KMP- Tháng'!$D24)</f>
        <v>0</v>
      </c>
      <c r="BA24" s="423">
        <f>SUMIFS('48 KMP -Tháng'!BD$2:BD$53,'48 KMP -Tháng'!$C$2:$C$53,'18 KMP- Tháng'!$D24)</f>
        <v>0</v>
      </c>
      <c r="BB24" s="423">
        <f>SUMIFS('48 KMP -Tháng'!BE$2:BE$53,'48 KMP -Tháng'!$C$2:$C$53,'18 KMP- Tháng'!$D24)</f>
        <v>0</v>
      </c>
      <c r="BC24" s="423">
        <f>SUMIFS('48 KMP -Tháng'!BF$2:BF$53,'48 KMP -Tháng'!$C$2:$C$53,'18 KMP- Tháng'!$D24)</f>
        <v>0</v>
      </c>
      <c r="BD24" s="423">
        <f>SUMIFS('48 KMP -Tháng'!BG$2:BG$53,'48 KMP -Tháng'!$C$2:$C$53,'18 KMP- Tháng'!$D24)</f>
        <v>0</v>
      </c>
      <c r="BE24" s="797">
        <f t="shared" si="7"/>
        <v>438.08619275000001</v>
      </c>
      <c r="BF24" s="425">
        <f>SUMIFS('48 KMP -Tháng'!BI$2:BI$53,'48 KMP -Tháng'!$C$2:$C$53,'18 KMP- Tháng'!$D24)</f>
        <v>2984.5638576971396</v>
      </c>
      <c r="BG24" s="426"/>
      <c r="BH24" s="427">
        <f>SUMIFS('48 KMP -Tháng'!BL$2:BL$50,'48 KMP -Tháng'!$C$2:$C$50,'18 KMP- Tháng'!$D24)</f>
        <v>1440.7291910893346</v>
      </c>
      <c r="BI24" s="427">
        <f>SUMIFS('48 KMP -Tháng'!BM$2:BM$50,'48 KMP -Tháng'!$C$2:$C$50,'18 KMP- Tháng'!$D24)</f>
        <v>2314.4014916227866</v>
      </c>
      <c r="BJ24" s="427">
        <f>SUMIFS('48 KMP -Tháng'!BN$2:BN$50,'48 KMP -Tháng'!$C$2:$C$50,'18 KMP- Tháng'!$D24)</f>
        <v>2754.8451088531456</v>
      </c>
      <c r="BK24" s="427">
        <f>SUMIFS('48 KMP -Tháng'!BO$2:BO$50,'48 KMP -Tháng'!$C$2:$C$50,'18 KMP- Tháng'!$D24)</f>
        <v>2658.9739779450151</v>
      </c>
      <c r="BL24" s="427">
        <f>SUMIFS('48 KMP -Tháng'!BP$2:BP$50,'48 KMP -Tháng'!$C$2:$C$50,'18 KMP- Tháng'!$D24)</f>
        <v>2984.5638576971396</v>
      </c>
      <c r="BM24" s="427">
        <f>SUMIFS('48 KMP -Tháng'!BQ$2:BQ$50,'48 KMP -Tháng'!$C$2:$C$50,'18 KMP- Tháng'!$D24)</f>
        <v>3083.7658926644508</v>
      </c>
      <c r="BN24" s="427">
        <f>SUMIFS('48 KMP -Tháng'!BR$2:BR$50,'48 KMP -Tháng'!$C$2:$C$50,'18 KMP- Tháng'!$D24)</f>
        <v>3139.6191586549103</v>
      </c>
      <c r="BO24" s="427">
        <f>SUMIFS('48 KMP -Tháng'!BS$2:BS$50,'48 KMP -Tháng'!$C$2:$C$50,'18 KMP- Tháng'!$D24)</f>
        <v>3321.5810537279758</v>
      </c>
      <c r="BP24" s="427">
        <f>SUMIFS('48 KMP -Tháng'!BT$2:BT$50,'48 KMP -Tháng'!$C$2:$C$50,'18 KMP- Tháng'!$D24)</f>
        <v>3248.3418835147654</v>
      </c>
      <c r="BQ24" s="427">
        <f>SUMIFS('48 KMP -Tháng'!BU$2:BU$50,'48 KMP -Tháng'!$C$2:$C$50,'18 KMP- Tháng'!$D24)</f>
        <v>3254.7331846761322</v>
      </c>
      <c r="BR24" s="427">
        <f>SUMIFS('48 KMP -Tháng'!BV$2:BV$50,'48 KMP -Tháng'!$C$2:$C$50,'18 KMP- Tháng'!$D24)</f>
        <v>3261.9944609206568</v>
      </c>
      <c r="BS24" s="427">
        <f>SUMIFS('48 KMP -Tháng'!BW$2:BW$50,'48 KMP -Tháng'!$C$2:$C$50,'18 KMP- Tháng'!$D24)</f>
        <v>3102.3550620342407</v>
      </c>
      <c r="BT24" s="427">
        <f t="shared" si="8"/>
        <v>34565.904323400558</v>
      </c>
      <c r="BV24" s="1486"/>
    </row>
    <row r="25" spans="1:76" s="279" customFormat="1">
      <c r="A25" s="315">
        <v>22</v>
      </c>
      <c r="D25" s="429" t="s">
        <v>338</v>
      </c>
      <c r="E25" s="425">
        <f t="shared" ref="E25:P25" si="10">SUM(E6:E24)</f>
        <v>34440.911711089284</v>
      </c>
      <c r="F25" s="425">
        <f t="shared" si="10"/>
        <v>46317.090426292278</v>
      </c>
      <c r="G25" s="425">
        <f t="shared" si="10"/>
        <v>55997.137123049295</v>
      </c>
      <c r="H25" s="425">
        <f t="shared" si="10"/>
        <v>48947.483193914282</v>
      </c>
      <c r="I25" s="425">
        <f t="shared" si="10"/>
        <v>58599.450388103287</v>
      </c>
      <c r="J25" s="425">
        <f t="shared" si="10"/>
        <v>52071.093139714285</v>
      </c>
      <c r="K25" s="425">
        <f t="shared" si="10"/>
        <v>60035.260519214287</v>
      </c>
      <c r="L25" s="425">
        <f t="shared" si="10"/>
        <v>62421.991991500014</v>
      </c>
      <c r="M25" s="425">
        <f t="shared" si="10"/>
        <v>55229.418362560005</v>
      </c>
      <c r="N25" s="425">
        <f t="shared" si="10"/>
        <v>62472.462763999996</v>
      </c>
      <c r="O25" s="425">
        <f t="shared" si="10"/>
        <v>51056.575212999989</v>
      </c>
      <c r="P25" s="425">
        <f t="shared" si="10"/>
        <v>96361.762473917581</v>
      </c>
      <c r="Q25" s="424">
        <f t="shared" si="0"/>
        <v>56995.886442196206</v>
      </c>
      <c r="R25" s="425">
        <f t="shared" ref="R25:BS25" si="11">SUM(R6:R24)</f>
        <v>115057.39110293402</v>
      </c>
      <c r="S25" s="425">
        <f t="shared" si="11"/>
        <v>84852.291090643077</v>
      </c>
      <c r="T25" s="425">
        <f t="shared" si="11"/>
        <v>125486.35049797817</v>
      </c>
      <c r="U25" s="425">
        <f t="shared" si="11"/>
        <v>120060.41692212663</v>
      </c>
      <c r="V25" s="425">
        <f t="shared" si="11"/>
        <v>122607.27571487431</v>
      </c>
      <c r="W25" s="425">
        <f t="shared" si="11"/>
        <v>98715.67990018813</v>
      </c>
      <c r="X25" s="425">
        <f t="shared" si="11"/>
        <v>65791.31293329355</v>
      </c>
      <c r="Y25" s="425">
        <f t="shared" si="11"/>
        <v>74011.500762084703</v>
      </c>
      <c r="Z25" s="425">
        <f t="shared" si="11"/>
        <v>90283.612402125276</v>
      </c>
      <c r="AA25" s="425">
        <f t="shared" si="11"/>
        <v>118837.42090925851</v>
      </c>
      <c r="AB25" s="425">
        <f t="shared" si="11"/>
        <v>126733.4004487161</v>
      </c>
      <c r="AC25" s="425">
        <f t="shared" si="11"/>
        <v>108399.86693067969</v>
      </c>
      <c r="AD25" s="425">
        <f>SUM(AD6:AD24)</f>
        <v>1250836.5196149023</v>
      </c>
      <c r="AE25" s="425">
        <f>SUM(AE6:AE24)</f>
        <v>104236.37663457518</v>
      </c>
      <c r="AF25" s="425">
        <f>SUM(AF6:AF24)</f>
        <v>70761.580371729942</v>
      </c>
      <c r="AG25" s="425">
        <f>SUM(AG6:AG24)</f>
        <v>93339.630436730266</v>
      </c>
      <c r="AH25" s="425">
        <f t="shared" ref="AH25:AQ25" si="12">SUM(AH6:AH24)</f>
        <v>135744.15186534991</v>
      </c>
      <c r="AI25" s="425">
        <f t="shared" si="12"/>
        <v>123953.31853651282</v>
      </c>
      <c r="AJ25" s="425">
        <f t="shared" si="12"/>
        <v>141373.92062789982</v>
      </c>
      <c r="AK25" s="425">
        <f t="shared" si="12"/>
        <v>129422.85189499872</v>
      </c>
      <c r="AL25" s="425">
        <f t="shared" si="12"/>
        <v>140987.36823394359</v>
      </c>
      <c r="AM25" s="425">
        <f t="shared" si="12"/>
        <v>142202.12603338977</v>
      </c>
      <c r="AN25" s="425">
        <f t="shared" si="12"/>
        <v>142427.61196251021</v>
      </c>
      <c r="AO25" s="425">
        <f t="shared" si="12"/>
        <v>108201.27177808291</v>
      </c>
      <c r="AP25" s="425">
        <f t="shared" si="12"/>
        <v>86134.210565524016</v>
      </c>
      <c r="AQ25" s="425">
        <f t="shared" si="12"/>
        <v>118851.93601718273</v>
      </c>
      <c r="AR25" s="425">
        <f t="shared" si="3"/>
        <v>119449.99819365454</v>
      </c>
      <c r="AS25" s="425">
        <f>SUM(AS6:AS24)</f>
        <v>95139.89507034859</v>
      </c>
      <c r="AT25" s="425">
        <f>SUM(AT6:AT24)</f>
        <v>67773.241644026304</v>
      </c>
      <c r="AU25" s="425">
        <f t="shared" ref="AU25:BD25" si="13">SUM(AU6:AU24)</f>
        <v>122634.61018828403</v>
      </c>
      <c r="AV25" s="425">
        <f t="shared" si="13"/>
        <v>123559.28474045049</v>
      </c>
      <c r="AW25" s="425">
        <f t="shared" si="13"/>
        <v>112670.55854036832</v>
      </c>
      <c r="AX25" s="425">
        <f t="shared" si="13"/>
        <v>0</v>
      </c>
      <c r="AY25" s="425">
        <f t="shared" si="13"/>
        <v>0</v>
      </c>
      <c r="AZ25" s="425">
        <f t="shared" si="13"/>
        <v>0</v>
      </c>
      <c r="BA25" s="425">
        <f t="shared" si="13"/>
        <v>0</v>
      </c>
      <c r="BB25" s="425">
        <f t="shared" si="13"/>
        <v>0</v>
      </c>
      <c r="BC25" s="425">
        <f t="shared" si="13"/>
        <v>0</v>
      </c>
      <c r="BD25" s="425">
        <f t="shared" si="13"/>
        <v>0</v>
      </c>
      <c r="BE25" s="425">
        <f t="shared" si="7"/>
        <v>43481.465848623142</v>
      </c>
      <c r="BF25" s="425">
        <f>SUM(BF6:BF24)</f>
        <v>120366.59328966835</v>
      </c>
      <c r="BG25" s="425"/>
      <c r="BH25" s="425">
        <f>SUM(BH6:BH24)</f>
        <v>115929.03398458035</v>
      </c>
      <c r="BI25" s="425">
        <f t="shared" si="11"/>
        <v>99481.317255880625</v>
      </c>
      <c r="BJ25" s="425">
        <f t="shared" si="11"/>
        <v>118461.37521106303</v>
      </c>
      <c r="BK25" s="425">
        <f t="shared" si="11"/>
        <v>119581.09253569103</v>
      </c>
      <c r="BL25" s="425">
        <f t="shared" si="11"/>
        <v>120366.59328966835</v>
      </c>
      <c r="BM25" s="425">
        <f t="shared" si="11"/>
        <v>122382.80119797472</v>
      </c>
      <c r="BN25" s="425">
        <f t="shared" si="11"/>
        <v>124504.83761923686</v>
      </c>
      <c r="BO25" s="425">
        <f t="shared" si="11"/>
        <v>125587.52413853171</v>
      </c>
      <c r="BP25" s="425">
        <f t="shared" si="11"/>
        <v>126150.25911621882</v>
      </c>
      <c r="BQ25" s="425">
        <f t="shared" si="11"/>
        <v>124866.40303081283</v>
      </c>
      <c r="BR25" s="425">
        <f t="shared" si="11"/>
        <v>124017.50513653902</v>
      </c>
      <c r="BS25" s="425">
        <f t="shared" si="11"/>
        <v>126913.86604754637</v>
      </c>
      <c r="BT25" s="425">
        <f>SUM(BT6:BT24)</f>
        <v>1448242.608563744</v>
      </c>
      <c r="BU25" s="1487"/>
    </row>
    <row r="26" spans="1:76" s="279" customFormat="1">
      <c r="A26" s="315">
        <v>23</v>
      </c>
      <c r="D26" s="429" t="s">
        <v>563</v>
      </c>
      <c r="E26" s="425">
        <v>841.88200000000006</v>
      </c>
      <c r="F26" s="425">
        <v>1307.212</v>
      </c>
      <c r="G26" s="425">
        <v>1683.5150000000001</v>
      </c>
      <c r="H26" s="425">
        <v>1492.932</v>
      </c>
      <c r="I26" s="425">
        <v>1899.635</v>
      </c>
      <c r="J26" s="425">
        <v>1515.6790000000001</v>
      </c>
      <c r="K26" s="425">
        <v>2178.2570000000001</v>
      </c>
      <c r="L26" s="425">
        <v>2374.6089999999999</v>
      </c>
      <c r="M26" s="425">
        <v>2017.2435</v>
      </c>
      <c r="N26" s="425">
        <v>2500.7439999999997</v>
      </c>
      <c r="O26" s="425">
        <v>1739.5754999999999</v>
      </c>
      <c r="P26" s="425">
        <v>3906.0309999999995</v>
      </c>
      <c r="Q26" s="424">
        <f t="shared" si="0"/>
        <v>1954.7762499999999</v>
      </c>
      <c r="R26" s="425">
        <v>4748.3130000000001</v>
      </c>
      <c r="S26" s="425">
        <v>2926.5019999999995</v>
      </c>
      <c r="T26" s="425">
        <v>4896.4380000000001</v>
      </c>
      <c r="U26" s="425">
        <v>4526.3689999999997</v>
      </c>
      <c r="V26" s="425">
        <v>4417.8749999999991</v>
      </c>
      <c r="W26" s="425">
        <v>3495.0745000000011</v>
      </c>
      <c r="X26" s="425">
        <v>1866.424</v>
      </c>
      <c r="Y26" s="425">
        <v>2192.5824999999995</v>
      </c>
      <c r="Z26" s="425">
        <v>2799.3996999999999</v>
      </c>
      <c r="AA26" s="425">
        <v>4293.2714999999989</v>
      </c>
      <c r="AB26" s="425">
        <v>4775.3970000000008</v>
      </c>
      <c r="AC26" s="425">
        <v>3318.6420999999996</v>
      </c>
      <c r="AD26" s="425">
        <f t="shared" si="1"/>
        <v>44256.2883</v>
      </c>
      <c r="AE26" s="425">
        <f t="shared" si="2"/>
        <v>3688.0240250000002</v>
      </c>
      <c r="AF26" s="425">
        <v>1839.7309999999998</v>
      </c>
      <c r="AG26" s="425">
        <v>2957.2660000000001</v>
      </c>
      <c r="AH26" s="425">
        <v>4821.92</v>
      </c>
      <c r="AI26" s="425">
        <v>4088.2489999999993</v>
      </c>
      <c r="AJ26" s="425">
        <v>4828.9710000000005</v>
      </c>
      <c r="AK26" s="425">
        <v>4232.4530000000004</v>
      </c>
      <c r="AL26" s="425">
        <v>4561.6410000000005</v>
      </c>
      <c r="AM26" s="425">
        <v>4570.5645000000004</v>
      </c>
      <c r="AN26" s="425">
        <v>4555.5080000000007</v>
      </c>
      <c r="AO26" s="425">
        <v>3173.9179999999997</v>
      </c>
      <c r="AP26" s="425">
        <v>2323.2630000000004</v>
      </c>
      <c r="AQ26" s="425">
        <v>3552.8617999999997</v>
      </c>
      <c r="AR26" s="425">
        <f t="shared" si="3"/>
        <v>3792.1955249999996</v>
      </c>
      <c r="AS26" s="425">
        <v>2868.56925</v>
      </c>
      <c r="AT26" s="425">
        <v>1811.1000000000001</v>
      </c>
      <c r="AU26" s="425">
        <v>4279.4889999999996</v>
      </c>
      <c r="AV26" s="425">
        <v>4370.2853999999998</v>
      </c>
      <c r="AW26" s="425">
        <v>3592.6819999999998</v>
      </c>
      <c r="AX26" s="425"/>
      <c r="AY26" s="425"/>
      <c r="AZ26" s="425"/>
      <c r="BA26" s="425"/>
      <c r="BB26" s="425"/>
      <c r="BC26" s="425"/>
      <c r="BD26" s="425"/>
      <c r="BE26" s="425"/>
      <c r="BF26" s="425" t="e">
        <f ca="1">SUM(OFFSET(BH26,0,0,1,$BH$1))</f>
        <v>#REF!</v>
      </c>
      <c r="BG26" s="426"/>
      <c r="BH26" s="430">
        <v>3955</v>
      </c>
      <c r="BI26" s="430">
        <v>3245</v>
      </c>
      <c r="BJ26" s="430">
        <v>4145</v>
      </c>
      <c r="BK26" s="430">
        <v>4155</v>
      </c>
      <c r="BL26" s="430">
        <v>4145</v>
      </c>
      <c r="BM26" s="430">
        <v>4230</v>
      </c>
      <c r="BN26" s="430">
        <v>4330</v>
      </c>
      <c r="BO26" s="430">
        <v>4370</v>
      </c>
      <c r="BP26" s="430">
        <v>4355</v>
      </c>
      <c r="BQ26" s="430">
        <v>4380</v>
      </c>
      <c r="BR26" s="430">
        <v>4320</v>
      </c>
      <c r="BS26" s="430">
        <v>4370</v>
      </c>
      <c r="BT26" s="425">
        <f>SUM(BH26:BS26)</f>
        <v>50000</v>
      </c>
      <c r="BU26" s="279" t="s">
        <v>1044</v>
      </c>
    </row>
    <row r="27" spans="1:76" s="279" customFormat="1" ht="28.5">
      <c r="A27" s="315">
        <v>24</v>
      </c>
      <c r="D27" s="431" t="s">
        <v>564</v>
      </c>
      <c r="E27" s="425">
        <f t="shared" ref="E27:AQ27" si="14">E25/E26</f>
        <v>40.909428769220959</v>
      </c>
      <c r="F27" s="425">
        <f t="shared" si="14"/>
        <v>35.431965454947076</v>
      </c>
      <c r="G27" s="425">
        <f t="shared" si="14"/>
        <v>33.262036348383766</v>
      </c>
      <c r="H27" s="425">
        <f t="shared" si="14"/>
        <v>32.786143772063483</v>
      </c>
      <c r="I27" s="425">
        <f t="shared" si="14"/>
        <v>30.84774200733472</v>
      </c>
      <c r="J27" s="425">
        <f t="shared" si="14"/>
        <v>34.354961136041524</v>
      </c>
      <c r="K27" s="425">
        <f t="shared" si="14"/>
        <v>27.561146604470586</v>
      </c>
      <c r="L27" s="425">
        <f t="shared" si="14"/>
        <v>26.287271711469138</v>
      </c>
      <c r="M27" s="425">
        <f t="shared" si="14"/>
        <v>27.378657243193498</v>
      </c>
      <c r="N27" s="425">
        <f t="shared" si="14"/>
        <v>24.98155059614259</v>
      </c>
      <c r="O27" s="425">
        <f t="shared" si="14"/>
        <v>29.350019710555816</v>
      </c>
      <c r="P27" s="425">
        <f t="shared" si="14"/>
        <v>24.669994291882883</v>
      </c>
      <c r="Q27" s="425">
        <f t="shared" si="14"/>
        <v>29.157243158748326</v>
      </c>
      <c r="R27" s="425">
        <f t="shared" si="14"/>
        <v>24.231214560399454</v>
      </c>
      <c r="S27" s="425">
        <f t="shared" si="14"/>
        <v>28.994441517772103</v>
      </c>
      <c r="T27" s="425">
        <f t="shared" si="14"/>
        <v>25.628089337183106</v>
      </c>
      <c r="U27" s="425">
        <f t="shared" si="14"/>
        <v>26.524664012617318</v>
      </c>
      <c r="V27" s="425">
        <f t="shared" si="14"/>
        <v>27.752545220241483</v>
      </c>
      <c r="W27" s="425">
        <f t="shared" si="14"/>
        <v>28.244227669592764</v>
      </c>
      <c r="X27" s="425">
        <f t="shared" si="14"/>
        <v>35.249928704996051</v>
      </c>
      <c r="Y27" s="425">
        <f t="shared" si="14"/>
        <v>33.755400657482546</v>
      </c>
      <c r="Z27" s="425">
        <f t="shared" si="14"/>
        <v>32.251061683733582</v>
      </c>
      <c r="AA27" s="425">
        <f t="shared" si="14"/>
        <v>27.67992215476206</v>
      </c>
      <c r="AB27" s="425">
        <f t="shared" si="14"/>
        <v>26.538819798378245</v>
      </c>
      <c r="AC27" s="432">
        <f t="shared" si="14"/>
        <v>32.663922069414987</v>
      </c>
      <c r="AD27" s="432">
        <f t="shared" si="14"/>
        <v>28.263475489310348</v>
      </c>
      <c r="AE27" s="432">
        <f t="shared" si="14"/>
        <v>28.263475489310341</v>
      </c>
      <c r="AF27" s="432">
        <f t="shared" si="14"/>
        <v>38.463003760729123</v>
      </c>
      <c r="AG27" s="432">
        <f t="shared" si="14"/>
        <v>31.562811879868182</v>
      </c>
      <c r="AH27" s="432">
        <f t="shared" si="14"/>
        <v>28.151473244133022</v>
      </c>
      <c r="AI27" s="432">
        <f t="shared" si="14"/>
        <v>30.319415117942384</v>
      </c>
      <c r="AJ27" s="432">
        <f t="shared" si="14"/>
        <v>29.276199966390315</v>
      </c>
      <c r="AK27" s="432">
        <f t="shared" si="14"/>
        <v>30.578686141346097</v>
      </c>
      <c r="AL27" s="432">
        <f t="shared" si="14"/>
        <v>30.907159996576578</v>
      </c>
      <c r="AM27" s="432">
        <f t="shared" si="14"/>
        <v>31.112595836551428</v>
      </c>
      <c r="AN27" s="432">
        <f t="shared" si="14"/>
        <v>31.264924123173572</v>
      </c>
      <c r="AO27" s="432">
        <f t="shared" si="14"/>
        <v>34.090758418485585</v>
      </c>
      <c r="AP27" s="432">
        <f t="shared" si="14"/>
        <v>37.074670653096099</v>
      </c>
      <c r="AQ27" s="432">
        <f t="shared" si="14"/>
        <v>33.452451209102122</v>
      </c>
      <c r="AR27" s="432">
        <f>AVERAGE(AF27:AQ27)</f>
        <v>32.187845862282877</v>
      </c>
      <c r="AS27" s="432">
        <f t="shared" ref="AS27:BD27" si="15">AS25/AS26</f>
        <v>33.166323270860062</v>
      </c>
      <c r="AT27" s="432">
        <f t="shared" si="15"/>
        <v>37.42103784662708</v>
      </c>
      <c r="AU27" s="432">
        <f t="shared" si="15"/>
        <v>28.656367661719436</v>
      </c>
      <c r="AV27" s="432">
        <f t="shared" si="15"/>
        <v>28.272589414972874</v>
      </c>
      <c r="AW27" s="432">
        <f t="shared" si="15"/>
        <v>31.36112757554616</v>
      </c>
      <c r="AX27" s="432" t="e">
        <f t="shared" si="15"/>
        <v>#DIV/0!</v>
      </c>
      <c r="AY27" s="432" t="e">
        <f t="shared" si="15"/>
        <v>#DIV/0!</v>
      </c>
      <c r="AZ27" s="432" t="e">
        <f t="shared" si="15"/>
        <v>#DIV/0!</v>
      </c>
      <c r="BA27" s="432" t="e">
        <f t="shared" si="15"/>
        <v>#DIV/0!</v>
      </c>
      <c r="BB27" s="432" t="e">
        <f t="shared" si="15"/>
        <v>#DIV/0!</v>
      </c>
      <c r="BC27" s="432" t="e">
        <f t="shared" si="15"/>
        <v>#DIV/0!</v>
      </c>
      <c r="BD27" s="432" t="e">
        <f t="shared" si="15"/>
        <v>#DIV/0!</v>
      </c>
      <c r="BE27" s="432" t="e">
        <f>AVERAGE(AS27:BD27)</f>
        <v>#DIV/0!</v>
      </c>
      <c r="BF27" s="1359" t="e">
        <f ca="1">BF25/BF26</f>
        <v>#REF!</v>
      </c>
      <c r="BG27" s="425"/>
      <c r="BH27" s="1359">
        <f>(BH25-BH8)/BH26+(BH8/BH30)</f>
        <v>29.297021407602521</v>
      </c>
      <c r="BI27" s="1359">
        <f t="shared" ref="BI27:BT27" si="16">(BI25-BI8)/BI26+(BI8/BI30)</f>
        <v>30.606726701903284</v>
      </c>
      <c r="BJ27" s="1359">
        <f t="shared" si="16"/>
        <v>28.559886570012289</v>
      </c>
      <c r="BK27" s="1359">
        <f t="shared" si="16"/>
        <v>28.770540640599659</v>
      </c>
      <c r="BL27" s="1359">
        <f t="shared" si="16"/>
        <v>29.019213745675824</v>
      </c>
      <c r="BM27" s="1359">
        <f>(BM25-BM8)/BM26+(BM8/BM30)</f>
        <v>28.91455328824247</v>
      </c>
      <c r="BN27" s="1359">
        <f t="shared" si="16"/>
        <v>28.740994608296926</v>
      </c>
      <c r="BO27" s="1359">
        <f t="shared" si="16"/>
        <v>28.731518745202546</v>
      </c>
      <c r="BP27" s="1359">
        <f t="shared" si="16"/>
        <v>28.95196458309184</v>
      </c>
      <c r="BQ27" s="1359">
        <f t="shared" si="16"/>
        <v>28.50522739514691</v>
      </c>
      <c r="BR27" s="1359">
        <f t="shared" si="16"/>
        <v>28.693342018892231</v>
      </c>
      <c r="BS27" s="1359">
        <f t="shared" si="16"/>
        <v>29.027872208947024</v>
      </c>
      <c r="BT27" s="1359">
        <f t="shared" si="16"/>
        <v>28.948955012408994</v>
      </c>
    </row>
    <row r="28" spans="1:76" s="279" customFormat="1" ht="28.5">
      <c r="A28" s="315">
        <v>25</v>
      </c>
      <c r="D28" s="431" t="s">
        <v>565</v>
      </c>
      <c r="E28" s="425">
        <f t="shared" ref="E28:Q28" si="17">E25/E26</f>
        <v>40.909428769220959</v>
      </c>
      <c r="F28" s="425">
        <f t="shared" si="17"/>
        <v>35.431965454947076</v>
      </c>
      <c r="G28" s="425">
        <f t="shared" si="17"/>
        <v>33.262036348383766</v>
      </c>
      <c r="H28" s="425">
        <f t="shared" si="17"/>
        <v>32.786143772063483</v>
      </c>
      <c r="I28" s="425">
        <f t="shared" si="17"/>
        <v>30.84774200733472</v>
      </c>
      <c r="J28" s="425">
        <f t="shared" si="17"/>
        <v>34.354961136041524</v>
      </c>
      <c r="K28" s="425">
        <f t="shared" si="17"/>
        <v>27.561146604470586</v>
      </c>
      <c r="L28" s="425">
        <f t="shared" si="17"/>
        <v>26.287271711469138</v>
      </c>
      <c r="M28" s="425">
        <f t="shared" si="17"/>
        <v>27.378657243193498</v>
      </c>
      <c r="N28" s="425">
        <f t="shared" si="17"/>
        <v>24.98155059614259</v>
      </c>
      <c r="O28" s="425">
        <f t="shared" si="17"/>
        <v>29.350019710555816</v>
      </c>
      <c r="P28" s="425">
        <f t="shared" si="17"/>
        <v>24.669994291882883</v>
      </c>
      <c r="Q28" s="425">
        <f t="shared" si="17"/>
        <v>29.157243158748326</v>
      </c>
      <c r="R28" s="425">
        <f t="shared" ref="R28:AE28" si="18">(R25-R29)/R26</f>
        <v>23.906971852866626</v>
      </c>
      <c r="S28" s="425">
        <f t="shared" si="18"/>
        <v>27.921622888796851</v>
      </c>
      <c r="T28" s="425">
        <f t="shared" si="18"/>
        <v>25.640423653816271</v>
      </c>
      <c r="U28" s="425">
        <f t="shared" si="18"/>
        <v>26.184522529823202</v>
      </c>
      <c r="V28" s="425">
        <f t="shared" si="18"/>
        <v>27.40405055632878</v>
      </c>
      <c r="W28" s="425">
        <f t="shared" si="18"/>
        <v>27.803720360425729</v>
      </c>
      <c r="X28" s="425">
        <f t="shared" si="18"/>
        <v>34.425032613146968</v>
      </c>
      <c r="Y28" s="425">
        <f t="shared" si="18"/>
        <v>33.053212318693319</v>
      </c>
      <c r="Z28" s="425">
        <f t="shared" si="18"/>
        <v>31.70108453565668</v>
      </c>
      <c r="AA28" s="425">
        <f t="shared" si="18"/>
        <v>27.321313139857381</v>
      </c>
      <c r="AB28" s="425">
        <f t="shared" si="18"/>
        <v>26.216416056169308</v>
      </c>
      <c r="AC28" s="432">
        <f t="shared" si="18"/>
        <v>30.956396370475257</v>
      </c>
      <c r="AD28" s="432">
        <f t="shared" si="18"/>
        <v>27.752760922946681</v>
      </c>
      <c r="AE28" s="432">
        <f t="shared" si="18"/>
        <v>27.752760922946674</v>
      </c>
      <c r="AF28" s="432">
        <f>(AF25-AF29)/AF26</f>
        <v>37.272612339374589</v>
      </c>
      <c r="AG28" s="432">
        <f t="shared" ref="AG28:AO28" si="19">(AG25-AG29)/AG26</f>
        <v>30.78168498766437</v>
      </c>
      <c r="AH28" s="432">
        <f t="shared" si="19"/>
        <v>27.684854138050799</v>
      </c>
      <c r="AI28" s="432">
        <f t="shared" si="19"/>
        <v>29.805747775273186</v>
      </c>
      <c r="AJ28" s="432">
        <f t="shared" si="19"/>
        <v>28.841324710357508</v>
      </c>
      <c r="AK28" s="432">
        <f t="shared" si="19"/>
        <v>29.924693781832595</v>
      </c>
      <c r="AL28" s="432">
        <f t="shared" si="19"/>
        <v>30.239438429710614</v>
      </c>
      <c r="AM28" s="432">
        <f t="shared" si="19"/>
        <v>30.347721809284113</v>
      </c>
      <c r="AN28" s="432">
        <f t="shared" si="19"/>
        <v>30.497522095562157</v>
      </c>
      <c r="AO28" s="432">
        <f t="shared" si="19"/>
        <v>32.989310278993635</v>
      </c>
      <c r="AP28" s="432">
        <f>(AP25-AP29)/AP26</f>
        <v>35.569930950359044</v>
      </c>
      <c r="AQ28" s="432">
        <f>(AQ25-AQ29)/AQ26</f>
        <v>32.704911274956636</v>
      </c>
      <c r="AR28" s="432">
        <f t="shared" si="3"/>
        <v>31.388312714284936</v>
      </c>
      <c r="AS28" s="432">
        <f>(AS25-AS29)/AS26</f>
        <v>33.166323270860062</v>
      </c>
      <c r="AT28" s="432">
        <f t="shared" ref="AT28:BB28" si="20">(AT25-AT29)/AT26</f>
        <v>37.42103784662708</v>
      </c>
      <c r="AU28" s="432">
        <f t="shared" si="20"/>
        <v>28.656367661719436</v>
      </c>
      <c r="AV28" s="432">
        <f t="shared" si="20"/>
        <v>28.272589414972874</v>
      </c>
      <c r="AW28" s="432">
        <f t="shared" si="20"/>
        <v>31.36112757554616</v>
      </c>
      <c r="AX28" s="432" t="e">
        <f t="shared" si="20"/>
        <v>#DIV/0!</v>
      </c>
      <c r="AY28" s="432" t="e">
        <f t="shared" si="20"/>
        <v>#DIV/0!</v>
      </c>
      <c r="AZ28" s="432" t="e">
        <f t="shared" si="20"/>
        <v>#DIV/0!</v>
      </c>
      <c r="BA28" s="432" t="e">
        <f t="shared" si="20"/>
        <v>#DIV/0!</v>
      </c>
      <c r="BB28" s="432" t="e">
        <f t="shared" si="20"/>
        <v>#DIV/0!</v>
      </c>
      <c r="BC28" s="432" t="e">
        <f>(BC25-BC29)/BC26</f>
        <v>#DIV/0!</v>
      </c>
      <c r="BD28" s="432" t="e">
        <f>(BD25-BD29)/BD26</f>
        <v>#DIV/0!</v>
      </c>
      <c r="BE28" s="432" t="e">
        <f t="shared" ref="BE28" si="21">AVERAGE(AS28:BD28)</f>
        <v>#DIV/0!</v>
      </c>
      <c r="BF28" s="1359" t="e">
        <f ca="1">(BF25-BF18+BF29)/BF26</f>
        <v>#REF!</v>
      </c>
      <c r="BG28" s="426"/>
      <c r="BH28" s="1359">
        <f>(BH25-BH8-BH29)/BH26+(BH8/BH30)</f>
        <v>29.297021407602521</v>
      </c>
      <c r="BI28" s="1359">
        <f t="shared" ref="BI28:BT28" si="22">(BI25-BI8-BI29)/BI26+(BI8/BI30)</f>
        <v>30.606726701903284</v>
      </c>
      <c r="BJ28" s="1359">
        <f t="shared" si="22"/>
        <v>28.559886570012289</v>
      </c>
      <c r="BK28" s="1359">
        <f t="shared" si="22"/>
        <v>28.770540640599659</v>
      </c>
      <c r="BL28" s="1359">
        <f t="shared" si="22"/>
        <v>29.019213745675824</v>
      </c>
      <c r="BM28" s="1359">
        <f t="shared" si="22"/>
        <v>28.91455328824247</v>
      </c>
      <c r="BN28" s="1359">
        <f t="shared" si="22"/>
        <v>28.740994608296926</v>
      </c>
      <c r="BO28" s="1359">
        <f t="shared" si="22"/>
        <v>28.731518745202546</v>
      </c>
      <c r="BP28" s="1359">
        <f t="shared" si="22"/>
        <v>28.95196458309184</v>
      </c>
      <c r="BQ28" s="1359">
        <f t="shared" si="22"/>
        <v>28.50522739514691</v>
      </c>
      <c r="BR28" s="1359">
        <f t="shared" si="22"/>
        <v>28.693342018892231</v>
      </c>
      <c r="BS28" s="1359">
        <f t="shared" si="22"/>
        <v>29.027872208947024</v>
      </c>
      <c r="BT28" s="1359">
        <f t="shared" si="22"/>
        <v>28.948955012408994</v>
      </c>
    </row>
    <row r="29" spans="1:76" s="433" customFormat="1">
      <c r="A29" s="315">
        <v>26</v>
      </c>
      <c r="D29" s="433" t="s">
        <v>593</v>
      </c>
      <c r="M29" s="434"/>
      <c r="R29" s="435">
        <v>1539.6058633333323</v>
      </c>
      <c r="S29" s="435">
        <v>3139.6058633333323</v>
      </c>
      <c r="T29" s="435">
        <v>-60.394216666667489</v>
      </c>
      <c r="U29" s="435">
        <v>1539.6058633333323</v>
      </c>
      <c r="V29" s="435">
        <v>1539.6058633333323</v>
      </c>
      <c r="W29" s="435">
        <v>1539.6058633333323</v>
      </c>
      <c r="X29" s="435">
        <v>1539.6058633333323</v>
      </c>
      <c r="Y29" s="435">
        <v>1539.6058633333323</v>
      </c>
      <c r="Z29" s="435">
        <v>1539.6058633333323</v>
      </c>
      <c r="AA29" s="435">
        <v>1539.6058633333323</v>
      </c>
      <c r="AB29" s="435">
        <v>1539.6058633333323</v>
      </c>
      <c r="AC29" s="1488">
        <f>1539.60586333333+4127.060808</f>
        <v>5666.6666713333307</v>
      </c>
      <c r="AD29" s="436">
        <f>SUM(R29:AC29)</f>
        <v>22602.331087999984</v>
      </c>
      <c r="AE29" s="436">
        <f>AVERAGE(R29:AC29)</f>
        <v>1883.5275906666654</v>
      </c>
      <c r="AF29" s="436">
        <v>2190</v>
      </c>
      <c r="AG29" s="436">
        <v>2310</v>
      </c>
      <c r="AH29" s="436">
        <v>2250</v>
      </c>
      <c r="AI29" s="436">
        <v>2100</v>
      </c>
      <c r="AJ29" s="436">
        <v>2100</v>
      </c>
      <c r="AK29" s="436">
        <v>2767.9919239999999</v>
      </c>
      <c r="AL29" s="436">
        <v>3045.9060760000002</v>
      </c>
      <c r="AM29" s="436">
        <v>3495.9060760000002</v>
      </c>
      <c r="AN29" s="436">
        <v>3495.9060760000002</v>
      </c>
      <c r="AO29" s="436">
        <v>3495.9060760000002</v>
      </c>
      <c r="AP29" s="436">
        <v>3495.9060760000002</v>
      </c>
      <c r="AQ29" s="1382">
        <f>(2100000000+727914152+667991924)/10^6-840+N("kết chuyển 627 về 642 phần diện tích quản lý thông qua tk632")</f>
        <v>2655.9060760000002</v>
      </c>
      <c r="AR29" s="1382">
        <f>AVERAGE(AF29:AQ29)</f>
        <v>2783.6190316666666</v>
      </c>
      <c r="AS29" s="436">
        <v>0</v>
      </c>
      <c r="AT29" s="436"/>
      <c r="AU29" s="436"/>
      <c r="AV29" s="436"/>
      <c r="AW29" s="436"/>
      <c r="AX29" s="436"/>
      <c r="AY29" s="436"/>
      <c r="AZ29" s="436"/>
      <c r="BA29" s="436"/>
      <c r="BB29" s="436"/>
      <c r="BC29" s="436"/>
      <c r="BD29" s="1382"/>
      <c r="BE29" s="1382">
        <f>AVERAGE(AS29:BD29)</f>
        <v>0</v>
      </c>
      <c r="BF29" s="436"/>
      <c r="BG29" s="437"/>
      <c r="BH29" s="435"/>
      <c r="BI29" s="435"/>
      <c r="BJ29" s="435"/>
      <c r="BK29" s="435"/>
      <c r="BL29" s="435"/>
      <c r="BM29" s="435"/>
      <c r="BN29" s="435"/>
      <c r="BO29" s="435"/>
      <c r="BP29" s="435"/>
      <c r="BQ29" s="435"/>
      <c r="BR29" s="435"/>
      <c r="BS29" s="435"/>
      <c r="BT29" s="435">
        <f>SUM(BH29:BS29)</f>
        <v>0</v>
      </c>
    </row>
    <row r="30" spans="1:76" s="433" customFormat="1">
      <c r="A30" s="315"/>
      <c r="M30" s="434"/>
      <c r="R30" s="435">
        <f t="shared" ref="R30:AB30" si="23">R32+R31</f>
        <v>1539.6058633333305</v>
      </c>
      <c r="S30" s="435">
        <f t="shared" si="23"/>
        <v>3139.6058633333305</v>
      </c>
      <c r="T30" s="435">
        <f t="shared" si="23"/>
        <v>-60.394216666669308</v>
      </c>
      <c r="U30" s="435">
        <f t="shared" si="23"/>
        <v>1539.6058633333305</v>
      </c>
      <c r="V30" s="435">
        <f t="shared" si="23"/>
        <v>1539.6058633333305</v>
      </c>
      <c r="W30" s="435">
        <f t="shared" si="23"/>
        <v>1539.6058633333305</v>
      </c>
      <c r="X30" s="435">
        <f t="shared" si="23"/>
        <v>1539.6058633333305</v>
      </c>
      <c r="Y30" s="435">
        <f t="shared" si="23"/>
        <v>1539.6058633333305</v>
      </c>
      <c r="Z30" s="435">
        <f t="shared" si="23"/>
        <v>1539.6058633333305</v>
      </c>
      <c r="AA30" s="435">
        <f t="shared" si="23"/>
        <v>1539.6058633333305</v>
      </c>
      <c r="AB30" s="435">
        <f t="shared" si="23"/>
        <v>1539.6058633333305</v>
      </c>
      <c r="AC30" s="435">
        <f>AC32+AC31</f>
        <v>1539.6058633333305</v>
      </c>
      <c r="AD30" s="437"/>
      <c r="AE30" s="437"/>
      <c r="AF30" s="437"/>
      <c r="AG30" s="437"/>
      <c r="AH30" s="437"/>
      <c r="AI30" s="437"/>
      <c r="AJ30" s="437"/>
      <c r="AK30" s="437"/>
      <c r="AL30" s="437"/>
      <c r="AM30" s="437"/>
      <c r="AN30" s="437"/>
      <c r="AO30" s="437"/>
      <c r="AP30" s="437"/>
      <c r="AQ30" s="437"/>
      <c r="AR30" s="437"/>
      <c r="AS30" s="437"/>
      <c r="AT30" s="437"/>
      <c r="AU30" s="437"/>
      <c r="AV30" s="437"/>
      <c r="AW30" s="437"/>
      <c r="AX30" s="437"/>
      <c r="AY30" s="437"/>
      <c r="AZ30" s="437"/>
      <c r="BA30" s="437"/>
      <c r="BB30" s="437"/>
      <c r="BC30" s="437"/>
      <c r="BD30" s="437"/>
      <c r="BE30" s="437"/>
      <c r="BF30" s="437"/>
      <c r="BG30" s="437"/>
      <c r="BH30" s="435">
        <v>4307.222932676138</v>
      </c>
      <c r="BI30" s="435">
        <v>4242.3145678240326</v>
      </c>
      <c r="BJ30" s="435">
        <v>4667.5574034757401</v>
      </c>
      <c r="BK30" s="435">
        <v>4383.231518676721</v>
      </c>
      <c r="BL30" s="435">
        <v>4652.4364391825347</v>
      </c>
      <c r="BM30" s="435">
        <v>4680.9521822275929</v>
      </c>
      <c r="BN30" s="435">
        <v>4678.4225169732681</v>
      </c>
      <c r="BO30" s="435">
        <v>4551.8494989087394</v>
      </c>
      <c r="BP30" s="435">
        <v>4763.6231018888839</v>
      </c>
      <c r="BQ30" s="435">
        <v>4457.6262974285746</v>
      </c>
      <c r="BR30" s="435">
        <v>4709.2431243544625</v>
      </c>
      <c r="BS30" s="435">
        <v>4773.5204185700304</v>
      </c>
      <c r="BT30" s="425">
        <f>SUM(BH30:BS30)</f>
        <v>54868.000002186724</v>
      </c>
      <c r="BU30" s="433" t="s">
        <v>733</v>
      </c>
    </row>
    <row r="31" spans="1:76" s="433" customFormat="1">
      <c r="A31" s="315"/>
      <c r="D31" s="433" t="s">
        <v>594</v>
      </c>
      <c r="M31" s="434"/>
      <c r="R31" s="435">
        <v>-9416.6666666666697</v>
      </c>
      <c r="S31" s="435">
        <v>-9416.6666666666697</v>
      </c>
      <c r="T31" s="435">
        <v>-9416.6666666666697</v>
      </c>
      <c r="U31" s="435">
        <v>-9416.6666666666697</v>
      </c>
      <c r="V31" s="435">
        <v>-9416.6666666666697</v>
      </c>
      <c r="W31" s="435">
        <v>-9416.6666666666697</v>
      </c>
      <c r="X31" s="435">
        <v>-9416.6666666666697</v>
      </c>
      <c r="Y31" s="435">
        <v>-9416.6666666666697</v>
      </c>
      <c r="Z31" s="435">
        <v>-9416.6666666666697</v>
      </c>
      <c r="AA31" s="435">
        <v>-9416.6666666666697</v>
      </c>
      <c r="AB31" s="435">
        <v>-9416.6666666666697</v>
      </c>
      <c r="AC31" s="435">
        <v>-9416.6666666666697</v>
      </c>
      <c r="AD31" s="436"/>
      <c r="AE31" s="437"/>
      <c r="AF31" s="437"/>
      <c r="AG31" s="437"/>
      <c r="AH31" s="437"/>
      <c r="AI31" s="437"/>
      <c r="AJ31" s="437"/>
      <c r="AK31" s="437"/>
      <c r="AL31" s="437"/>
      <c r="AM31" s="437"/>
      <c r="AN31" s="437"/>
      <c r="AO31" s="437"/>
      <c r="AP31" s="437"/>
      <c r="AQ31" s="437">
        <f>2662876497+5737123503+955616384+2058859742</f>
        <v>11414476126</v>
      </c>
      <c r="AR31" s="437"/>
      <c r="AS31" s="437"/>
      <c r="AT31" s="437"/>
      <c r="AU31" s="437"/>
      <c r="AV31" s="437"/>
      <c r="AW31" s="437"/>
      <c r="AX31" s="437"/>
      <c r="AY31" s="437"/>
      <c r="AZ31" s="437"/>
      <c r="BA31" s="437"/>
      <c r="BB31" s="437"/>
      <c r="BC31" s="437"/>
      <c r="BD31" s="437">
        <f>2662876497+5737123503+955616384+2058859742</f>
        <v>11414476126</v>
      </c>
      <c r="BE31" s="437"/>
      <c r="BF31" s="437"/>
      <c r="BG31" s="437"/>
      <c r="BH31" s="435"/>
      <c r="BI31" s="435"/>
      <c r="BJ31" s="435"/>
      <c r="BK31" s="435"/>
      <c r="BL31" s="435"/>
      <c r="BM31" s="435"/>
      <c r="BN31" s="435"/>
      <c r="BO31" s="435"/>
      <c r="BP31" s="435"/>
      <c r="BQ31" s="435"/>
      <c r="BR31" s="435"/>
      <c r="BS31" s="435"/>
      <c r="BT31" s="435"/>
    </row>
    <row r="32" spans="1:76" s="433" customFormat="1">
      <c r="A32" s="315"/>
      <c r="D32" s="433" t="s">
        <v>595</v>
      </c>
      <c r="M32" s="434"/>
      <c r="R32" s="435">
        <v>10956.27253</v>
      </c>
      <c r="S32" s="435">
        <v>12556.27253</v>
      </c>
      <c r="T32" s="435">
        <v>9356.2724500000004</v>
      </c>
      <c r="U32" s="435">
        <v>10956.27253</v>
      </c>
      <c r="V32" s="435">
        <v>10956.27253</v>
      </c>
      <c r="W32" s="435">
        <v>10956.27253</v>
      </c>
      <c r="X32" s="435">
        <v>10956.27253</v>
      </c>
      <c r="Y32" s="435">
        <v>10956.27253</v>
      </c>
      <c r="Z32" s="435">
        <v>10956.27253</v>
      </c>
      <c r="AA32" s="435">
        <v>10956.27253</v>
      </c>
      <c r="AB32" s="435">
        <v>10956.27253</v>
      </c>
      <c r="AC32" s="435">
        <v>10956.27253</v>
      </c>
      <c r="AD32" s="436">
        <f>SUM(R32:AC32)</f>
        <v>131475.27028</v>
      </c>
      <c r="AE32" s="437"/>
      <c r="AF32" s="437"/>
      <c r="AG32" s="437"/>
      <c r="AH32" s="437"/>
      <c r="AI32" s="437"/>
      <c r="AJ32" s="437"/>
      <c r="AK32" s="437"/>
      <c r="AL32" s="437"/>
      <c r="AM32" s="437"/>
      <c r="AN32" s="437"/>
      <c r="AO32" s="437"/>
      <c r="AP32" s="437"/>
      <c r="AQ32" s="437">
        <f>AQ31/10^6</f>
        <v>11414.476126</v>
      </c>
      <c r="AR32" s="437"/>
      <c r="AS32" s="437"/>
      <c r="AT32" s="437"/>
      <c r="AU32" s="437"/>
      <c r="AV32" s="437"/>
      <c r="AW32" s="437"/>
      <c r="AX32" s="437"/>
      <c r="AY32" s="437"/>
      <c r="AZ32" s="437"/>
      <c r="BA32" s="437"/>
      <c r="BB32" s="437"/>
      <c r="BC32" s="437"/>
      <c r="BD32" s="437">
        <f>BD31/10^6</f>
        <v>11414.476126</v>
      </c>
      <c r="BE32" s="437"/>
      <c r="BF32" s="437"/>
      <c r="BG32" s="437"/>
      <c r="BH32" s="435"/>
      <c r="BI32" s="435"/>
      <c r="BJ32" s="435"/>
      <c r="BK32" s="435"/>
      <c r="BL32" s="435"/>
      <c r="BM32" s="435"/>
      <c r="BN32" s="435"/>
      <c r="BO32" s="435"/>
      <c r="BP32" s="435"/>
      <c r="BQ32" s="435"/>
      <c r="BR32" s="435"/>
      <c r="BS32" s="435"/>
      <c r="BT32" s="435"/>
    </row>
    <row r="33" spans="2:72" s="33" customFormat="1">
      <c r="M33" s="438"/>
      <c r="R33" s="403"/>
      <c r="S33" s="403"/>
      <c r="T33" s="403"/>
      <c r="U33" s="403"/>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6"/>
      <c r="BD33" s="426"/>
      <c r="BE33" s="426"/>
      <c r="BF33" s="426"/>
      <c r="BG33" s="426"/>
    </row>
    <row r="34" spans="2:72" s="33" customFormat="1">
      <c r="D34" s="439" t="s">
        <v>566</v>
      </c>
    </row>
    <row r="35" spans="2:72" s="415" customFormat="1" ht="26">
      <c r="B35" s="410" t="s">
        <v>0</v>
      </c>
      <c r="C35" s="410" t="s">
        <v>505</v>
      </c>
      <c r="D35" s="410" t="s">
        <v>534</v>
      </c>
      <c r="E35" s="411" t="s">
        <v>550</v>
      </c>
      <c r="F35" s="411" t="s">
        <v>551</v>
      </c>
      <c r="G35" s="411" t="s">
        <v>552</v>
      </c>
      <c r="H35" s="411" t="s">
        <v>553</v>
      </c>
      <c r="I35" s="411" t="s">
        <v>554</v>
      </c>
      <c r="J35" s="411" t="s">
        <v>555</v>
      </c>
      <c r="K35" s="411" t="s">
        <v>556</v>
      </c>
      <c r="L35" s="411" t="s">
        <v>557</v>
      </c>
      <c r="M35" s="411" t="s">
        <v>558</v>
      </c>
      <c r="N35" s="411" t="s">
        <v>559</v>
      </c>
      <c r="O35" s="411" t="s">
        <v>560</v>
      </c>
      <c r="P35" s="411" t="s">
        <v>561</v>
      </c>
      <c r="Q35" s="411" t="s">
        <v>483</v>
      </c>
      <c r="R35" s="411" t="s">
        <v>506</v>
      </c>
      <c r="S35" s="411" t="s">
        <v>507</v>
      </c>
      <c r="T35" s="411" t="s">
        <v>508</v>
      </c>
      <c r="U35" s="411" t="s">
        <v>509</v>
      </c>
      <c r="V35" s="411" t="s">
        <v>510</v>
      </c>
      <c r="W35" s="411" t="s">
        <v>511</v>
      </c>
      <c r="X35" s="411" t="s">
        <v>512</v>
      </c>
      <c r="Y35" s="411" t="s">
        <v>513</v>
      </c>
      <c r="Z35" s="411" t="s">
        <v>514</v>
      </c>
      <c r="AA35" s="411" t="s">
        <v>515</v>
      </c>
      <c r="AB35" s="411" t="s">
        <v>516</v>
      </c>
      <c r="AC35" s="411" t="s">
        <v>517</v>
      </c>
      <c r="AD35" s="412" t="str">
        <f>AD4</f>
        <v>Lũy kế TT 2024</v>
      </c>
      <c r="AE35" s="795" t="s">
        <v>482</v>
      </c>
      <c r="AF35" s="796" t="s">
        <v>721</v>
      </c>
      <c r="AG35" s="796" t="s">
        <v>722</v>
      </c>
      <c r="AH35" s="796" t="s">
        <v>723</v>
      </c>
      <c r="AI35" s="796" t="s">
        <v>724</v>
      </c>
      <c r="AJ35" s="796" t="s">
        <v>725</v>
      </c>
      <c r="AK35" s="796" t="s">
        <v>726</v>
      </c>
      <c r="AL35" s="796" t="s">
        <v>727</v>
      </c>
      <c r="AM35" s="796" t="s">
        <v>728</v>
      </c>
      <c r="AN35" s="796" t="s">
        <v>729</v>
      </c>
      <c r="AO35" s="796" t="s">
        <v>730</v>
      </c>
      <c r="AP35" s="796" t="s">
        <v>731</v>
      </c>
      <c r="AQ35" s="796" t="s">
        <v>732</v>
      </c>
      <c r="AR35" s="796" t="s">
        <v>741</v>
      </c>
      <c r="AS35" s="796" t="str">
        <f>AS4</f>
        <v>T1.26</v>
      </c>
      <c r="AT35" s="796" t="str">
        <f t="shared" ref="AT35:BE35" si="24">AT4</f>
        <v>T2.26</v>
      </c>
      <c r="AU35" s="796" t="str">
        <f t="shared" si="24"/>
        <v>T3.26</v>
      </c>
      <c r="AV35" s="796" t="str">
        <f t="shared" si="24"/>
        <v>T4.26</v>
      </c>
      <c r="AW35" s="796" t="str">
        <f t="shared" si="24"/>
        <v>T5.26</v>
      </c>
      <c r="AX35" s="796" t="str">
        <f t="shared" si="24"/>
        <v>T6.26</v>
      </c>
      <c r="AY35" s="796" t="str">
        <f t="shared" si="24"/>
        <v>T7.26</v>
      </c>
      <c r="AZ35" s="796" t="str">
        <f t="shared" si="24"/>
        <v>T8.26</v>
      </c>
      <c r="BA35" s="796" t="str">
        <f t="shared" si="24"/>
        <v>T9.26</v>
      </c>
      <c r="BB35" s="796" t="str">
        <f t="shared" si="24"/>
        <v>T10.26</v>
      </c>
      <c r="BC35" s="796" t="str">
        <f t="shared" si="24"/>
        <v>T11.26</v>
      </c>
      <c r="BD35" s="796" t="str">
        <f t="shared" si="24"/>
        <v>T12.26</v>
      </c>
      <c r="BE35" s="796" t="str">
        <f t="shared" si="24"/>
        <v>BQ 2026</v>
      </c>
      <c r="BF35" s="412" t="str">
        <f>BF4</f>
        <v>KH T5.2026</v>
      </c>
      <c r="BG35" s="440"/>
    </row>
    <row r="36" spans="2:72" s="33" customFormat="1">
      <c r="B36" s="416" t="s">
        <v>520</v>
      </c>
      <c r="C36" s="417" t="s">
        <v>521</v>
      </c>
      <c r="D36" s="417"/>
      <c r="E36" s="418"/>
      <c r="F36" s="418"/>
      <c r="G36" s="418"/>
      <c r="H36" s="418"/>
      <c r="I36" s="418"/>
      <c r="J36" s="418"/>
      <c r="K36" s="418"/>
      <c r="L36" s="418"/>
      <c r="M36" s="418"/>
      <c r="N36" s="418"/>
      <c r="O36" s="418"/>
      <c r="P36" s="418"/>
      <c r="Q36" s="418"/>
      <c r="R36" s="418"/>
      <c r="S36" s="418"/>
      <c r="T36" s="418"/>
      <c r="U36" s="418"/>
      <c r="V36" s="418"/>
      <c r="W36" s="418"/>
      <c r="X36" s="418"/>
      <c r="Y36" s="418"/>
      <c r="Z36" s="418"/>
      <c r="AA36" s="418"/>
      <c r="AB36" s="418"/>
      <c r="AC36" s="418"/>
      <c r="AD36" s="419"/>
      <c r="AE36" s="419"/>
      <c r="AF36" s="419"/>
      <c r="AG36" s="419"/>
      <c r="AH36" s="419"/>
      <c r="AI36" s="419"/>
      <c r="AJ36" s="419"/>
      <c r="AK36" s="419"/>
      <c r="AL36" s="419"/>
      <c r="AM36" s="419"/>
      <c r="AN36" s="419"/>
      <c r="AO36" s="419"/>
      <c r="AP36" s="419"/>
      <c r="AQ36" s="419"/>
      <c r="AR36" s="419"/>
      <c r="AS36" s="419"/>
      <c r="AT36" s="419"/>
      <c r="AU36" s="419"/>
      <c r="AV36" s="419"/>
      <c r="AW36" s="419"/>
      <c r="AX36" s="419"/>
      <c r="AY36" s="419"/>
      <c r="AZ36" s="419"/>
      <c r="BA36" s="419"/>
      <c r="BB36" s="419"/>
      <c r="BC36" s="419"/>
      <c r="BD36" s="419"/>
      <c r="BE36" s="419"/>
      <c r="BF36" s="419"/>
      <c r="BG36" s="420"/>
      <c r="BH36" s="421"/>
      <c r="BI36" s="421"/>
      <c r="BJ36" s="421"/>
      <c r="BK36" s="421"/>
      <c r="BL36" s="421"/>
      <c r="BM36" s="421"/>
      <c r="BN36" s="421"/>
      <c r="BO36" s="421"/>
      <c r="BP36" s="421"/>
      <c r="BQ36" s="421"/>
      <c r="BR36" s="421"/>
      <c r="BS36" s="421"/>
      <c r="BT36" s="421"/>
    </row>
    <row r="37" spans="2:72" s="33" customFormat="1">
      <c r="B37" s="422">
        <v>1</v>
      </c>
      <c r="C37" s="422" t="s">
        <v>425</v>
      </c>
      <c r="D37" s="422" t="s">
        <v>427</v>
      </c>
      <c r="E37" s="442">
        <f t="shared" ref="E37:AE46" si="25">E6/E$25</f>
        <v>0.55703483178111934</v>
      </c>
      <c r="F37" s="442">
        <f t="shared" si="25"/>
        <v>0.63503585233586823</v>
      </c>
      <c r="G37" s="442">
        <f t="shared" si="25"/>
        <v>0.65906487628532739</v>
      </c>
      <c r="H37" s="442">
        <f t="shared" si="25"/>
        <v>0.6428714784688323</v>
      </c>
      <c r="I37" s="442">
        <f t="shared" si="25"/>
        <v>0.67443854639654777</v>
      </c>
      <c r="J37" s="442">
        <f t="shared" si="25"/>
        <v>0.63418488859827293</v>
      </c>
      <c r="K37" s="442">
        <f t="shared" si="25"/>
        <v>0.66739303680836892</v>
      </c>
      <c r="L37" s="442">
        <f t="shared" si="25"/>
        <v>0.668208192525797</v>
      </c>
      <c r="M37" s="442">
        <f t="shared" si="25"/>
        <v>0.6671624957133091</v>
      </c>
      <c r="N37" s="442">
        <f t="shared" si="25"/>
        <v>0.67396420723888473</v>
      </c>
      <c r="O37" s="442">
        <f t="shared" si="25"/>
        <v>0.61363454317677679</v>
      </c>
      <c r="P37" s="442">
        <f t="shared" si="25"/>
        <v>0.74476772781553624</v>
      </c>
      <c r="Q37" s="442">
        <f t="shared" si="25"/>
        <v>0.66282755247492631</v>
      </c>
      <c r="R37" s="442">
        <f t="shared" si="25"/>
        <v>0.71606015677782131</v>
      </c>
      <c r="S37" s="442">
        <f t="shared" si="25"/>
        <v>0.64440616281335439</v>
      </c>
      <c r="T37" s="442">
        <f t="shared" si="25"/>
        <v>0.73494058932301243</v>
      </c>
      <c r="U37" s="442">
        <f t="shared" si="25"/>
        <v>0.70635357942437249</v>
      </c>
      <c r="V37" s="442">
        <f t="shared" si="25"/>
        <v>0.70153105344986888</v>
      </c>
      <c r="W37" s="442">
        <f t="shared" si="25"/>
        <v>0.64254368872626544</v>
      </c>
      <c r="X37" s="442">
        <f t="shared" si="25"/>
        <v>0.5186845583495665</v>
      </c>
      <c r="Y37" s="442">
        <f t="shared" si="25"/>
        <v>0.53802510565674333</v>
      </c>
      <c r="Z37" s="442">
        <f t="shared" si="25"/>
        <v>0.58904099012185085</v>
      </c>
      <c r="AA37" s="442">
        <f t="shared" si="25"/>
        <v>0.67523213796881432</v>
      </c>
      <c r="AB37" s="442">
        <f t="shared" si="25"/>
        <v>0.690272047873567</v>
      </c>
      <c r="AC37" s="441">
        <f t="shared" si="25"/>
        <v>0.55977317339774368</v>
      </c>
      <c r="AD37" s="442">
        <f t="shared" si="25"/>
        <v>0.65481607324732594</v>
      </c>
      <c r="AE37" s="442">
        <f t="shared" si="25"/>
        <v>0.65481607324732594</v>
      </c>
      <c r="AF37" s="442">
        <f>AF6/AF$25</f>
        <v>0.47610798832850182</v>
      </c>
      <c r="AG37" s="442">
        <f t="shared" ref="AG37:AP47" si="26">AG6/AG$25</f>
        <v>0.58908271555672576</v>
      </c>
      <c r="AH37" s="442">
        <f t="shared" si="26"/>
        <v>0.68874838681146222</v>
      </c>
      <c r="AI37" s="442">
        <f t="shared" si="26"/>
        <v>0.65987883686566062</v>
      </c>
      <c r="AJ37" s="442">
        <f t="shared" si="26"/>
        <v>0.68791909802710116</v>
      </c>
      <c r="AK37" s="442">
        <f t="shared" si="26"/>
        <v>0.65480278455580498</v>
      </c>
      <c r="AL37" s="442">
        <f t="shared" si="26"/>
        <v>0.66393710199356115</v>
      </c>
      <c r="AM37" s="442">
        <f t="shared" si="26"/>
        <v>0.65823343976876647</v>
      </c>
      <c r="AN37" s="442">
        <f t="shared" si="26"/>
        <v>0.64752641217340523</v>
      </c>
      <c r="AO37" s="442">
        <f t="shared" si="26"/>
        <v>0.55997337174881423</v>
      </c>
      <c r="AP37" s="442">
        <f t="shared" si="26"/>
        <v>0.48512242855859034</v>
      </c>
      <c r="AQ37" s="442"/>
      <c r="AR37" s="442">
        <f>AR6/AR$25</f>
        <v>0.62380071550470884</v>
      </c>
      <c r="AS37" s="442">
        <f>AS6/AS$25</f>
        <v>0.57055934125437657</v>
      </c>
      <c r="AT37" s="442">
        <f t="shared" ref="AT37:BF47" si="27">AT6/AT$25</f>
        <v>0.48379753341658788</v>
      </c>
      <c r="AU37" s="442">
        <f t="shared" si="27"/>
        <v>0.64420721263752601</v>
      </c>
      <c r="AV37" s="442">
        <f t="shared" si="27"/>
        <v>0.62889656515639669</v>
      </c>
      <c r="AW37" s="442">
        <f t="shared" si="27"/>
        <v>0.59811095981408102</v>
      </c>
      <c r="AX37" s="442" t="e">
        <f t="shared" si="27"/>
        <v>#DIV/0!</v>
      </c>
      <c r="AY37" s="442" t="e">
        <f t="shared" si="27"/>
        <v>#DIV/0!</v>
      </c>
      <c r="AZ37" s="442" t="e">
        <f t="shared" si="27"/>
        <v>#DIV/0!</v>
      </c>
      <c r="BA37" s="442" t="e">
        <f t="shared" si="27"/>
        <v>#DIV/0!</v>
      </c>
      <c r="BB37" s="442" t="e">
        <f t="shared" si="27"/>
        <v>#DIV/0!</v>
      </c>
      <c r="BC37" s="442" t="e">
        <f t="shared" si="27"/>
        <v>#DIV/0!</v>
      </c>
      <c r="BD37" s="442" t="e">
        <f t="shared" si="27"/>
        <v>#DIV/0!</v>
      </c>
      <c r="BE37" s="442">
        <f t="shared" si="27"/>
        <v>0.596363460086621</v>
      </c>
      <c r="BF37" s="442">
        <f t="shared" si="27"/>
        <v>0.6136154079260262</v>
      </c>
      <c r="BG37" s="443"/>
    </row>
    <row r="38" spans="2:72" s="33" customFormat="1">
      <c r="B38" s="422">
        <f>+B37+1</f>
        <v>2</v>
      </c>
      <c r="C38" s="422" t="s">
        <v>425</v>
      </c>
      <c r="D38" s="422" t="s">
        <v>428</v>
      </c>
      <c r="E38" s="442">
        <f t="shared" si="25"/>
        <v>3.99802772804254E-2</v>
      </c>
      <c r="F38" s="442">
        <f t="shared" si="25"/>
        <v>4.7895743872994057E-2</v>
      </c>
      <c r="G38" s="442">
        <f t="shared" si="25"/>
        <v>4.5983295437796896E-2</v>
      </c>
      <c r="H38" s="442">
        <f t="shared" si="25"/>
        <v>4.880095138981505E-2</v>
      </c>
      <c r="I38" s="442">
        <f t="shared" si="25"/>
        <v>4.7569116801237377E-2</v>
      </c>
      <c r="J38" s="442">
        <f t="shared" si="25"/>
        <v>5.1003851462730648E-2</v>
      </c>
      <c r="K38" s="442">
        <f t="shared" si="25"/>
        <v>5.2223660926674242E-2</v>
      </c>
      <c r="L38" s="442">
        <f t="shared" si="25"/>
        <v>4.7721322485280999E-2</v>
      </c>
      <c r="M38" s="442">
        <f t="shared" si="25"/>
        <v>5.2789033660662656E-2</v>
      </c>
      <c r="N38" s="442">
        <f t="shared" si="25"/>
        <v>5.3417903702734207E-2</v>
      </c>
      <c r="O38" s="442">
        <f t="shared" si="25"/>
        <v>5.5091337428441793E-2</v>
      </c>
      <c r="P38" s="442">
        <f t="shared" si="25"/>
        <v>5.4204711141660464E-2</v>
      </c>
      <c r="Q38" s="442">
        <f t="shared" si="25"/>
        <v>5.0303526465740087E-2</v>
      </c>
      <c r="R38" s="442">
        <f t="shared" si="25"/>
        <v>4.7966523898170202E-2</v>
      </c>
      <c r="S38" s="442">
        <f t="shared" si="25"/>
        <v>4.8912586173618024E-2</v>
      </c>
      <c r="T38" s="442">
        <f t="shared" si="25"/>
        <v>4.0786060632805335E-2</v>
      </c>
      <c r="U38" s="442">
        <f t="shared" si="25"/>
        <v>4.6173857355465572E-2</v>
      </c>
      <c r="V38" s="442">
        <f t="shared" si="25"/>
        <v>4.9104470064247625E-2</v>
      </c>
      <c r="W38" s="442">
        <f t="shared" si="25"/>
        <v>4.9060036915075433E-2</v>
      </c>
      <c r="X38" s="442">
        <f t="shared" si="25"/>
        <v>4.6548721456662522E-2</v>
      </c>
      <c r="Y38" s="442">
        <f t="shared" si="25"/>
        <v>4.7898261263418083E-2</v>
      </c>
      <c r="Z38" s="442">
        <f t="shared" si="25"/>
        <v>5.1714711914762644E-2</v>
      </c>
      <c r="AA38" s="442">
        <f t="shared" si="25"/>
        <v>4.6887575120421437E-2</v>
      </c>
      <c r="AB38" s="442">
        <f t="shared" si="25"/>
        <v>5.0779031235764459E-2</v>
      </c>
      <c r="AC38" s="441">
        <f t="shared" si="25"/>
        <v>4.5082317980382022E-2</v>
      </c>
      <c r="AD38" s="442">
        <f t="shared" si="25"/>
        <v>4.7460546290475226E-2</v>
      </c>
      <c r="AE38" s="442">
        <f t="shared" si="25"/>
        <v>4.7460546290475233E-2</v>
      </c>
      <c r="AF38" s="442">
        <f t="shared" ref="AF38:AF45" si="28">AF7/AF$25</f>
        <v>4.5511801716155868E-2</v>
      </c>
      <c r="AG38" s="442">
        <f t="shared" si="26"/>
        <v>4.5039798457844289E-2</v>
      </c>
      <c r="AH38" s="442">
        <f t="shared" si="26"/>
        <v>4.8337889462145678E-2</v>
      </c>
      <c r="AI38" s="442">
        <f t="shared" si="26"/>
        <v>4.9979002967759402E-2</v>
      </c>
      <c r="AJ38" s="442">
        <f t="shared" si="26"/>
        <v>4.6893135336105903E-2</v>
      </c>
      <c r="AK38" s="442">
        <f t="shared" si="26"/>
        <v>4.9660289708454222E-2</v>
      </c>
      <c r="AL38" s="442">
        <f t="shared" si="26"/>
        <v>5.0597974615448724E-2</v>
      </c>
      <c r="AM38" s="442">
        <f t="shared" si="26"/>
        <v>5.1220636281413649E-2</v>
      </c>
      <c r="AN38" s="442">
        <f t="shared" si="26"/>
        <v>4.9723693948222139E-2</v>
      </c>
      <c r="AO38" s="442">
        <f t="shared" si="26"/>
        <v>5.7902677066953456E-2</v>
      </c>
      <c r="AP38" s="442">
        <f t="shared" si="26"/>
        <v>5.0537725863158231E-2</v>
      </c>
      <c r="AQ38" s="442"/>
      <c r="AR38" s="442">
        <f t="shared" ref="AR38:AS47" si="29">AR7/AR$25</f>
        <v>4.9037534045587222E-2</v>
      </c>
      <c r="AS38" s="442">
        <f t="shared" si="29"/>
        <v>4.3106895724107017E-2</v>
      </c>
      <c r="AT38" s="442">
        <f t="shared" si="27"/>
        <v>3.6988987927818281E-2</v>
      </c>
      <c r="AU38" s="442">
        <f t="shared" si="27"/>
        <v>4.6681098225131508E-2</v>
      </c>
      <c r="AV38" s="442">
        <f t="shared" si="27"/>
        <v>4.6589185661702399E-2</v>
      </c>
      <c r="AW38" s="442">
        <f t="shared" si="27"/>
        <v>5.2258646688881076E-2</v>
      </c>
      <c r="AX38" s="442" t="e">
        <f t="shared" si="27"/>
        <v>#DIV/0!</v>
      </c>
      <c r="AY38" s="442" t="e">
        <f t="shared" si="27"/>
        <v>#DIV/0!</v>
      </c>
      <c r="AZ38" s="442" t="e">
        <f t="shared" si="27"/>
        <v>#DIV/0!</v>
      </c>
      <c r="BA38" s="442" t="e">
        <f t="shared" si="27"/>
        <v>#DIV/0!</v>
      </c>
      <c r="BB38" s="442" t="e">
        <f t="shared" si="27"/>
        <v>#DIV/0!</v>
      </c>
      <c r="BC38" s="442" t="e">
        <f t="shared" si="27"/>
        <v>#DIV/0!</v>
      </c>
      <c r="BD38" s="442" t="e">
        <f t="shared" si="27"/>
        <v>#DIV/0!</v>
      </c>
      <c r="BE38" s="442">
        <f t="shared" si="27"/>
        <v>4.5953113464625085E-2</v>
      </c>
      <c r="BF38" s="442">
        <f t="shared" si="27"/>
        <v>4.0298258202280321E-2</v>
      </c>
      <c r="BG38" s="443"/>
    </row>
    <row r="39" spans="2:72" s="444" customFormat="1">
      <c r="B39" s="422">
        <f t="shared" ref="B39:B47" si="30">+B38+1</f>
        <v>3</v>
      </c>
      <c r="C39" s="422" t="s">
        <v>425</v>
      </c>
      <c r="D39" s="422" t="s">
        <v>429</v>
      </c>
      <c r="E39" s="442">
        <f t="shared" si="25"/>
        <v>0</v>
      </c>
      <c r="F39" s="442">
        <f t="shared" si="25"/>
        <v>0</v>
      </c>
      <c r="G39" s="442">
        <f t="shared" si="25"/>
        <v>9.0273429316429475E-3</v>
      </c>
      <c r="H39" s="442">
        <f t="shared" si="25"/>
        <v>7.8505812745807615E-3</v>
      </c>
      <c r="I39" s="442">
        <f t="shared" si="25"/>
        <v>6.3754389081411376E-3</v>
      </c>
      <c r="J39" s="442">
        <f t="shared" si="25"/>
        <v>1.2422746729444777E-2</v>
      </c>
      <c r="K39" s="442">
        <f t="shared" si="25"/>
        <v>7.6928020967309422E-3</v>
      </c>
      <c r="L39" s="442">
        <f t="shared" si="25"/>
        <v>1.1419390222232328E-2</v>
      </c>
      <c r="M39" s="442">
        <f t="shared" si="25"/>
        <v>6.7479885005025629E-3</v>
      </c>
      <c r="N39" s="442">
        <f t="shared" si="25"/>
        <v>1.1947658327792317E-2</v>
      </c>
      <c r="O39" s="442">
        <f t="shared" si="25"/>
        <v>1.2267497876366034E-2</v>
      </c>
      <c r="P39" s="442">
        <f t="shared" si="25"/>
        <v>5.5380325795145692E-3</v>
      </c>
      <c r="Q39" s="442">
        <f t="shared" si="25"/>
        <v>7.8426323062220846E-3</v>
      </c>
      <c r="R39" s="442">
        <f t="shared" si="25"/>
        <v>4.5741758869637644E-3</v>
      </c>
      <c r="S39" s="442">
        <f t="shared" si="25"/>
        <v>4.358438590714513E-3</v>
      </c>
      <c r="T39" s="442">
        <f t="shared" si="25"/>
        <v>4.6915292194228365E-3</v>
      </c>
      <c r="U39" s="442">
        <f t="shared" si="25"/>
        <v>8.7744103261218308E-3</v>
      </c>
      <c r="V39" s="442">
        <f t="shared" si="25"/>
        <v>6.7885912573051694E-3</v>
      </c>
      <c r="W39" s="442">
        <f t="shared" si="25"/>
        <v>1.4754514799195789E-2</v>
      </c>
      <c r="X39" s="442">
        <f t="shared" si="25"/>
        <v>1.215277069802009E-2</v>
      </c>
      <c r="Y39" s="442">
        <f t="shared" si="25"/>
        <v>2.5141600789606627E-2</v>
      </c>
      <c r="Z39" s="442">
        <f t="shared" si="25"/>
        <v>1.423313873703342E-2</v>
      </c>
      <c r="AA39" s="442">
        <f t="shared" si="25"/>
        <v>8.1399091346708672E-3</v>
      </c>
      <c r="AB39" s="442">
        <f t="shared" si="25"/>
        <v>5.9498395792286106E-3</v>
      </c>
      <c r="AC39" s="441">
        <f t="shared" si="25"/>
        <v>1.5516205440322062E-2</v>
      </c>
      <c r="AD39" s="442">
        <f t="shared" si="25"/>
        <v>9.7341165508571699E-3</v>
      </c>
      <c r="AE39" s="442">
        <f t="shared" si="25"/>
        <v>9.7341165508571699E-3</v>
      </c>
      <c r="AF39" s="442">
        <f t="shared" si="28"/>
        <v>1.9874865210922611E-2</v>
      </c>
      <c r="AG39" s="442">
        <f t="shared" si="26"/>
        <v>2.0318218715099031E-2</v>
      </c>
      <c r="AH39" s="442">
        <f t="shared" si="26"/>
        <v>7.4503220956670503E-3</v>
      </c>
      <c r="AI39" s="442">
        <f t="shared" si="26"/>
        <v>9.6173401492985755E-3</v>
      </c>
      <c r="AJ39" s="442">
        <f t="shared" si="26"/>
        <v>7.5792505523012308E-3</v>
      </c>
      <c r="AK39" s="442">
        <f t="shared" si="26"/>
        <v>7.8182716667449768E-3</v>
      </c>
      <c r="AL39" s="442">
        <f t="shared" si="26"/>
        <v>8.3610429910570966E-3</v>
      </c>
      <c r="AM39" s="442">
        <f t="shared" si="26"/>
        <v>1.2270119903765036E-2</v>
      </c>
      <c r="AN39" s="442">
        <f t="shared" si="26"/>
        <v>8.8624032630151076E-3</v>
      </c>
      <c r="AO39" s="442">
        <f t="shared" si="26"/>
        <v>2.0076932833612293E-2</v>
      </c>
      <c r="AP39" s="442">
        <f t="shared" si="26"/>
        <v>1.7747250702868277E-2</v>
      </c>
      <c r="AQ39" s="442"/>
      <c r="AR39" s="442">
        <f t="shared" si="29"/>
        <v>1.1499288163987891E-2</v>
      </c>
      <c r="AS39" s="442">
        <f t="shared" si="29"/>
        <v>1.7125352606235857E-2</v>
      </c>
      <c r="AT39" s="442">
        <f t="shared" si="27"/>
        <v>1.745877751008083E-2</v>
      </c>
      <c r="AU39" s="442">
        <f t="shared" si="27"/>
        <v>2.5762232131283189E-2</v>
      </c>
      <c r="AV39" s="442">
        <f t="shared" si="27"/>
        <v>2.44362791622048E-2</v>
      </c>
      <c r="AW39" s="442">
        <f t="shared" si="27"/>
        <v>2.4583615488225356E-2</v>
      </c>
      <c r="AX39" s="442" t="e">
        <f t="shared" si="27"/>
        <v>#DIV/0!</v>
      </c>
      <c r="AY39" s="442" t="e">
        <f t="shared" si="27"/>
        <v>#DIV/0!</v>
      </c>
      <c r="AZ39" s="442" t="e">
        <f t="shared" si="27"/>
        <v>#DIV/0!</v>
      </c>
      <c r="BA39" s="442" t="e">
        <f t="shared" si="27"/>
        <v>#DIV/0!</v>
      </c>
      <c r="BB39" s="442" t="e">
        <f t="shared" si="27"/>
        <v>#DIV/0!</v>
      </c>
      <c r="BC39" s="442" t="e">
        <f t="shared" si="27"/>
        <v>#DIV/0!</v>
      </c>
      <c r="BD39" s="442" t="e">
        <f t="shared" si="27"/>
        <v>#DIV/0!</v>
      </c>
      <c r="BE39" s="442">
        <f t="shared" si="27"/>
        <v>2.2540374627557966E-2</v>
      </c>
      <c r="BF39" s="442">
        <f t="shared" si="27"/>
        <v>6.2424352850352187E-3</v>
      </c>
      <c r="BG39" s="443"/>
    </row>
    <row r="40" spans="2:72" s="444" customFormat="1">
      <c r="B40" s="422">
        <f t="shared" si="30"/>
        <v>4</v>
      </c>
      <c r="C40" s="422" t="s">
        <v>425</v>
      </c>
      <c r="D40" s="422" t="s">
        <v>431</v>
      </c>
      <c r="E40" s="442">
        <f t="shared" si="25"/>
        <v>1.9601561818778242E-3</v>
      </c>
      <c r="F40" s="442">
        <f t="shared" si="25"/>
        <v>3.1645898015389101E-3</v>
      </c>
      <c r="G40" s="442">
        <f t="shared" si="25"/>
        <v>9.1538342553767922E-3</v>
      </c>
      <c r="H40" s="442">
        <f t="shared" si="25"/>
        <v>1.3672594959554684E-2</v>
      </c>
      <c r="I40" s="442">
        <f t="shared" si="25"/>
        <v>1.6828343038524502E-2</v>
      </c>
      <c r="J40" s="442">
        <f t="shared" si="25"/>
        <v>8.7754423893876259E-3</v>
      </c>
      <c r="K40" s="442">
        <f t="shared" si="25"/>
        <v>1.7567660103056437E-2</v>
      </c>
      <c r="L40" s="442">
        <f t="shared" si="25"/>
        <v>1.8897649696290209E-2</v>
      </c>
      <c r="M40" s="442">
        <f t="shared" si="25"/>
        <v>2.0868062767456199E-2</v>
      </c>
      <c r="N40" s="442">
        <f t="shared" si="25"/>
        <v>2.8479755387925434E-2</v>
      </c>
      <c r="O40" s="442">
        <f t="shared" si="25"/>
        <v>3.0428740637590334E-2</v>
      </c>
      <c r="P40" s="442">
        <f t="shared" si="25"/>
        <v>2.1202648897902906E-2</v>
      </c>
      <c r="Q40" s="442">
        <f t="shared" si="25"/>
        <v>1.6962834739959385E-2</v>
      </c>
      <c r="R40" s="442">
        <f t="shared" si="25"/>
        <v>1.5032650077843575E-2</v>
      </c>
      <c r="S40" s="442">
        <f t="shared" si="25"/>
        <v>1.7883437977873694E-2</v>
      </c>
      <c r="T40" s="442">
        <f t="shared" si="25"/>
        <v>1.4087530595835462E-2</v>
      </c>
      <c r="U40" s="442">
        <f t="shared" si="25"/>
        <v>8.7110559317677468E-3</v>
      </c>
      <c r="V40" s="442">
        <f t="shared" si="25"/>
        <v>7.927948968219977E-3</v>
      </c>
      <c r="W40" s="442">
        <f t="shared" si="25"/>
        <v>5.9888715105620551E-3</v>
      </c>
      <c r="X40" s="442">
        <f t="shared" si="25"/>
        <v>1.6374378792870903E-2</v>
      </c>
      <c r="Y40" s="442">
        <f t="shared" si="25"/>
        <v>7.4218264876929202E-3</v>
      </c>
      <c r="Z40" s="442">
        <f t="shared" si="25"/>
        <v>1.1872533403135823E-2</v>
      </c>
      <c r="AA40" s="442">
        <f t="shared" si="25"/>
        <v>1.5933572931087391E-2</v>
      </c>
      <c r="AB40" s="442">
        <f t="shared" si="25"/>
        <v>1.3577125224350686E-2</v>
      </c>
      <c r="AC40" s="441">
        <f t="shared" si="25"/>
        <v>2.9672756167283165E-3</v>
      </c>
      <c r="AD40" s="442">
        <f t="shared" si="25"/>
        <v>1.1398974494852226E-2</v>
      </c>
      <c r="AE40" s="442">
        <f t="shared" si="25"/>
        <v>1.1398974494852228E-2</v>
      </c>
      <c r="AF40" s="442">
        <f t="shared" si="28"/>
        <v>4.7059661507084984E-3</v>
      </c>
      <c r="AG40" s="442">
        <f t="shared" si="26"/>
        <v>9.4380801046469193E-3</v>
      </c>
      <c r="AH40" s="442">
        <f t="shared" si="26"/>
        <v>1.1569132728147174E-2</v>
      </c>
      <c r="AI40" s="442">
        <f t="shared" si="26"/>
        <v>1.3211605928223753E-2</v>
      </c>
      <c r="AJ40" s="442">
        <f t="shared" si="26"/>
        <v>1.3870820065614044E-2</v>
      </c>
      <c r="AK40" s="442">
        <f t="shared" si="26"/>
        <v>1.5189540851679898E-2</v>
      </c>
      <c r="AL40" s="442">
        <f t="shared" si="26"/>
        <v>1.8066243138701039E-2</v>
      </c>
      <c r="AM40" s="442">
        <f t="shared" si="26"/>
        <v>1.6093383958708504E-2</v>
      </c>
      <c r="AN40" s="442">
        <f t="shared" si="26"/>
        <v>1.377867210549426E-2</v>
      </c>
      <c r="AO40" s="442">
        <f t="shared" si="26"/>
        <v>5.7426996539782192E-3</v>
      </c>
      <c r="AP40" s="442">
        <f t="shared" si="26"/>
        <v>6.7179528575328704E-3</v>
      </c>
      <c r="AQ40" s="442"/>
      <c r="AR40" s="442">
        <f t="shared" si="29"/>
        <v>1.2201921368418182E-2</v>
      </c>
      <c r="AS40" s="442">
        <f t="shared" si="29"/>
        <v>9.3670204107440241E-3</v>
      </c>
      <c r="AT40" s="442">
        <f t="shared" si="27"/>
        <v>4.2577467006174189E-3</v>
      </c>
      <c r="AU40" s="442">
        <f t="shared" si="27"/>
        <v>1.4378776124396742E-2</v>
      </c>
      <c r="AV40" s="442">
        <f t="shared" si="27"/>
        <v>1.1222113788637527E-2</v>
      </c>
      <c r="AW40" s="442">
        <f t="shared" si="27"/>
        <v>1.6109278914683781E-2</v>
      </c>
      <c r="AX40" s="442" t="e">
        <f t="shared" si="27"/>
        <v>#DIV/0!</v>
      </c>
      <c r="AY40" s="442" t="e">
        <f t="shared" si="27"/>
        <v>#DIV/0!</v>
      </c>
      <c r="AZ40" s="442" t="e">
        <f t="shared" si="27"/>
        <v>#DIV/0!</v>
      </c>
      <c r="BA40" s="442" t="e">
        <f t="shared" si="27"/>
        <v>#DIV/0!</v>
      </c>
      <c r="BB40" s="442" t="e">
        <f t="shared" si="27"/>
        <v>#DIV/0!</v>
      </c>
      <c r="BC40" s="442" t="e">
        <f t="shared" si="27"/>
        <v>#DIV/0!</v>
      </c>
      <c r="BD40" s="442" t="e">
        <f t="shared" si="27"/>
        <v>#DIV/0!</v>
      </c>
      <c r="BE40" s="442">
        <f t="shared" si="27"/>
        <v>1.1776496656054691E-2</v>
      </c>
      <c r="BF40" s="442">
        <f t="shared" si="27"/>
        <v>1.1096872492664714E-2</v>
      </c>
      <c r="BG40" s="443"/>
    </row>
    <row r="41" spans="2:72" s="444" customFormat="1">
      <c r="B41" s="422">
        <f t="shared" si="30"/>
        <v>5</v>
      </c>
      <c r="C41" s="422" t="s">
        <v>425</v>
      </c>
      <c r="D41" s="422" t="s">
        <v>433</v>
      </c>
      <c r="E41" s="442">
        <f t="shared" si="25"/>
        <v>1.4697345295632889E-2</v>
      </c>
      <c r="F41" s="442">
        <f t="shared" si="25"/>
        <v>1.4526559279128409E-2</v>
      </c>
      <c r="G41" s="442">
        <f t="shared" si="25"/>
        <v>1.000216838735034E-2</v>
      </c>
      <c r="H41" s="442">
        <f t="shared" si="25"/>
        <v>1.1449947661128506E-2</v>
      </c>
      <c r="I41" s="442">
        <f t="shared" si="25"/>
        <v>1.3637343088059497E-2</v>
      </c>
      <c r="J41" s="442">
        <f t="shared" si="25"/>
        <v>1.6771015414850907E-2</v>
      </c>
      <c r="K41" s="442">
        <f t="shared" si="25"/>
        <v>1.2689751907888552E-2</v>
      </c>
      <c r="L41" s="442">
        <f t="shared" si="25"/>
        <v>1.0340527695557912E-2</v>
      </c>
      <c r="M41" s="442">
        <f t="shared" si="25"/>
        <v>6.3404008114158333E-3</v>
      </c>
      <c r="N41" s="442">
        <f t="shared" si="25"/>
        <v>1.0087408677654163E-2</v>
      </c>
      <c r="O41" s="442">
        <f t="shared" si="25"/>
        <v>6.735791865499721E-3</v>
      </c>
      <c r="P41" s="442">
        <f t="shared" si="25"/>
        <v>6.8463947842233646E-3</v>
      </c>
      <c r="Q41" s="442">
        <f t="shared" si="25"/>
        <v>1.0765821834744256E-2</v>
      </c>
      <c r="R41" s="442">
        <f t="shared" si="25"/>
        <v>9.122262150555881E-3</v>
      </c>
      <c r="S41" s="442">
        <f t="shared" si="25"/>
        <v>6.0059217193747282E-3</v>
      </c>
      <c r="T41" s="442">
        <f t="shared" si="25"/>
        <v>6.8042180493069412E-3</v>
      </c>
      <c r="U41" s="442">
        <f t="shared" si="25"/>
        <v>1.1126185642570554E-2</v>
      </c>
      <c r="V41" s="442">
        <f t="shared" si="25"/>
        <v>7.8814765303750114E-3</v>
      </c>
      <c r="W41" s="442">
        <f t="shared" si="25"/>
        <v>9.2473172237986113E-3</v>
      </c>
      <c r="X41" s="442">
        <f t="shared" si="25"/>
        <v>7.9153028231554179E-3</v>
      </c>
      <c r="Y41" s="442">
        <f t="shared" si="25"/>
        <v>7.6324933852630139E-3</v>
      </c>
      <c r="Z41" s="442">
        <f t="shared" si="25"/>
        <v>6.5917493127024092E-3</v>
      </c>
      <c r="AA41" s="442">
        <f t="shared" si="25"/>
        <v>5.1958960088126062E-3</v>
      </c>
      <c r="AB41" s="442">
        <f t="shared" si="25"/>
        <v>3.0895617541521333E-3</v>
      </c>
      <c r="AC41" s="441">
        <f t="shared" si="25"/>
        <v>6.5771747529536333E-3</v>
      </c>
      <c r="AD41" s="442">
        <f t="shared" si="25"/>
        <v>7.2198022062709907E-3</v>
      </c>
      <c r="AE41" s="442">
        <f t="shared" si="25"/>
        <v>7.2198022062709925E-3</v>
      </c>
      <c r="AF41" s="442">
        <f t="shared" si="28"/>
        <v>9.2130020637647032E-3</v>
      </c>
      <c r="AG41" s="442">
        <f t="shared" si="26"/>
        <v>6.9642373551138644E-3</v>
      </c>
      <c r="AH41" s="442">
        <f t="shared" si="26"/>
        <v>5.0881919147804282E-3</v>
      </c>
      <c r="AI41" s="442">
        <f t="shared" si="26"/>
        <v>8.0766020129190864E-3</v>
      </c>
      <c r="AJ41" s="442">
        <f t="shared" si="26"/>
        <v>5.2423515221784083E-3</v>
      </c>
      <c r="AK41" s="442">
        <f t="shared" si="26"/>
        <v>5.6404007353527425E-3</v>
      </c>
      <c r="AL41" s="442">
        <f t="shared" si="26"/>
        <v>5.2527347327397189E-3</v>
      </c>
      <c r="AM41" s="442">
        <f t="shared" si="26"/>
        <v>5.9297197061737878E-3</v>
      </c>
      <c r="AN41" s="442">
        <f t="shared" si="26"/>
        <v>5.8672778437088655E-3</v>
      </c>
      <c r="AO41" s="442">
        <f t="shared" si="26"/>
        <v>5.3900975415164679E-3</v>
      </c>
      <c r="AP41" s="442">
        <f t="shared" si="26"/>
        <v>8.1013635513518308E-3</v>
      </c>
      <c r="AQ41" s="442"/>
      <c r="AR41" s="442">
        <f t="shared" si="29"/>
        <v>6.1860131136381473E-3</v>
      </c>
      <c r="AS41" s="442">
        <f t="shared" si="29"/>
        <v>7.6060953973611373E-3</v>
      </c>
      <c r="AT41" s="442">
        <f t="shared" si="27"/>
        <v>5.6846201635680233E-3</v>
      </c>
      <c r="AU41" s="442">
        <f t="shared" si="27"/>
        <v>6.6363853707405666E-3</v>
      </c>
      <c r="AV41" s="442">
        <f t="shared" si="27"/>
        <v>7.0711741560767344E-3</v>
      </c>
      <c r="AW41" s="442">
        <f t="shared" si="27"/>
        <v>6.0798998946522895E-3</v>
      </c>
      <c r="AX41" s="442" t="e">
        <f t="shared" si="27"/>
        <v>#DIV/0!</v>
      </c>
      <c r="AY41" s="442" t="e">
        <f t="shared" si="27"/>
        <v>#DIV/0!</v>
      </c>
      <c r="AZ41" s="442" t="e">
        <f t="shared" si="27"/>
        <v>#DIV/0!</v>
      </c>
      <c r="BA41" s="442" t="e">
        <f t="shared" si="27"/>
        <v>#DIV/0!</v>
      </c>
      <c r="BB41" s="442" t="e">
        <f t="shared" si="27"/>
        <v>#DIV/0!</v>
      </c>
      <c r="BC41" s="442" t="e">
        <f t="shared" si="27"/>
        <v>#DIV/0!</v>
      </c>
      <c r="BD41" s="442" t="e">
        <f t="shared" si="27"/>
        <v>#DIV/0!</v>
      </c>
      <c r="BE41" s="442">
        <f t="shared" si="27"/>
        <v>6.6723711222932526E-3</v>
      </c>
      <c r="BF41" s="442">
        <f t="shared" si="27"/>
        <v>7.4146254933930488E-3</v>
      </c>
      <c r="BG41" s="443"/>
    </row>
    <row r="42" spans="2:72" s="444" customFormat="1">
      <c r="B42" s="422">
        <f t="shared" si="30"/>
        <v>6</v>
      </c>
      <c r="C42" s="422" t="s">
        <v>425</v>
      </c>
      <c r="D42" s="422" t="s">
        <v>434</v>
      </c>
      <c r="E42" s="442">
        <f t="shared" si="25"/>
        <v>4.414870032347089E-3</v>
      </c>
      <c r="F42" s="442">
        <f t="shared" si="25"/>
        <v>6.3813397879634521E-3</v>
      </c>
      <c r="G42" s="442">
        <f t="shared" si="25"/>
        <v>5.4599187692070906E-3</v>
      </c>
      <c r="H42" s="442">
        <f t="shared" si="25"/>
        <v>5.6794874804628097E-3</v>
      </c>
      <c r="I42" s="442">
        <f t="shared" si="25"/>
        <v>6.4098976101703625E-3</v>
      </c>
      <c r="J42" s="442">
        <f t="shared" si="25"/>
        <v>7.1034828673087773E-3</v>
      </c>
      <c r="K42" s="442">
        <f t="shared" si="25"/>
        <v>6.4490669924899512E-3</v>
      </c>
      <c r="L42" s="442">
        <f t="shared" si="25"/>
        <v>6.2704499409967354E-3</v>
      </c>
      <c r="M42" s="442">
        <f t="shared" si="25"/>
        <v>6.8980012879922186E-3</v>
      </c>
      <c r="N42" s="442">
        <f t="shared" si="25"/>
        <v>6.7125427339748099E-3</v>
      </c>
      <c r="O42" s="442">
        <f t="shared" si="25"/>
        <v>6.2814390049088396E-3</v>
      </c>
      <c r="P42" s="442">
        <f t="shared" si="25"/>
        <v>7.1083363402096615E-3</v>
      </c>
      <c r="Q42" s="442">
        <f t="shared" si="25"/>
        <v>6.3768402061542733E-3</v>
      </c>
      <c r="R42" s="442">
        <f t="shared" si="25"/>
        <v>7.9441240257418951E-3</v>
      </c>
      <c r="S42" s="442">
        <f t="shared" si="25"/>
        <v>5.0361126200294502E-3</v>
      </c>
      <c r="T42" s="442">
        <f t="shared" si="25"/>
        <v>6.0654338896584878E-3</v>
      </c>
      <c r="U42" s="442">
        <f t="shared" si="25"/>
        <v>5.6315820512146822E-3</v>
      </c>
      <c r="V42" s="442">
        <f t="shared" si="25"/>
        <v>5.6524822198290086E-3</v>
      </c>
      <c r="W42" s="442">
        <f t="shared" si="25"/>
        <v>7.931579864431524E-3</v>
      </c>
      <c r="X42" s="442">
        <f t="shared" si="25"/>
        <v>4.8859145937081693E-3</v>
      </c>
      <c r="Y42" s="442">
        <f t="shared" si="25"/>
        <v>4.8841367797960332E-3</v>
      </c>
      <c r="Z42" s="442">
        <f t="shared" si="25"/>
        <v>5.7196117352947681E-3</v>
      </c>
      <c r="AA42" s="442">
        <f t="shared" si="25"/>
        <v>5.9511401761236085E-3</v>
      </c>
      <c r="AB42" s="442">
        <f t="shared" si="25"/>
        <v>6.5059467597387661E-3</v>
      </c>
      <c r="AC42" s="441">
        <f t="shared" si="25"/>
        <v>5.6479297838208254E-3</v>
      </c>
      <c r="AD42" s="442">
        <f t="shared" si="25"/>
        <v>6.0742676903446863E-3</v>
      </c>
      <c r="AE42" s="442">
        <f t="shared" si="25"/>
        <v>6.074267690344688E-3</v>
      </c>
      <c r="AF42" s="442">
        <f t="shared" si="28"/>
        <v>4.2472344232728524E-3</v>
      </c>
      <c r="AG42" s="442">
        <f t="shared" si="26"/>
        <v>5.4384315175116122E-3</v>
      </c>
      <c r="AH42" s="442">
        <f t="shared" si="26"/>
        <v>5.8201075416028092E-3</v>
      </c>
      <c r="AI42" s="442">
        <f t="shared" si="26"/>
        <v>5.3441236492984337E-3</v>
      </c>
      <c r="AJ42" s="442">
        <f t="shared" si="26"/>
        <v>6.7607639637842507E-3</v>
      </c>
      <c r="AK42" s="442">
        <f t="shared" si="26"/>
        <v>5.8414470391469926E-3</v>
      </c>
      <c r="AL42" s="442">
        <f t="shared" si="26"/>
        <v>6.0717323879651199E-3</v>
      </c>
      <c r="AM42" s="442">
        <f t="shared" si="26"/>
        <v>6.1230790093500555E-3</v>
      </c>
      <c r="AN42" s="442">
        <f t="shared" si="26"/>
        <v>6.2235315735920567E-3</v>
      </c>
      <c r="AO42" s="442">
        <f t="shared" si="26"/>
        <v>5.8756724163456422E-3</v>
      </c>
      <c r="AP42" s="442">
        <f t="shared" si="26"/>
        <v>6.1992630627734071E-3</v>
      </c>
      <c r="AQ42" s="442"/>
      <c r="AR42" s="442">
        <f t="shared" si="29"/>
        <v>5.9234561395267882E-3</v>
      </c>
      <c r="AS42" s="442">
        <f t="shared" si="29"/>
        <v>6.3763742597301694E-3</v>
      </c>
      <c r="AT42" s="442">
        <f t="shared" si="27"/>
        <v>5.1296791265501339E-3</v>
      </c>
      <c r="AU42" s="442">
        <f t="shared" si="27"/>
        <v>6.6368229715118117E-3</v>
      </c>
      <c r="AV42" s="442">
        <f t="shared" si="27"/>
        <v>8.2907347201940842E-3</v>
      </c>
      <c r="AW42" s="442">
        <f t="shared" si="27"/>
        <v>6.9705317535868191E-3</v>
      </c>
      <c r="AX42" s="442" t="e">
        <f t="shared" si="27"/>
        <v>#DIV/0!</v>
      </c>
      <c r="AY42" s="442" t="e">
        <f t="shared" si="27"/>
        <v>#DIV/0!</v>
      </c>
      <c r="AZ42" s="442" t="e">
        <f t="shared" si="27"/>
        <v>#DIV/0!</v>
      </c>
      <c r="BA42" s="442" t="e">
        <f t="shared" si="27"/>
        <v>#DIV/0!</v>
      </c>
      <c r="BB42" s="442" t="e">
        <f t="shared" si="27"/>
        <v>#DIV/0!</v>
      </c>
      <c r="BC42" s="442" t="e">
        <f t="shared" si="27"/>
        <v>#DIV/0!</v>
      </c>
      <c r="BD42" s="442" t="e">
        <f t="shared" si="27"/>
        <v>#DIV/0!</v>
      </c>
      <c r="BE42" s="442">
        <f t="shared" si="27"/>
        <v>6.8572851427786321E-3</v>
      </c>
      <c r="BF42" s="442">
        <f t="shared" si="27"/>
        <v>5.9145395663479546E-3</v>
      </c>
      <c r="BG42" s="443"/>
    </row>
    <row r="43" spans="2:72" s="444" customFormat="1">
      <c r="B43" s="422">
        <f t="shared" si="30"/>
        <v>7</v>
      </c>
      <c r="C43" s="422" t="s">
        <v>425</v>
      </c>
      <c r="D43" s="422" t="s">
        <v>435</v>
      </c>
      <c r="E43" s="442">
        <f t="shared" si="25"/>
        <v>5.3015473728359411E-3</v>
      </c>
      <c r="F43" s="442">
        <f t="shared" si="25"/>
        <v>5.5316806742799953E-3</v>
      </c>
      <c r="G43" s="442">
        <f t="shared" si="25"/>
        <v>5.3876665218982791E-3</v>
      </c>
      <c r="H43" s="442">
        <f t="shared" si="25"/>
        <v>6.1121130950650511E-3</v>
      </c>
      <c r="I43" s="442">
        <f t="shared" si="25"/>
        <v>3.2415747373385618E-3</v>
      </c>
      <c r="J43" s="442">
        <f t="shared" si="25"/>
        <v>7.216725275801689E-3</v>
      </c>
      <c r="K43" s="442">
        <f t="shared" si="25"/>
        <v>5.3352941959415017E-3</v>
      </c>
      <c r="L43" s="442">
        <f t="shared" si="25"/>
        <v>5.8891139368006298E-3</v>
      </c>
      <c r="M43" s="442">
        <f t="shared" si="25"/>
        <v>6.401101414453012E-3</v>
      </c>
      <c r="N43" s="442">
        <f t="shared" si="25"/>
        <v>6.2151711621611649E-3</v>
      </c>
      <c r="O43" s="442">
        <f t="shared" si="25"/>
        <v>8.7493898706754239E-3</v>
      </c>
      <c r="P43" s="442">
        <f t="shared" si="25"/>
        <v>4.0874747606096471E-3</v>
      </c>
      <c r="Q43" s="442">
        <f t="shared" si="25"/>
        <v>5.6666626282621518E-3</v>
      </c>
      <c r="R43" s="442">
        <f t="shared" si="25"/>
        <v>3.3405803079277247E-3</v>
      </c>
      <c r="S43" s="442">
        <f t="shared" si="25"/>
        <v>3.1782632918174532E-3</v>
      </c>
      <c r="T43" s="442">
        <f t="shared" si="25"/>
        <v>3.2884665811254805E-3</v>
      </c>
      <c r="U43" s="442">
        <f t="shared" si="25"/>
        <v>3.2537276399213131E-3</v>
      </c>
      <c r="V43" s="442">
        <f t="shared" si="25"/>
        <v>3.2047365762677307E-3</v>
      </c>
      <c r="W43" s="442">
        <f t="shared" si="25"/>
        <v>3.599949069482352E-3</v>
      </c>
      <c r="X43" s="442">
        <f t="shared" si="25"/>
        <v>4.8009008168031402E-3</v>
      </c>
      <c r="Y43" s="442">
        <f t="shared" si="25"/>
        <v>3.6186467270935556E-3</v>
      </c>
      <c r="Z43" s="442">
        <f t="shared" si="25"/>
        <v>2.9251953147787775E-3</v>
      </c>
      <c r="AA43" s="442">
        <f t="shared" si="25"/>
        <v>2.6186743587915998E-3</v>
      </c>
      <c r="AB43" s="442">
        <f t="shared" si="25"/>
        <v>2.500042410905024E-3</v>
      </c>
      <c r="AC43" s="441">
        <f t="shared" si="25"/>
        <v>2.6853473924109989E-3</v>
      </c>
      <c r="AD43" s="442">
        <f t="shared" si="25"/>
        <v>3.1759076815434167E-3</v>
      </c>
      <c r="AE43" s="442">
        <f t="shared" si="25"/>
        <v>3.1759076815434171E-3</v>
      </c>
      <c r="AF43" s="442">
        <f t="shared" si="28"/>
        <v>2.4562025478650417E-3</v>
      </c>
      <c r="AG43" s="442">
        <f t="shared" si="26"/>
        <v>2.3735762179835878E-3</v>
      </c>
      <c r="AH43" s="442">
        <f t="shared" si="26"/>
        <v>2.0844246040202744E-3</v>
      </c>
      <c r="AI43" s="442">
        <f t="shared" si="26"/>
        <v>1.9171724953051469E-3</v>
      </c>
      <c r="AJ43" s="442">
        <f t="shared" si="26"/>
        <v>1.7570692805061678E-3</v>
      </c>
      <c r="AK43" s="442">
        <f t="shared" si="26"/>
        <v>1.7814344964910286E-3</v>
      </c>
      <c r="AL43" s="442">
        <f t="shared" si="26"/>
        <v>1.8390659549709612E-3</v>
      </c>
      <c r="AM43" s="442">
        <f t="shared" si="26"/>
        <v>1.317737787942784E-3</v>
      </c>
      <c r="AN43" s="442">
        <f t="shared" si="26"/>
        <v>1.9332789984043137E-3</v>
      </c>
      <c r="AO43" s="442">
        <f t="shared" si="26"/>
        <v>1.9944702909093994E-3</v>
      </c>
      <c r="AP43" s="442">
        <f t="shared" si="26"/>
        <v>2.2288540028349889E-3</v>
      </c>
      <c r="AQ43" s="442"/>
      <c r="AR43" s="442">
        <f t="shared" si="29"/>
        <v>1.8943677417766088E-3</v>
      </c>
      <c r="AS43" s="442">
        <f t="shared" si="29"/>
        <v>1.6963741433671171E-3</v>
      </c>
      <c r="AT43" s="442">
        <f t="shared" si="27"/>
        <v>1.5871492994976306E-3</v>
      </c>
      <c r="AU43" s="442">
        <f t="shared" si="27"/>
        <v>2.792322024543074E-3</v>
      </c>
      <c r="AV43" s="442">
        <f t="shared" si="27"/>
        <v>3.2014448516024794E-3</v>
      </c>
      <c r="AW43" s="442">
        <f t="shared" si="27"/>
        <v>3.167784207549853E-3</v>
      </c>
      <c r="AX43" s="442" t="e">
        <f t="shared" si="27"/>
        <v>#DIV/0!</v>
      </c>
      <c r="AY43" s="442" t="e">
        <f t="shared" si="27"/>
        <v>#DIV/0!</v>
      </c>
      <c r="AZ43" s="442" t="e">
        <f t="shared" si="27"/>
        <v>#DIV/0!</v>
      </c>
      <c r="BA43" s="442" t="e">
        <f t="shared" si="27"/>
        <v>#DIV/0!</v>
      </c>
      <c r="BB43" s="442" t="e">
        <f t="shared" si="27"/>
        <v>#DIV/0!</v>
      </c>
      <c r="BC43" s="442" t="e">
        <f t="shared" si="27"/>
        <v>#DIV/0!</v>
      </c>
      <c r="BD43" s="442" t="e">
        <f t="shared" si="27"/>
        <v>#DIV/0!</v>
      </c>
      <c r="BE43" s="442">
        <f t="shared" si="27"/>
        <v>2.6139081318544291E-3</v>
      </c>
      <c r="BF43" s="442">
        <f t="shared" si="27"/>
        <v>1.92678046010551E-3</v>
      </c>
      <c r="BG43" s="443"/>
    </row>
    <row r="44" spans="2:72" s="444" customFormat="1">
      <c r="B44" s="422">
        <f t="shared" si="30"/>
        <v>8</v>
      </c>
      <c r="C44" s="422" t="s">
        <v>425</v>
      </c>
      <c r="D44" s="422" t="s">
        <v>436</v>
      </c>
      <c r="E44" s="442">
        <f t="shared" si="25"/>
        <v>5.4767853006419207E-3</v>
      </c>
      <c r="F44" s="442">
        <f t="shared" si="25"/>
        <v>4.2379425864923249E-3</v>
      </c>
      <c r="G44" s="442">
        <f t="shared" si="25"/>
        <v>8.2224021379564312E-3</v>
      </c>
      <c r="H44" s="442">
        <f t="shared" si="25"/>
        <v>7.8020113411567775E-3</v>
      </c>
      <c r="I44" s="442">
        <f t="shared" si="25"/>
        <v>4.7692910453770894E-3</v>
      </c>
      <c r="J44" s="442">
        <f t="shared" si="25"/>
        <v>5.1714997854465554E-3</v>
      </c>
      <c r="K44" s="442">
        <f t="shared" si="25"/>
        <v>3.4141453077296074E-3</v>
      </c>
      <c r="L44" s="442">
        <f t="shared" si="25"/>
        <v>2.3164352239782682E-3</v>
      </c>
      <c r="M44" s="442">
        <f t="shared" si="25"/>
        <v>3.8010419125165179E-3</v>
      </c>
      <c r="N44" s="442">
        <f t="shared" si="25"/>
        <v>2.8670164913558141E-3</v>
      </c>
      <c r="O44" s="442">
        <f t="shared" si="25"/>
        <v>2.7295714297052107E-3</v>
      </c>
      <c r="P44" s="442">
        <f t="shared" si="25"/>
        <v>2.4305907757072799E-3</v>
      </c>
      <c r="Q44" s="442">
        <f t="shared" si="25"/>
        <v>4.2227916321193933E-3</v>
      </c>
      <c r="R44" s="442">
        <f t="shared" si="25"/>
        <v>1.4682249300166184E-3</v>
      </c>
      <c r="S44" s="442">
        <f t="shared" si="25"/>
        <v>1.6388391192814181E-3</v>
      </c>
      <c r="T44" s="442">
        <f t="shared" si="25"/>
        <v>1.0438003853025463E-3</v>
      </c>
      <c r="U44" s="442">
        <f t="shared" si="25"/>
        <v>1.8002886841563656E-3</v>
      </c>
      <c r="V44" s="442">
        <f t="shared" si="25"/>
        <v>2.4866113957951138E-3</v>
      </c>
      <c r="W44" s="442">
        <f t="shared" si="25"/>
        <v>2.9902462840600609E-3</v>
      </c>
      <c r="X44" s="442">
        <f t="shared" si="25"/>
        <v>2.8394836593307062E-3</v>
      </c>
      <c r="Y44" s="442">
        <f t="shared" si="25"/>
        <v>3.138220163196401E-3</v>
      </c>
      <c r="Z44" s="442">
        <f t="shared" si="25"/>
        <v>1.60678795564659E-3</v>
      </c>
      <c r="AA44" s="442">
        <f t="shared" si="25"/>
        <v>2.2911031804358842E-3</v>
      </c>
      <c r="AB44" s="442">
        <f t="shared" si="25"/>
        <v>2.1477996647785644E-3</v>
      </c>
      <c r="AC44" s="441">
        <f t="shared" si="25"/>
        <v>2.8307037793342056E-3</v>
      </c>
      <c r="AD44" s="442">
        <f t="shared" si="25"/>
        <v>2.1350794617207166E-3</v>
      </c>
      <c r="AE44" s="442">
        <f t="shared" si="25"/>
        <v>2.135079461720717E-3</v>
      </c>
      <c r="AF44" s="442">
        <f t="shared" si="28"/>
        <v>2.9784992631990783E-3</v>
      </c>
      <c r="AG44" s="442">
        <f t="shared" si="26"/>
        <v>2.0184543705442145E-3</v>
      </c>
      <c r="AH44" s="442">
        <f t="shared" si="26"/>
        <v>2.0840362263312507E-3</v>
      </c>
      <c r="AI44" s="442">
        <f t="shared" si="26"/>
        <v>1.5785899345838105E-3</v>
      </c>
      <c r="AJ44" s="442">
        <f t="shared" si="26"/>
        <v>2.083262087462243E-3</v>
      </c>
      <c r="AK44" s="442">
        <f t="shared" si="26"/>
        <v>2.4029671997362156E-3</v>
      </c>
      <c r="AL44" s="442">
        <f t="shared" si="26"/>
        <v>3.3607874800086011E-3</v>
      </c>
      <c r="AM44" s="442">
        <f t="shared" si="26"/>
        <v>3.0955501740996499E-3</v>
      </c>
      <c r="AN44" s="442">
        <f t="shared" si="26"/>
        <v>3.1493005381433101E-3</v>
      </c>
      <c r="AO44" s="442">
        <f t="shared" si="26"/>
        <v>4.3113237703597089E-3</v>
      </c>
      <c r="AP44" s="442">
        <f t="shared" si="26"/>
        <v>2.0452256988643162E-3</v>
      </c>
      <c r="AQ44" s="442"/>
      <c r="AR44" s="442">
        <f t="shared" si="29"/>
        <v>2.6292426531267245E-3</v>
      </c>
      <c r="AS44" s="442">
        <f t="shared" si="29"/>
        <v>2.6524057317217661E-3</v>
      </c>
      <c r="AT44" s="442">
        <f t="shared" si="27"/>
        <v>1.1807308025829589E-3</v>
      </c>
      <c r="AU44" s="442">
        <f t="shared" si="27"/>
        <v>2.8441073238990203E-3</v>
      </c>
      <c r="AV44" s="442">
        <f t="shared" si="27"/>
        <v>3.7092313294199561E-3</v>
      </c>
      <c r="AW44" s="442">
        <f t="shared" si="27"/>
        <v>3.4230378547543787E-3</v>
      </c>
      <c r="AX44" s="442" t="e">
        <f t="shared" si="27"/>
        <v>#DIV/0!</v>
      </c>
      <c r="AY44" s="442" t="e">
        <f t="shared" si="27"/>
        <v>#DIV/0!</v>
      </c>
      <c r="AZ44" s="442" t="e">
        <f t="shared" si="27"/>
        <v>#DIV/0!</v>
      </c>
      <c r="BA44" s="442" t="e">
        <f t="shared" si="27"/>
        <v>#DIV/0!</v>
      </c>
      <c r="BB44" s="442" t="e">
        <f t="shared" si="27"/>
        <v>#DIV/0!</v>
      </c>
      <c r="BC44" s="442" t="e">
        <f t="shared" si="27"/>
        <v>#DIV/0!</v>
      </c>
      <c r="BD44" s="442" t="e">
        <f t="shared" si="27"/>
        <v>#DIV/0!</v>
      </c>
      <c r="BE44" s="442">
        <f t="shared" si="27"/>
        <v>2.922975489353039E-3</v>
      </c>
      <c r="BF44" s="442">
        <f t="shared" si="27"/>
        <v>3.9203793202699077E-3</v>
      </c>
      <c r="BG44" s="443"/>
    </row>
    <row r="45" spans="2:72" s="444" customFormat="1">
      <c r="B45" s="422">
        <f t="shared" si="30"/>
        <v>9</v>
      </c>
      <c r="C45" s="422" t="s">
        <v>440</v>
      </c>
      <c r="D45" s="422" t="s">
        <v>437</v>
      </c>
      <c r="E45" s="442">
        <f t="shared" si="25"/>
        <v>2.6959767145218615E-3</v>
      </c>
      <c r="F45" s="442">
        <f t="shared" si="25"/>
        <v>2.4445097901859628E-3</v>
      </c>
      <c r="G45" s="442">
        <f t="shared" si="25"/>
        <v>2.8516354085943406E-3</v>
      </c>
      <c r="H45" s="442">
        <f t="shared" si="25"/>
        <v>2.2127613093182743E-3</v>
      </c>
      <c r="I45" s="442">
        <f t="shared" si="25"/>
        <v>2.7775520234750144E-3</v>
      </c>
      <c r="J45" s="442">
        <f t="shared" si="25"/>
        <v>3.7133966917342301E-3</v>
      </c>
      <c r="K45" s="442">
        <f t="shared" si="25"/>
        <v>2.2505215073857776E-3</v>
      </c>
      <c r="L45" s="442">
        <f t="shared" si="25"/>
        <v>1.5052412779905282E-3</v>
      </c>
      <c r="M45" s="442">
        <f t="shared" si="25"/>
        <v>1.071240504681962E-3</v>
      </c>
      <c r="N45" s="442">
        <f t="shared" si="25"/>
        <v>8.9483712545768471E-4</v>
      </c>
      <c r="O45" s="442">
        <f t="shared" si="25"/>
        <v>9.8405846436811634E-4</v>
      </c>
      <c r="P45" s="442">
        <f t="shared" si="25"/>
        <v>1.2311508315563592E-3</v>
      </c>
      <c r="Q45" s="442">
        <f t="shared" si="25"/>
        <v>1.9638941156485137E-3</v>
      </c>
      <c r="R45" s="442">
        <f t="shared" si="25"/>
        <v>6.0269260701350711E-4</v>
      </c>
      <c r="S45" s="442">
        <f t="shared" si="25"/>
        <v>7.7425082052079799E-4</v>
      </c>
      <c r="T45" s="442">
        <f t="shared" si="25"/>
        <v>5.735881290225242E-4</v>
      </c>
      <c r="U45" s="442">
        <f t="shared" si="25"/>
        <v>7.2883751567143923E-4</v>
      </c>
      <c r="V45" s="442">
        <f t="shared" si="25"/>
        <v>1.4815933715258492E-3</v>
      </c>
      <c r="W45" s="442">
        <f t="shared" si="25"/>
        <v>8.2912036955786622E-4</v>
      </c>
      <c r="X45" s="442">
        <f t="shared" si="25"/>
        <v>1.1101466248903398E-3</v>
      </c>
      <c r="Y45" s="442">
        <f t="shared" si="25"/>
        <v>1.074504126806467E-3</v>
      </c>
      <c r="Z45" s="442">
        <f t="shared" si="25"/>
        <v>6.6853771569489362E-4</v>
      </c>
      <c r="AA45" s="442">
        <f t="shared" si="25"/>
        <v>7.3545659550064142E-4</v>
      </c>
      <c r="AB45" s="442">
        <f t="shared" si="25"/>
        <v>5.8995713628196467E-4</v>
      </c>
      <c r="AC45" s="441">
        <f t="shared" si="25"/>
        <v>6.6215537926721647E-4</v>
      </c>
      <c r="AD45" s="442">
        <f t="shared" si="25"/>
        <v>8.0337499364775331E-4</v>
      </c>
      <c r="AE45" s="442">
        <f t="shared" si="25"/>
        <v>8.0337499364775342E-4</v>
      </c>
      <c r="AF45" s="442">
        <f t="shared" si="28"/>
        <v>6.4621764748302047E-4</v>
      </c>
      <c r="AG45" s="442">
        <f t="shared" si="26"/>
        <v>5.6827790887767436E-4</v>
      </c>
      <c r="AH45" s="442">
        <f t="shared" si="26"/>
        <v>5.0430395755026391E-4</v>
      </c>
      <c r="AI45" s="442">
        <f t="shared" si="26"/>
        <v>8.0139054906173393E-4</v>
      </c>
      <c r="AJ45" s="442">
        <f t="shared" si="26"/>
        <v>6.0106418936810909E-4</v>
      </c>
      <c r="AK45" s="442">
        <f t="shared" si="26"/>
        <v>5.617441273739189E-4</v>
      </c>
      <c r="AL45" s="442">
        <f t="shared" si="26"/>
        <v>9.8485827304470785E-4</v>
      </c>
      <c r="AM45" s="442">
        <f t="shared" si="26"/>
        <v>6.7371525779793759E-4</v>
      </c>
      <c r="AN45" s="442">
        <f t="shared" si="26"/>
        <v>9.9363337663241238E-4</v>
      </c>
      <c r="AO45" s="442">
        <f t="shared" si="26"/>
        <v>1.2637887684024299E-3</v>
      </c>
      <c r="AP45" s="442">
        <f t="shared" si="26"/>
        <v>6.2754174729309146E-4</v>
      </c>
      <c r="AQ45" s="442"/>
      <c r="AR45" s="442">
        <f t="shared" si="29"/>
        <v>7.4731414064384695E-4</v>
      </c>
      <c r="AS45" s="442">
        <f t="shared" si="29"/>
        <v>7.3606727176037676E-4</v>
      </c>
      <c r="AT45" s="442">
        <f t="shared" si="27"/>
        <v>6.1166178560169079E-4</v>
      </c>
      <c r="AU45" s="442">
        <f t="shared" si="27"/>
        <v>8.0980938291014119E-4</v>
      </c>
      <c r="AV45" s="442">
        <f t="shared" si="27"/>
        <v>8.8699301092765796E-4</v>
      </c>
      <c r="AW45" s="442">
        <f t="shared" si="27"/>
        <v>7.4673702775561793E-4</v>
      </c>
      <c r="AX45" s="442" t="e">
        <f t="shared" si="27"/>
        <v>#DIV/0!</v>
      </c>
      <c r="AY45" s="442" t="e">
        <f t="shared" si="27"/>
        <v>#DIV/0!</v>
      </c>
      <c r="AZ45" s="442" t="e">
        <f t="shared" si="27"/>
        <v>#DIV/0!</v>
      </c>
      <c r="BA45" s="442" t="e">
        <f t="shared" si="27"/>
        <v>#DIV/0!</v>
      </c>
      <c r="BB45" s="442" t="e">
        <f t="shared" si="27"/>
        <v>#DIV/0!</v>
      </c>
      <c r="BC45" s="442" t="e">
        <f t="shared" si="27"/>
        <v>#DIV/0!</v>
      </c>
      <c r="BD45" s="442" t="e">
        <f t="shared" si="27"/>
        <v>#DIV/0!</v>
      </c>
      <c r="BE45" s="442">
        <f t="shared" si="27"/>
        <v>7.7528401106255398E-4</v>
      </c>
      <c r="BF45" s="442">
        <f t="shared" si="27"/>
        <v>1.0165493242149382E-3</v>
      </c>
      <c r="BG45" s="443"/>
    </row>
    <row r="46" spans="2:72" s="444" customFormat="1">
      <c r="B46" s="422">
        <f t="shared" si="30"/>
        <v>10</v>
      </c>
      <c r="C46" s="422" t="s">
        <v>425</v>
      </c>
      <c r="D46" s="422" t="s">
        <v>438</v>
      </c>
      <c r="E46" s="442">
        <f t="shared" si="25"/>
        <v>4.3035446112269079E-3</v>
      </c>
      <c r="F46" s="442">
        <f t="shared" si="25"/>
        <v>3.0510552087654628E-3</v>
      </c>
      <c r="G46" s="442">
        <f t="shared" si="25"/>
        <v>2.4116232889415663E-3</v>
      </c>
      <c r="H46" s="442">
        <f t="shared" si="25"/>
        <v>2.4503404909470825E-3</v>
      </c>
      <c r="I46" s="442">
        <f t="shared" si="25"/>
        <v>2.6571580274003977E-3</v>
      </c>
      <c r="J46" s="442">
        <f t="shared" si="25"/>
        <v>1.9234472326376355E-3</v>
      </c>
      <c r="K46" s="442">
        <f t="shared" si="25"/>
        <v>1.832922836485097E-3</v>
      </c>
      <c r="L46" s="442">
        <f t="shared" si="25"/>
        <v>2.0974659062118432E-3</v>
      </c>
      <c r="M46" s="442">
        <f t="shared" si="25"/>
        <v>2.3518625372316742E-3</v>
      </c>
      <c r="N46" s="442">
        <f t="shared" si="25"/>
        <v>1.9570542698446967E-3</v>
      </c>
      <c r="O46" s="442">
        <f t="shared" si="25"/>
        <v>2.232582180149374E-3</v>
      </c>
      <c r="P46" s="442">
        <f t="shared" si="25"/>
        <v>1.3864628102476053E-3</v>
      </c>
      <c r="Q46" s="442">
        <f t="shared" ref="Q46:AF46" si="31">Q15/Q$25</f>
        <v>2.2532210892724351E-3</v>
      </c>
      <c r="R46" s="442">
        <f t="shared" si="31"/>
        <v>1.1185652548375755E-3</v>
      </c>
      <c r="S46" s="442">
        <f t="shared" si="31"/>
        <v>1.3417363106716929E-3</v>
      </c>
      <c r="T46" s="442">
        <f t="shared" si="31"/>
        <v>1.113885290673523E-3</v>
      </c>
      <c r="U46" s="442">
        <f t="shared" si="31"/>
        <v>1.2151482040465317E-3</v>
      </c>
      <c r="V46" s="442">
        <f t="shared" si="31"/>
        <v>1.065021624847656E-3</v>
      </c>
      <c r="W46" s="442">
        <f t="shared" si="31"/>
        <v>1.346084027728474E-3</v>
      </c>
      <c r="X46" s="442">
        <f t="shared" si="31"/>
        <v>1.5531412194738313E-3</v>
      </c>
      <c r="Y46" s="442">
        <f t="shared" si="31"/>
        <v>1.4700174821442905E-3</v>
      </c>
      <c r="Z46" s="442">
        <f t="shared" si="31"/>
        <v>1.1052858580307644E-3</v>
      </c>
      <c r="AA46" s="442">
        <f t="shared" si="31"/>
        <v>1.0675761812171392E-3</v>
      </c>
      <c r="AB46" s="442">
        <f t="shared" si="31"/>
        <v>1.1132866276802355E-3</v>
      </c>
      <c r="AC46" s="441">
        <f t="shared" si="31"/>
        <v>1.1576361074340405E-3</v>
      </c>
      <c r="AD46" s="442">
        <f t="shared" si="31"/>
        <v>1.1959140755344619E-3</v>
      </c>
      <c r="AE46" s="442">
        <f t="shared" si="31"/>
        <v>1.1959140755344621E-3</v>
      </c>
      <c r="AF46" s="442">
        <f t="shared" si="31"/>
        <v>1.2965934270831347E-3</v>
      </c>
      <c r="AG46" s="442">
        <f t="shared" si="26"/>
        <v>1.503048590867279E-3</v>
      </c>
      <c r="AH46" s="442">
        <f t="shared" si="26"/>
        <v>8.9153159334661293E-4</v>
      </c>
      <c r="AI46" s="442">
        <f t="shared" si="26"/>
        <v>9.9737870239902365E-4</v>
      </c>
      <c r="AJ46" s="442">
        <f t="shared" si="26"/>
        <v>1.1740086096703E-3</v>
      </c>
      <c r="AK46" s="442">
        <f t="shared" si="26"/>
        <v>1.2303329564178245E-3</v>
      </c>
      <c r="AL46" s="442">
        <f t="shared" si="26"/>
        <v>1.1846352059204494E-3</v>
      </c>
      <c r="AM46" s="442">
        <f t="shared" si="26"/>
        <v>1.4865080143061E-3</v>
      </c>
      <c r="AN46" s="442">
        <f t="shared" si="26"/>
        <v>1.2651226648904932E-3</v>
      </c>
      <c r="AO46" s="442">
        <f t="shared" si="26"/>
        <v>1.7485820350433611E-3</v>
      </c>
      <c r="AP46" s="442">
        <f t="shared" si="26"/>
        <v>1.6306854045310016E-3</v>
      </c>
      <c r="AQ46" s="442"/>
      <c r="AR46" s="442">
        <f t="shared" si="29"/>
        <v>1.2745274366030711E-3</v>
      </c>
      <c r="AS46" s="442">
        <f t="shared" si="29"/>
        <v>1.1748152540777283E-3</v>
      </c>
      <c r="AT46" s="442">
        <f t="shared" si="27"/>
        <v>1.1730765427686697E-3</v>
      </c>
      <c r="AU46" s="442">
        <f t="shared" si="27"/>
        <v>8.6397632640024746E-4</v>
      </c>
      <c r="AV46" s="442">
        <f t="shared" si="27"/>
        <v>1.0075276840708759E-3</v>
      </c>
      <c r="AW46" s="442">
        <f t="shared" si="27"/>
        <v>1.1101782188750219E-3</v>
      </c>
      <c r="AX46" s="442" t="e">
        <f t="shared" si="27"/>
        <v>#DIV/0!</v>
      </c>
      <c r="AY46" s="442" t="e">
        <f t="shared" si="27"/>
        <v>#DIV/0!</v>
      </c>
      <c r="AZ46" s="442" t="e">
        <f t="shared" si="27"/>
        <v>#DIV/0!</v>
      </c>
      <c r="BA46" s="442" t="e">
        <f t="shared" si="27"/>
        <v>#DIV/0!</v>
      </c>
      <c r="BB46" s="442" t="e">
        <f t="shared" si="27"/>
        <v>#DIV/0!</v>
      </c>
      <c r="BC46" s="442" t="e">
        <f t="shared" si="27"/>
        <v>#DIV/0!</v>
      </c>
      <c r="BD46" s="442" t="e">
        <f t="shared" si="27"/>
        <v>#DIV/0!</v>
      </c>
      <c r="BE46" s="442">
        <f t="shared" si="27"/>
        <v>1.0479603001112459E-3</v>
      </c>
      <c r="BF46" s="442">
        <f t="shared" si="27"/>
        <v>1.8401066256330725E-3</v>
      </c>
      <c r="BG46" s="443"/>
    </row>
    <row r="47" spans="2:72" s="444" customFormat="1">
      <c r="B47" s="422">
        <f t="shared" si="30"/>
        <v>11</v>
      </c>
      <c r="C47" s="422" t="s">
        <v>425</v>
      </c>
      <c r="D47" s="422" t="s">
        <v>439</v>
      </c>
      <c r="E47" s="442">
        <f t="shared" ref="E47:AF47" si="32">E16/E$25</f>
        <v>0</v>
      </c>
      <c r="F47" s="442">
        <f t="shared" si="32"/>
        <v>0</v>
      </c>
      <c r="G47" s="442">
        <f t="shared" si="32"/>
        <v>0</v>
      </c>
      <c r="H47" s="442">
        <f t="shared" si="32"/>
        <v>1.6634154544257155E-3</v>
      </c>
      <c r="I47" s="442">
        <f t="shared" si="32"/>
        <v>9.218874348174335E-4</v>
      </c>
      <c r="J47" s="442">
        <f t="shared" si="32"/>
        <v>1.1829425365572032E-3</v>
      </c>
      <c r="K47" s="442">
        <f t="shared" si="32"/>
        <v>5.6017080144487284E-4</v>
      </c>
      <c r="L47" s="442">
        <f t="shared" si="32"/>
        <v>1.0974433499227046E-3</v>
      </c>
      <c r="M47" s="442">
        <f t="shared" si="32"/>
        <v>8.1338173263206066E-4</v>
      </c>
      <c r="N47" s="442">
        <f t="shared" si="32"/>
        <v>0</v>
      </c>
      <c r="O47" s="442">
        <f t="shared" si="32"/>
        <v>4.3912195258822255E-4</v>
      </c>
      <c r="P47" s="442">
        <f t="shared" si="32"/>
        <v>1.4023923652971559E-6</v>
      </c>
      <c r="Q47" s="442">
        <f t="shared" si="32"/>
        <v>5.3607905015485755E-4</v>
      </c>
      <c r="R47" s="442">
        <f t="shared" si="32"/>
        <v>1.9966791163765721E-4</v>
      </c>
      <c r="S47" s="442">
        <f t="shared" si="32"/>
        <v>0</v>
      </c>
      <c r="T47" s="442">
        <f t="shared" si="32"/>
        <v>1.8365296232255408E-4</v>
      </c>
      <c r="U47" s="442">
        <f t="shared" si="32"/>
        <v>0</v>
      </c>
      <c r="V47" s="442">
        <f t="shared" si="32"/>
        <v>0</v>
      </c>
      <c r="W47" s="442">
        <f t="shared" si="32"/>
        <v>1.0648636579952246E-4</v>
      </c>
      <c r="X47" s="442">
        <f t="shared" si="32"/>
        <v>3.0769104760874704E-4</v>
      </c>
      <c r="Y47" s="442">
        <f t="shared" si="32"/>
        <v>3.9981707836357215E-4</v>
      </c>
      <c r="Z47" s="442">
        <f t="shared" si="32"/>
        <v>1.2508914629709866E-6</v>
      </c>
      <c r="AA47" s="442">
        <f t="shared" si="32"/>
        <v>3.3852790385545747E-4</v>
      </c>
      <c r="AB47" s="442">
        <f t="shared" si="32"/>
        <v>8.8769021900839964E-5</v>
      </c>
      <c r="AC47" s="441">
        <f t="shared" si="32"/>
        <v>6.9188276815839201E-5</v>
      </c>
      <c r="AD47" s="442">
        <f t="shared" si="32"/>
        <v>1.3227808622899817E-4</v>
      </c>
      <c r="AE47" s="442">
        <f t="shared" si="32"/>
        <v>1.3227808622899817E-4</v>
      </c>
      <c r="AF47" s="442">
        <f t="shared" si="32"/>
        <v>9.8005866510729196E-4</v>
      </c>
      <c r="AG47" s="442">
        <f t="shared" si="26"/>
        <v>2.6507090165490819E-4</v>
      </c>
      <c r="AH47" s="442">
        <f t="shared" si="26"/>
        <v>1.9935197670130762E-4</v>
      </c>
      <c r="AI47" s="442">
        <f t="shared" si="26"/>
        <v>4.7924992006164992E-4</v>
      </c>
      <c r="AJ47" s="442">
        <f t="shared" si="26"/>
        <v>4.5853467677833479E-4</v>
      </c>
      <c r="AK47" s="442">
        <f t="shared" si="26"/>
        <v>3.9413017294182462E-4</v>
      </c>
      <c r="AL47" s="442">
        <f t="shared" si="26"/>
        <v>9.4463781875130848E-7</v>
      </c>
      <c r="AM47" s="442">
        <f t="shared" si="26"/>
        <v>1.5771776854260139E-4</v>
      </c>
      <c r="AN47" s="442">
        <f t="shared" si="26"/>
        <v>7.2654474489987244E-4</v>
      </c>
      <c r="AO47" s="442">
        <f t="shared" si="26"/>
        <v>1.3667268745537488E-3</v>
      </c>
      <c r="AP47" s="442">
        <f t="shared" si="26"/>
        <v>1.2306588207407123E-3</v>
      </c>
      <c r="AQ47" s="442"/>
      <c r="AR47" s="442">
        <f t="shared" si="29"/>
        <v>5.5898143652613561E-4</v>
      </c>
      <c r="AS47" s="442">
        <f t="shared" si="29"/>
        <v>1.2621413962166988E-3</v>
      </c>
      <c r="AT47" s="442">
        <f t="shared" si="27"/>
        <v>5.8533425637751846E-4</v>
      </c>
      <c r="AU47" s="442">
        <f t="shared" si="27"/>
        <v>1.6289335505963434E-3</v>
      </c>
      <c r="AV47" s="442">
        <f t="shared" si="27"/>
        <v>3.2743911625084804E-4</v>
      </c>
      <c r="AW47" s="442">
        <f t="shared" si="27"/>
        <v>2.356427477058037E-5</v>
      </c>
      <c r="AX47" s="442" t="e">
        <f t="shared" si="27"/>
        <v>#DIV/0!</v>
      </c>
      <c r="AY47" s="442" t="e">
        <f t="shared" si="27"/>
        <v>#DIV/0!</v>
      </c>
      <c r="AZ47" s="442" t="e">
        <f t="shared" si="27"/>
        <v>#DIV/0!</v>
      </c>
      <c r="BA47" s="442" t="e">
        <f t="shared" si="27"/>
        <v>#DIV/0!</v>
      </c>
      <c r="BB47" s="442" t="e">
        <f t="shared" si="27"/>
        <v>#DIV/0!</v>
      </c>
      <c r="BC47" s="442" t="e">
        <f t="shared" si="27"/>
        <v>#DIV/0!</v>
      </c>
      <c r="BD47" s="442" t="e">
        <f t="shared" si="27"/>
        <v>#DIV/0!</v>
      </c>
      <c r="BE47" s="442">
        <f t="shared" si="27"/>
        <v>7.7164443543545141E-4</v>
      </c>
      <c r="BF47" s="442">
        <f t="shared" si="27"/>
        <v>4.1420589685553413E-4</v>
      </c>
      <c r="BG47" s="443"/>
    </row>
    <row r="48" spans="2:72" s="33" customFormat="1">
      <c r="B48" s="416" t="s">
        <v>522</v>
      </c>
      <c r="C48" s="417" t="s">
        <v>523</v>
      </c>
      <c r="D48" s="417"/>
      <c r="E48" s="418"/>
      <c r="F48" s="418"/>
      <c r="G48" s="418"/>
      <c r="H48" s="418"/>
      <c r="I48" s="418"/>
      <c r="J48" s="418"/>
      <c r="K48" s="418"/>
      <c r="L48" s="418"/>
      <c r="M48" s="418"/>
      <c r="N48" s="418"/>
      <c r="O48" s="418"/>
      <c r="P48" s="418"/>
      <c r="Q48" s="418"/>
      <c r="R48" s="418"/>
      <c r="S48" s="418"/>
      <c r="T48" s="418"/>
      <c r="U48" s="418"/>
      <c r="V48" s="418"/>
      <c r="W48" s="418"/>
      <c r="X48" s="418"/>
      <c r="Y48" s="418"/>
      <c r="Z48" s="418"/>
      <c r="AA48" s="418"/>
      <c r="AB48" s="418"/>
      <c r="AC48" s="418"/>
      <c r="AD48" s="419"/>
      <c r="AE48" s="419"/>
      <c r="AF48" s="419"/>
      <c r="AG48" s="419"/>
      <c r="AH48" s="419"/>
      <c r="AI48" s="419"/>
      <c r="AJ48" s="419"/>
      <c r="AK48" s="419"/>
      <c r="AL48" s="419"/>
      <c r="AM48" s="419"/>
      <c r="AN48" s="419"/>
      <c r="AO48" s="419"/>
      <c r="AP48" s="419"/>
      <c r="AQ48" s="419"/>
      <c r="AR48" s="419"/>
      <c r="AS48" s="419"/>
      <c r="AT48" s="419"/>
      <c r="AU48" s="419"/>
      <c r="AV48" s="419"/>
      <c r="AW48" s="419"/>
      <c r="AX48" s="419"/>
      <c r="AY48" s="419"/>
      <c r="AZ48" s="419"/>
      <c r="BA48" s="419"/>
      <c r="BB48" s="419"/>
      <c r="BC48" s="419"/>
      <c r="BD48" s="419"/>
      <c r="BE48" s="419"/>
      <c r="BF48" s="419"/>
      <c r="BG48" s="420"/>
      <c r="BH48" s="421"/>
      <c r="BI48" s="421"/>
      <c r="BJ48" s="421"/>
      <c r="BK48" s="421"/>
      <c r="BL48" s="421"/>
      <c r="BM48" s="421"/>
      <c r="BN48" s="421"/>
      <c r="BO48" s="421"/>
      <c r="BP48" s="421"/>
      <c r="BQ48" s="421"/>
      <c r="BR48" s="421"/>
      <c r="BS48" s="421"/>
      <c r="BT48" s="421"/>
    </row>
    <row r="49" spans="2:59" s="33" customFormat="1">
      <c r="B49" s="422">
        <v>1</v>
      </c>
      <c r="C49" s="422" t="s">
        <v>440</v>
      </c>
      <c r="D49" s="422" t="s">
        <v>441</v>
      </c>
      <c r="E49" s="442">
        <f t="shared" ref="E49:AP55" si="33">E18/E$25</f>
        <v>8.795177721804262E-2</v>
      </c>
      <c r="F49" s="442">
        <f t="shared" si="33"/>
        <v>6.540003627430975E-2</v>
      </c>
      <c r="G49" s="442">
        <f t="shared" si="33"/>
        <v>5.4094540357370498E-2</v>
      </c>
      <c r="H49" s="442">
        <f t="shared" si="33"/>
        <v>2.4516071546436487E-2</v>
      </c>
      <c r="I49" s="442">
        <f t="shared" si="33"/>
        <v>2.3577633490577864E-2</v>
      </c>
      <c r="J49" s="442">
        <f t="shared" si="33"/>
        <v>2.5308056784291103E-2</v>
      </c>
      <c r="K49" s="442">
        <f t="shared" si="33"/>
        <v>2.1950736460587726E-2</v>
      </c>
      <c r="L49" s="442">
        <f t="shared" si="33"/>
        <v>1.8894273386222616E-2</v>
      </c>
      <c r="M49" s="442">
        <f t="shared" si="33"/>
        <v>0</v>
      </c>
      <c r="N49" s="442">
        <f t="shared" si="33"/>
        <v>1.2712510198295726E-3</v>
      </c>
      <c r="O49" s="442">
        <f t="shared" si="33"/>
        <v>1.5554937178743355E-3</v>
      </c>
      <c r="P49" s="442">
        <f t="shared" si="33"/>
        <v>8.2416697205487776E-4</v>
      </c>
      <c r="Q49" s="442">
        <f t="shared" si="33"/>
        <v>2.2987570711126702E-2</v>
      </c>
      <c r="R49" s="442">
        <f t="shared" si="33"/>
        <v>5.1745059208527268E-2</v>
      </c>
      <c r="S49" s="442">
        <f t="shared" si="33"/>
        <v>8.9021185143142986E-2</v>
      </c>
      <c r="T49" s="442">
        <f t="shared" si="33"/>
        <v>6.0593454067520355E-2</v>
      </c>
      <c r="U49" s="442">
        <f t="shared" si="33"/>
        <v>6.238386909699007E-2</v>
      </c>
      <c r="V49" s="442">
        <f t="shared" si="33"/>
        <v>6.2931284363118262E-2</v>
      </c>
      <c r="W49" s="442">
        <f t="shared" si="33"/>
        <v>7.6642670552944048E-2</v>
      </c>
      <c r="X49" s="442">
        <f t="shared" si="33"/>
        <v>0.11499745172544393</v>
      </c>
      <c r="Y49" s="442">
        <f t="shared" si="33"/>
        <v>0.10222510360005961</v>
      </c>
      <c r="Z49" s="442">
        <f t="shared" si="33"/>
        <v>8.3800737827166294E-2</v>
      </c>
      <c r="AA49" s="442">
        <f t="shared" si="33"/>
        <v>5.8616497057092376E-2</v>
      </c>
      <c r="AB49" s="442">
        <f t="shared" si="33"/>
        <v>5.3780876303071289E-2</v>
      </c>
      <c r="AC49" s="441">
        <f t="shared" si="33"/>
        <v>6.5644299568656139E-2</v>
      </c>
      <c r="AD49" s="442">
        <f t="shared" si="33"/>
        <v>6.9935161849872973E-2</v>
      </c>
      <c r="AE49" s="442">
        <f t="shared" si="33"/>
        <v>6.9935161849872987E-2</v>
      </c>
      <c r="AF49" s="442">
        <f t="shared" si="33"/>
        <v>0.10750269797590767</v>
      </c>
      <c r="AG49" s="442">
        <f t="shared" si="33"/>
        <v>8.1498724254714106E-2</v>
      </c>
      <c r="AH49" s="442">
        <f t="shared" si="33"/>
        <v>5.6437501709829203E-2</v>
      </c>
      <c r="AI49" s="442">
        <f t="shared" si="33"/>
        <v>6.0595883125044964E-2</v>
      </c>
      <c r="AJ49" s="442">
        <f t="shared" si="33"/>
        <v>5.3312950291855871E-2</v>
      </c>
      <c r="AK49" s="442">
        <f t="shared" si="33"/>
        <v>6.3873916529878685E-2</v>
      </c>
      <c r="AL49" s="442">
        <f t="shared" si="33"/>
        <v>6.0605845034440609E-2</v>
      </c>
      <c r="AM49" s="442">
        <f t="shared" si="33"/>
        <v>6.3252630898697038E-2</v>
      </c>
      <c r="AN49" s="442">
        <f t="shared" si="33"/>
        <v>6.3200235312302816E-2</v>
      </c>
      <c r="AO49" s="442">
        <f t="shared" si="33"/>
        <v>8.3286069035145918E-2</v>
      </c>
      <c r="AP49" s="442">
        <f t="shared" si="33"/>
        <v>0.10462345369897656</v>
      </c>
      <c r="AQ49" s="442"/>
      <c r="AR49" s="442">
        <f t="shared" ref="AR49:BF55" si="34">AR18/AR$25</f>
        <v>6.8976420744483707E-2</v>
      </c>
      <c r="AS49" s="442">
        <f t="shared" si="34"/>
        <v>9.8136188431743154E-2</v>
      </c>
      <c r="AT49" s="442">
        <f t="shared" si="34"/>
        <v>0.13776331843532169</v>
      </c>
      <c r="AU49" s="442">
        <f t="shared" si="34"/>
        <v>7.6134026566115218E-2</v>
      </c>
      <c r="AV49" s="442">
        <f t="shared" si="34"/>
        <v>7.5564266089858556E-2</v>
      </c>
      <c r="AW49" s="442">
        <f t="shared" si="34"/>
        <v>8.2866959957909506E-2</v>
      </c>
      <c r="AX49" s="442" t="e">
        <f t="shared" si="34"/>
        <v>#DIV/0!</v>
      </c>
      <c r="AY49" s="442" t="e">
        <f t="shared" si="34"/>
        <v>#DIV/0!</v>
      </c>
      <c r="AZ49" s="442" t="e">
        <f t="shared" si="34"/>
        <v>#DIV/0!</v>
      </c>
      <c r="BA49" s="442" t="e">
        <f t="shared" si="34"/>
        <v>#DIV/0!</v>
      </c>
      <c r="BB49" s="442" t="e">
        <f t="shared" si="34"/>
        <v>#DIV/0!</v>
      </c>
      <c r="BC49" s="442" t="e">
        <f t="shared" si="34"/>
        <v>#DIV/0!</v>
      </c>
      <c r="BD49" s="442" t="e">
        <f t="shared" si="34"/>
        <v>#DIV/0!</v>
      </c>
      <c r="BE49" s="442">
        <f t="shared" si="34"/>
        <v>8.9469793684669924E-2</v>
      </c>
      <c r="BF49" s="442">
        <f t="shared" si="34"/>
        <v>4.8352286468670527E-2</v>
      </c>
      <c r="BG49" s="443"/>
    </row>
    <row r="50" spans="2:59" s="33" customFormat="1">
      <c r="B50" s="422">
        <f t="shared" ref="B50:B55" si="35">B49+1</f>
        <v>2</v>
      </c>
      <c r="C50" s="422" t="s">
        <v>440</v>
      </c>
      <c r="D50" s="422" t="s">
        <v>442</v>
      </c>
      <c r="E50" s="442">
        <f t="shared" si="33"/>
        <v>0.17785647280143574</v>
      </c>
      <c r="F50" s="442">
        <f t="shared" si="33"/>
        <v>0.1322641595060659</v>
      </c>
      <c r="G50" s="442">
        <f t="shared" si="33"/>
        <v>0.11441817796722221</v>
      </c>
      <c r="H50" s="442">
        <f t="shared" si="33"/>
        <v>0.14390704151415445</v>
      </c>
      <c r="I50" s="442">
        <f t="shared" si="33"/>
        <v>0.12580536245945184</v>
      </c>
      <c r="J50" s="442">
        <f t="shared" si="33"/>
        <v>0.14540876058976368</v>
      </c>
      <c r="K50" s="442">
        <f t="shared" si="33"/>
        <v>0.12485835930704316</v>
      </c>
      <c r="L50" s="442">
        <f t="shared" si="33"/>
        <v>0.13307960258831816</v>
      </c>
      <c r="M50" s="442">
        <f t="shared" si="33"/>
        <v>0.14561764310471037</v>
      </c>
      <c r="N50" s="442">
        <f t="shared" si="33"/>
        <v>0.1269982757038344</v>
      </c>
      <c r="O50" s="442">
        <f t="shared" si="33"/>
        <v>0.16240354231375778</v>
      </c>
      <c r="P50" s="442">
        <f t="shared" si="33"/>
        <v>8.8391285052569046E-2</v>
      </c>
      <c r="Q50" s="442">
        <f t="shared" si="33"/>
        <v>0.13046980416516524</v>
      </c>
      <c r="R50" s="442">
        <f t="shared" si="33"/>
        <v>8.5442849440285185E-2</v>
      </c>
      <c r="S50" s="442">
        <f t="shared" si="33"/>
        <v>0.10339463228668738</v>
      </c>
      <c r="T50" s="442">
        <f t="shared" si="33"/>
        <v>7.5864126729491457E-2</v>
      </c>
      <c r="U50" s="442">
        <f t="shared" si="33"/>
        <v>8.6007733253980881E-2</v>
      </c>
      <c r="V50" s="442">
        <f t="shared" si="33"/>
        <v>8.5984769505167591E-2</v>
      </c>
      <c r="W50" s="442">
        <f t="shared" si="33"/>
        <v>0.10555687102125852</v>
      </c>
      <c r="X50" s="442">
        <f t="shared" si="33"/>
        <v>0.1575772491652723</v>
      </c>
      <c r="Y50" s="442">
        <f t="shared" si="33"/>
        <v>0.13846661237073579</v>
      </c>
      <c r="Z50" s="442">
        <f t="shared" si="33"/>
        <v>0.1217333780802648</v>
      </c>
      <c r="AA50" s="442">
        <f t="shared" si="33"/>
        <v>9.3061029845510498E-2</v>
      </c>
      <c r="AB50" s="442">
        <f t="shared" si="33"/>
        <v>8.9514237673995342E-2</v>
      </c>
      <c r="AC50" s="441">
        <f t="shared" si="33"/>
        <v>0.12035744920557158</v>
      </c>
      <c r="AD50" s="442">
        <f t="shared" si="33"/>
        <v>0.10110736866312171</v>
      </c>
      <c r="AE50" s="442">
        <f t="shared" si="33"/>
        <v>0.10110736866312173</v>
      </c>
      <c r="AF50" s="442">
        <f t="shared" si="33"/>
        <v>0.17643360855444923</v>
      </c>
      <c r="AG50" s="442">
        <f t="shared" si="33"/>
        <v>0.13327954208510137</v>
      </c>
      <c r="AH50" s="442">
        <f t="shared" si="33"/>
        <v>9.1874773620972988E-2</v>
      </c>
      <c r="AI50" s="442">
        <f t="shared" si="33"/>
        <v>0.11093951424906213</v>
      </c>
      <c r="AJ50" s="442">
        <f t="shared" si="33"/>
        <v>9.7873183834369493E-2</v>
      </c>
      <c r="AK50" s="442">
        <f t="shared" si="33"/>
        <v>0.10959019025872735</v>
      </c>
      <c r="AL50" s="442">
        <f t="shared" si="33"/>
        <v>0.10428981323775097</v>
      </c>
      <c r="AM50" s="442">
        <f t="shared" si="33"/>
        <v>0.10530170995111564</v>
      </c>
      <c r="AN50" s="442">
        <f t="shared" si="33"/>
        <v>0.10762935587261691</v>
      </c>
      <c r="AO50" s="442">
        <f t="shared" si="33"/>
        <v>0.13405768741563123</v>
      </c>
      <c r="AP50" s="442">
        <f t="shared" si="33"/>
        <v>0.16357410586914206</v>
      </c>
      <c r="AQ50" s="442"/>
      <c r="AR50" s="442">
        <f t="shared" si="34"/>
        <v>0.12119542934564656</v>
      </c>
      <c r="AS50" s="442">
        <f t="shared" si="34"/>
        <v>0.15147899270168069</v>
      </c>
      <c r="AT50" s="442">
        <f t="shared" si="34"/>
        <v>0.19019219416570654</v>
      </c>
      <c r="AU50" s="442">
        <f t="shared" si="34"/>
        <v>0.11324456814171674</v>
      </c>
      <c r="AV50" s="442">
        <f t="shared" si="34"/>
        <v>0.12584943259152204</v>
      </c>
      <c r="AW50" s="442">
        <f t="shared" si="34"/>
        <v>0.13001963139954903</v>
      </c>
      <c r="AX50" s="442" t="e">
        <f t="shared" si="34"/>
        <v>#DIV/0!</v>
      </c>
      <c r="AY50" s="442" t="e">
        <f t="shared" si="34"/>
        <v>#DIV/0!</v>
      </c>
      <c r="AZ50" s="442" t="e">
        <f t="shared" si="34"/>
        <v>#DIV/0!</v>
      </c>
      <c r="BA50" s="442" t="e">
        <f t="shared" si="34"/>
        <v>#DIV/0!</v>
      </c>
      <c r="BB50" s="442" t="e">
        <f t="shared" si="34"/>
        <v>#DIV/0!</v>
      </c>
      <c r="BC50" s="442" t="e">
        <f t="shared" si="34"/>
        <v>#DIV/0!</v>
      </c>
      <c r="BD50" s="442" t="e">
        <f t="shared" si="34"/>
        <v>#DIV/0!</v>
      </c>
      <c r="BE50" s="442">
        <f t="shared" si="34"/>
        <v>0.13681804697073507</v>
      </c>
      <c r="BF50" s="442">
        <f t="shared" si="34"/>
        <v>0.13162164023007353</v>
      </c>
      <c r="BG50" s="443"/>
    </row>
    <row r="51" spans="2:59" s="444" customFormat="1">
      <c r="B51" s="422">
        <f t="shared" si="35"/>
        <v>3</v>
      </c>
      <c r="C51" s="422" t="s">
        <v>425</v>
      </c>
      <c r="D51" s="422" t="s">
        <v>443</v>
      </c>
      <c r="E51" s="442">
        <f t="shared" si="33"/>
        <v>5.8063068967948432E-2</v>
      </c>
      <c r="F51" s="442">
        <f t="shared" si="33"/>
        <v>4.661533371652328E-2</v>
      </c>
      <c r="G51" s="442">
        <f t="shared" si="33"/>
        <v>4.206308350771875E-2</v>
      </c>
      <c r="H51" s="442">
        <f t="shared" si="33"/>
        <v>5.1143413851996465E-2</v>
      </c>
      <c r="I51" s="442">
        <f t="shared" si="33"/>
        <v>4.1870465981334891E-2</v>
      </c>
      <c r="J51" s="442">
        <f t="shared" si="33"/>
        <v>4.793602116826419E-2</v>
      </c>
      <c r="K51" s="442">
        <f t="shared" si="33"/>
        <v>4.3404685937291965E-2</v>
      </c>
      <c r="L51" s="442">
        <f t="shared" si="33"/>
        <v>4.4012999190639571E-2</v>
      </c>
      <c r="M51" s="442">
        <f t="shared" si="33"/>
        <v>5.1590748055597081E-2</v>
      </c>
      <c r="N51" s="442">
        <f t="shared" si="33"/>
        <v>4.6157199034926787E-2</v>
      </c>
      <c r="O51" s="442">
        <f t="shared" si="33"/>
        <v>5.6565893050042344E-2</v>
      </c>
      <c r="P51" s="442">
        <f t="shared" si="33"/>
        <v>3.1497673258327287E-2</v>
      </c>
      <c r="Q51" s="442">
        <f t="shared" si="33"/>
        <v>4.5290631560775951E-2</v>
      </c>
      <c r="R51" s="442">
        <f t="shared" si="33"/>
        <v>2.6060729173995125E-2</v>
      </c>
      <c r="S51" s="442">
        <f t="shared" si="33"/>
        <v>3.5395140465820485E-2</v>
      </c>
      <c r="T51" s="442">
        <f t="shared" si="33"/>
        <v>2.3898845739786807E-2</v>
      </c>
      <c r="U51" s="442">
        <f t="shared" si="33"/>
        <v>2.6495197006214548E-2</v>
      </c>
      <c r="V51" s="442">
        <f t="shared" si="33"/>
        <v>2.6415433008492244E-2</v>
      </c>
      <c r="W51" s="442">
        <f t="shared" si="33"/>
        <v>3.2825991030770628E-2</v>
      </c>
      <c r="X51" s="442">
        <f t="shared" si="33"/>
        <v>4.9770955085210775E-2</v>
      </c>
      <c r="Y51" s="442">
        <f t="shared" si="33"/>
        <v>4.4525915041141999E-2</v>
      </c>
      <c r="Z51" s="442">
        <f t="shared" si="33"/>
        <v>3.8043577683862663E-2</v>
      </c>
      <c r="AA51" s="442">
        <f t="shared" si="33"/>
        <v>2.8903289710593163E-2</v>
      </c>
      <c r="AB51" s="442">
        <f t="shared" si="33"/>
        <v>2.7214503270553889E-2</v>
      </c>
      <c r="AC51" s="441">
        <f t="shared" si="33"/>
        <v>3.470908929626311E-2</v>
      </c>
      <c r="AD51" s="442">
        <f t="shared" si="33"/>
        <v>3.1428474299025927E-2</v>
      </c>
      <c r="AE51" s="442">
        <f t="shared" si="33"/>
        <v>3.1428474299025927E-2</v>
      </c>
      <c r="AF51" s="442">
        <f t="shared" si="33"/>
        <v>5.3746032070241936E-2</v>
      </c>
      <c r="AG51" s="442">
        <f t="shared" si="33"/>
        <v>4.0761877845434509E-2</v>
      </c>
      <c r="AH51" s="442">
        <f t="shared" si="33"/>
        <v>2.9486603437401664E-2</v>
      </c>
      <c r="AI51" s="442">
        <f t="shared" si="33"/>
        <v>3.1505376169897785E-2</v>
      </c>
      <c r="AJ51" s="442">
        <f t="shared" si="33"/>
        <v>2.8943492320410911E-2</v>
      </c>
      <c r="AK51" s="442">
        <f t="shared" si="33"/>
        <v>3.1582276840230503E-2</v>
      </c>
      <c r="AL51" s="442">
        <f t="shared" si="33"/>
        <v>2.8977472252839743E-2</v>
      </c>
      <c r="AM51" s="442">
        <f t="shared" si="33"/>
        <v>2.8782939286287071E-2</v>
      </c>
      <c r="AN51" s="442">
        <f t="shared" si="33"/>
        <v>3.0945544808826407E-2</v>
      </c>
      <c r="AO51" s="442">
        <f t="shared" si="33"/>
        <v>3.9378989007993095E-2</v>
      </c>
      <c r="AP51" s="442">
        <f t="shared" si="33"/>
        <v>5.1337912450432614E-2</v>
      </c>
      <c r="AQ51" s="442"/>
      <c r="AR51" s="442">
        <f t="shared" si="34"/>
        <v>3.4467758553877591E-2</v>
      </c>
      <c r="AS51" s="442">
        <f t="shared" si="34"/>
        <v>2.2429800279074253E-2</v>
      </c>
      <c r="AT51" s="442">
        <f t="shared" si="34"/>
        <v>3.1030070821252566E-2</v>
      </c>
      <c r="AU51" s="442">
        <f t="shared" si="34"/>
        <v>1.7271727408339373E-2</v>
      </c>
      <c r="AV51" s="442">
        <f t="shared" si="34"/>
        <v>1.843618290430462E-2</v>
      </c>
      <c r="AW51" s="442">
        <f t="shared" si="34"/>
        <v>2.068843526825016E-2</v>
      </c>
      <c r="AX51" s="442" t="e">
        <f t="shared" si="34"/>
        <v>#DIV/0!</v>
      </c>
      <c r="AY51" s="442" t="e">
        <f t="shared" si="34"/>
        <v>#DIV/0!</v>
      </c>
      <c r="AZ51" s="442" t="e">
        <f t="shared" si="34"/>
        <v>#DIV/0!</v>
      </c>
      <c r="BA51" s="442" t="e">
        <f t="shared" si="34"/>
        <v>#DIV/0!</v>
      </c>
      <c r="BB51" s="442" t="e">
        <f t="shared" si="34"/>
        <v>#DIV/0!</v>
      </c>
      <c r="BC51" s="442" t="e">
        <f t="shared" si="34"/>
        <v>#DIV/0!</v>
      </c>
      <c r="BD51" s="442" t="e">
        <f t="shared" si="34"/>
        <v>#DIV/0!</v>
      </c>
      <c r="BE51" s="442">
        <f t="shared" si="34"/>
        <v>2.1012838089011474E-2</v>
      </c>
      <c r="BF51" s="442">
        <f t="shared" si="34"/>
        <v>4.8402919844213091E-2</v>
      </c>
      <c r="BG51" s="443"/>
    </row>
    <row r="52" spans="2:59" s="444" customFormat="1">
      <c r="B52" s="422">
        <f t="shared" si="35"/>
        <v>4</v>
      </c>
      <c r="C52" s="422" t="s">
        <v>440</v>
      </c>
      <c r="D52" s="422" t="s">
        <v>444</v>
      </c>
      <c r="E52" s="442">
        <f t="shared" si="33"/>
        <v>1.8310076669571851E-2</v>
      </c>
      <c r="F52" s="442">
        <f t="shared" si="33"/>
        <v>1.8441522343880447E-2</v>
      </c>
      <c r="G52" s="442">
        <f t="shared" si="33"/>
        <v>1.7257939452804925E-2</v>
      </c>
      <c r="H52" s="442">
        <f t="shared" si="33"/>
        <v>1.5413941489310424E-2</v>
      </c>
      <c r="I52" s="442">
        <f t="shared" si="33"/>
        <v>1.12419782888227E-2</v>
      </c>
      <c r="J52" s="442">
        <f t="shared" si="33"/>
        <v>1.4754384950947769E-2</v>
      </c>
      <c r="K52" s="442">
        <f t="shared" si="33"/>
        <v>1.3372386711690191E-2</v>
      </c>
      <c r="L52" s="442">
        <f t="shared" si="33"/>
        <v>1.0511910467217243E-2</v>
      </c>
      <c r="M52" s="442">
        <f t="shared" si="33"/>
        <v>1.0707069701839784E-2</v>
      </c>
      <c r="N52" s="442">
        <f t="shared" si="33"/>
        <v>1.0056357380583834E-2</v>
      </c>
      <c r="O52" s="442">
        <f t="shared" si="33"/>
        <v>1.2520863989271823E-2</v>
      </c>
      <c r="P52" s="442">
        <f t="shared" si="33"/>
        <v>1.1316288027578949E-2</v>
      </c>
      <c r="Q52" s="442">
        <f t="shared" si="33"/>
        <v>1.3218794007717785E-2</v>
      </c>
      <c r="R52" s="442">
        <f t="shared" si="33"/>
        <v>1.4413771224104435E-2</v>
      </c>
      <c r="S52" s="442">
        <f t="shared" si="33"/>
        <v>1.6249497960250658E-2</v>
      </c>
      <c r="T52" s="442">
        <f t="shared" si="33"/>
        <v>9.1749791067399812E-3</v>
      </c>
      <c r="U52" s="442">
        <f t="shared" si="33"/>
        <v>1.1139265115724628E-2</v>
      </c>
      <c r="V52" s="442">
        <f t="shared" si="33"/>
        <v>1.5518727432006467E-2</v>
      </c>
      <c r="W52" s="442">
        <f t="shared" si="33"/>
        <v>1.8872515206132409E-2</v>
      </c>
      <c r="X52" s="442">
        <f t="shared" si="33"/>
        <v>2.3866568852213891E-2</v>
      </c>
      <c r="Y52" s="442">
        <f t="shared" si="33"/>
        <v>3.9295391473670754E-2</v>
      </c>
      <c r="Z52" s="442">
        <f t="shared" si="33"/>
        <v>3.9895496028194054E-2</v>
      </c>
      <c r="AA52" s="442">
        <f t="shared" si="33"/>
        <v>3.2474393086557939E-2</v>
      </c>
      <c r="AB52" s="442">
        <f t="shared" si="33"/>
        <v>2.8198217860066925E-2</v>
      </c>
      <c r="AC52" s="441">
        <f t="shared" si="33"/>
        <v>0.10313258632641299</v>
      </c>
      <c r="AD52" s="442">
        <f t="shared" si="33"/>
        <v>2.8768332301393491E-2</v>
      </c>
      <c r="AE52" s="442">
        <f t="shared" si="33"/>
        <v>2.8768332301393494E-2</v>
      </c>
      <c r="AF52" s="442">
        <f t="shared" si="33"/>
        <v>5.3083892689608232E-2</v>
      </c>
      <c r="AG52" s="442">
        <f t="shared" si="33"/>
        <v>2.838940431413204E-2</v>
      </c>
      <c r="AH52" s="442">
        <f t="shared" si="33"/>
        <v>2.9878125608115275E-2</v>
      </c>
      <c r="AI52" s="442">
        <f t="shared" si="33"/>
        <v>1.9993276906660543E-2</v>
      </c>
      <c r="AJ52" s="442">
        <f t="shared" si="33"/>
        <v>2.1875596363631403E-2</v>
      </c>
      <c r="AK52" s="442">
        <f t="shared" si="33"/>
        <v>2.1564150095102704E-2</v>
      </c>
      <c r="AL52" s="442">
        <f t="shared" si="33"/>
        <v>2.1310668421120574E-2</v>
      </c>
      <c r="AM52" s="442">
        <f t="shared" si="33"/>
        <v>2.1269043912113043E-2</v>
      </c>
      <c r="AN52" s="442">
        <f t="shared" si="33"/>
        <v>3.2381860514616993E-2</v>
      </c>
      <c r="AO52" s="442">
        <f t="shared" si="33"/>
        <v>4.4347829689484079E-2</v>
      </c>
      <c r="AP52" s="442">
        <f t="shared" si="33"/>
        <v>5.8670863641986357E-2</v>
      </c>
      <c r="AQ52" s="442"/>
      <c r="AR52" s="442">
        <f t="shared" si="34"/>
        <v>3.188519391527006E-2</v>
      </c>
      <c r="AS52" s="442">
        <f t="shared" si="34"/>
        <v>3.6926396853835926E-2</v>
      </c>
      <c r="AT52" s="442">
        <f t="shared" si="34"/>
        <v>4.748892031614492E-2</v>
      </c>
      <c r="AU52" s="442">
        <f t="shared" si="34"/>
        <v>2.0293327871953037E-2</v>
      </c>
      <c r="AV52" s="442">
        <f t="shared" si="34"/>
        <v>2.3002952655240803E-2</v>
      </c>
      <c r="AW52" s="442">
        <f t="shared" si="34"/>
        <v>2.9781197230843427E-2</v>
      </c>
      <c r="AX52" s="442" t="e">
        <f t="shared" si="34"/>
        <v>#DIV/0!</v>
      </c>
      <c r="AY52" s="442" t="e">
        <f t="shared" si="34"/>
        <v>#DIV/0!</v>
      </c>
      <c r="AZ52" s="442" t="e">
        <f t="shared" si="34"/>
        <v>#DIV/0!</v>
      </c>
      <c r="BA52" s="442" t="e">
        <f t="shared" si="34"/>
        <v>#DIV/0!</v>
      </c>
      <c r="BB52" s="442" t="e">
        <f t="shared" si="34"/>
        <v>#DIV/0!</v>
      </c>
      <c r="BC52" s="442" t="e">
        <f t="shared" si="34"/>
        <v>#DIV/0!</v>
      </c>
      <c r="BD52" s="442" t="e">
        <f t="shared" si="34"/>
        <v>#DIV/0!</v>
      </c>
      <c r="BE52" s="442">
        <f t="shared" si="34"/>
        <v>2.9549004671853413E-2</v>
      </c>
      <c r="BF52" s="442">
        <f t="shared" si="34"/>
        <v>3.6855349855773899E-2</v>
      </c>
      <c r="BG52" s="443"/>
    </row>
    <row r="53" spans="2:59" s="444" customFormat="1">
      <c r="B53" s="422">
        <f t="shared" si="35"/>
        <v>5</v>
      </c>
      <c r="C53" s="422" t="s">
        <v>440</v>
      </c>
      <c r="D53" s="422" t="s">
        <v>445</v>
      </c>
      <c r="E53" s="442">
        <f t="shared" si="33"/>
        <v>1.3509493415941988E-2</v>
      </c>
      <c r="F53" s="442">
        <f t="shared" si="33"/>
        <v>1.077117812039422E-2</v>
      </c>
      <c r="G53" s="442">
        <f t="shared" si="33"/>
        <v>8.665501236852809E-3</v>
      </c>
      <c r="H53" s="442">
        <f t="shared" si="33"/>
        <v>8.8251558162587493E-3</v>
      </c>
      <c r="I53" s="442">
        <f t="shared" si="33"/>
        <v>9.8746138772229063E-3</v>
      </c>
      <c r="J53" s="442">
        <f t="shared" si="33"/>
        <v>9.2385729008845532E-3</v>
      </c>
      <c r="K53" s="442">
        <f t="shared" si="33"/>
        <v>8.3767735935625087E-3</v>
      </c>
      <c r="L53" s="442">
        <f t="shared" si="33"/>
        <v>8.8794139103326748E-3</v>
      </c>
      <c r="M53" s="442">
        <f t="shared" si="33"/>
        <v>8.5009475913343201E-3</v>
      </c>
      <c r="N53" s="442">
        <f t="shared" si="33"/>
        <v>8.7669473679787471E-3</v>
      </c>
      <c r="O53" s="442">
        <f t="shared" si="33"/>
        <v>1.2064017718195246E-2</v>
      </c>
      <c r="P53" s="442">
        <f t="shared" si="33"/>
        <v>7.0676608803657125E-3</v>
      </c>
      <c r="Q53" s="442">
        <f t="shared" si="33"/>
        <v>9.2294061584045749E-3</v>
      </c>
      <c r="R53" s="442">
        <f t="shared" si="33"/>
        <v>6.2237497403305831E-3</v>
      </c>
      <c r="S53" s="442">
        <f t="shared" si="33"/>
        <v>8.1505609938240572E-3</v>
      </c>
      <c r="T53" s="442">
        <f t="shared" si="33"/>
        <v>6.6408868270770747E-3</v>
      </c>
      <c r="U53" s="442">
        <f t="shared" si="33"/>
        <v>7.330113242658658E-3</v>
      </c>
      <c r="V53" s="442">
        <f t="shared" si="33"/>
        <v>7.8499006799417712E-3</v>
      </c>
      <c r="W53" s="442">
        <f t="shared" si="33"/>
        <v>7.9013694966053056E-3</v>
      </c>
      <c r="X53" s="442">
        <f t="shared" si="33"/>
        <v>1.0319613224444765E-2</v>
      </c>
      <c r="Y53" s="442">
        <f t="shared" si="33"/>
        <v>1.1156457354571039E-2</v>
      </c>
      <c r="Z53" s="442">
        <f t="shared" si="33"/>
        <v>1.1207917938562458E-2</v>
      </c>
      <c r="AA53" s="442">
        <f t="shared" si="33"/>
        <v>6.990819462788218E-3</v>
      </c>
      <c r="AB53" s="442">
        <f t="shared" si="33"/>
        <v>7.8969448342466452E-3</v>
      </c>
      <c r="AC53" s="441">
        <f t="shared" si="33"/>
        <v>9.9647653598206043E-3</v>
      </c>
      <c r="AD53" s="442">
        <f t="shared" si="33"/>
        <v>8.2279485477195387E-3</v>
      </c>
      <c r="AE53" s="442">
        <f t="shared" si="33"/>
        <v>8.2279485477195404E-3</v>
      </c>
      <c r="AF53" s="442">
        <f t="shared" si="33"/>
        <v>1.1966913055807122E-2</v>
      </c>
      <c r="AG53" s="442">
        <f t="shared" si="33"/>
        <v>1.0722449010320503E-2</v>
      </c>
      <c r="AH53" s="442">
        <f t="shared" si="33"/>
        <v>6.976337050154208E-3</v>
      </c>
      <c r="AI53" s="442">
        <f t="shared" si="33"/>
        <v>8.8563785702649722E-3</v>
      </c>
      <c r="AJ53" s="442">
        <f t="shared" si="33"/>
        <v>7.670240014451447E-3</v>
      </c>
      <c r="AK53" s="442">
        <f t="shared" si="33"/>
        <v>6.8854646451693294E-3</v>
      </c>
      <c r="AL53" s="442">
        <f t="shared" si="33"/>
        <v>6.8667160407844185E-3</v>
      </c>
      <c r="AM53" s="442">
        <f t="shared" si="33"/>
        <v>6.4794472748153763E-3</v>
      </c>
      <c r="AN53" s="442">
        <f t="shared" si="33"/>
        <v>6.6183587649290979E-3</v>
      </c>
      <c r="AO53" s="442">
        <f t="shared" si="33"/>
        <v>8.8351846451553591E-3</v>
      </c>
      <c r="AP53" s="442">
        <f t="shared" si="33"/>
        <v>1.1637730332913996E-2</v>
      </c>
      <c r="AQ53" s="442"/>
      <c r="AR53" s="442">
        <f t="shared" si="34"/>
        <v>8.0509484927539614E-3</v>
      </c>
      <c r="AS53" s="442">
        <f t="shared" si="34"/>
        <v>6.3136494165338701E-3</v>
      </c>
      <c r="AT53" s="442">
        <f t="shared" si="34"/>
        <v>7.6845341076570012E-3</v>
      </c>
      <c r="AU53" s="442">
        <f t="shared" si="34"/>
        <v>4.9438454207107836E-3</v>
      </c>
      <c r="AV53" s="442">
        <f t="shared" si="34"/>
        <v>4.6695123576667641E-3</v>
      </c>
      <c r="AW53" s="442">
        <f t="shared" si="34"/>
        <v>5.416328656801252E-3</v>
      </c>
      <c r="AX53" s="442" t="e">
        <f t="shared" si="34"/>
        <v>#DIV/0!</v>
      </c>
      <c r="AY53" s="442" t="e">
        <f t="shared" si="34"/>
        <v>#DIV/0!</v>
      </c>
      <c r="AZ53" s="442" t="e">
        <f t="shared" si="34"/>
        <v>#DIV/0!</v>
      </c>
      <c r="BA53" s="442" t="e">
        <f t="shared" si="34"/>
        <v>#DIV/0!</v>
      </c>
      <c r="BB53" s="442" t="e">
        <f t="shared" si="34"/>
        <v>#DIV/0!</v>
      </c>
      <c r="BC53" s="442" t="e">
        <f t="shared" si="34"/>
        <v>#DIV/0!</v>
      </c>
      <c r="BD53" s="442" t="e">
        <f t="shared" si="34"/>
        <v>#DIV/0!</v>
      </c>
      <c r="BE53" s="442">
        <f t="shared" si="34"/>
        <v>5.586661295620173E-3</v>
      </c>
      <c r="BF53" s="442">
        <f t="shared" si="34"/>
        <v>6.5403726926176603E-3</v>
      </c>
      <c r="BG53" s="443"/>
    </row>
    <row r="54" spans="2:59" s="444" customFormat="1">
      <c r="B54" s="422">
        <f t="shared" si="35"/>
        <v>6</v>
      </c>
      <c r="C54" s="422" t="s">
        <v>440</v>
      </c>
      <c r="D54" s="422" t="s">
        <v>446</v>
      </c>
      <c r="E54" s="442">
        <f t="shared" si="33"/>
        <v>7.1568943954708128E-3</v>
      </c>
      <c r="F54" s="442">
        <f t="shared" si="33"/>
        <v>4.2384967016097421E-3</v>
      </c>
      <c r="G54" s="442">
        <f t="shared" si="33"/>
        <v>5.0659069297889943E-3</v>
      </c>
      <c r="H54" s="442">
        <f t="shared" si="33"/>
        <v>4.0721777708232019E-3</v>
      </c>
      <c r="I54" s="442">
        <f t="shared" si="33"/>
        <v>6.8296990560384315E-3</v>
      </c>
      <c r="J54" s="442">
        <f t="shared" si="33"/>
        <v>7.3422443038440467E-3</v>
      </c>
      <c r="K54" s="442">
        <f t="shared" si="33"/>
        <v>9.1056451870487262E-3</v>
      </c>
      <c r="L54" s="442">
        <f t="shared" si="33"/>
        <v>7.3551657413066657E-3</v>
      </c>
      <c r="M54" s="442">
        <f t="shared" si="33"/>
        <v>6.3581518765015495E-3</v>
      </c>
      <c r="N54" s="442">
        <f t="shared" si="33"/>
        <v>8.125552996327846E-3</v>
      </c>
      <c r="O54" s="442">
        <f t="shared" si="33"/>
        <v>1.2229304676139325E-2</v>
      </c>
      <c r="P54" s="442">
        <f t="shared" si="33"/>
        <v>8.8095099675016154E-3</v>
      </c>
      <c r="Q54" s="442">
        <f t="shared" si="33"/>
        <v>7.3780028846434347E-3</v>
      </c>
      <c r="R54" s="442">
        <f t="shared" si="33"/>
        <v>4.6821991689177311E-3</v>
      </c>
      <c r="S54" s="442">
        <f t="shared" si="33"/>
        <v>7.6074553992942495E-3</v>
      </c>
      <c r="T54" s="442">
        <f t="shared" si="33"/>
        <v>5.5686353075608715E-3</v>
      </c>
      <c r="U54" s="442">
        <f t="shared" si="33"/>
        <v>5.331379753704942E-3</v>
      </c>
      <c r="V54" s="442">
        <f t="shared" si="33"/>
        <v>6.2293072865931345E-3</v>
      </c>
      <c r="W54" s="442">
        <f t="shared" si="33"/>
        <v>8.5070546528079934E-3</v>
      </c>
      <c r="X54" s="442">
        <f t="shared" si="33"/>
        <v>8.6511354405875221E-3</v>
      </c>
      <c r="Y54" s="442">
        <f t="shared" si="33"/>
        <v>1.0930768038343079E-2</v>
      </c>
      <c r="Z54" s="442">
        <f t="shared" si="33"/>
        <v>1.0319718476152465E-2</v>
      </c>
      <c r="AA54" s="442">
        <f t="shared" si="33"/>
        <v>8.4925279283082442E-3</v>
      </c>
      <c r="AB54" s="442">
        <f t="shared" si="33"/>
        <v>9.7658321533069716E-3</v>
      </c>
      <c r="AC54" s="441">
        <f t="shared" si="33"/>
        <v>1.3697202423223403E-2</v>
      </c>
      <c r="AD54" s="442">
        <f t="shared" si="33"/>
        <v>8.1291045484748886E-3</v>
      </c>
      <c r="AE54" s="442">
        <f t="shared" si="33"/>
        <v>8.1291045484748886E-3</v>
      </c>
      <c r="AF54" s="442">
        <f t="shared" si="33"/>
        <v>1.3493771351402289E-2</v>
      </c>
      <c r="AG54" s="442">
        <f t="shared" si="33"/>
        <v>1.2391842988750941E-2</v>
      </c>
      <c r="AH54" s="442">
        <f t="shared" si="33"/>
        <v>7.6040012097455178E-3</v>
      </c>
      <c r="AI54" s="442">
        <f t="shared" si="33"/>
        <v>9.061116307823202E-3</v>
      </c>
      <c r="AJ54" s="442">
        <f t="shared" si="33"/>
        <v>7.5739354489450907E-3</v>
      </c>
      <c r="AK54" s="442">
        <f t="shared" si="33"/>
        <v>9.9855731663871707E-3</v>
      </c>
      <c r="AL54" s="442">
        <f t="shared" si="33"/>
        <v>9.4828983173977453E-3</v>
      </c>
      <c r="AM54" s="442">
        <f t="shared" si="33"/>
        <v>9.1456630943381849E-3</v>
      </c>
      <c r="AN54" s="442">
        <f t="shared" si="33"/>
        <v>7.9707356484978575E-3</v>
      </c>
      <c r="AO54" s="442">
        <f t="shared" si="33"/>
        <v>1.1797376528235634E-2</v>
      </c>
      <c r="AP54" s="442">
        <f t="shared" si="33"/>
        <v>1.3383553020701988E-2</v>
      </c>
      <c r="AQ54" s="442"/>
      <c r="AR54" s="442">
        <f t="shared" si="34"/>
        <v>9.7183401127781174E-3</v>
      </c>
      <c r="AS54" s="442">
        <f t="shared" si="34"/>
        <v>1.0017440636184087E-2</v>
      </c>
      <c r="AT54" s="442">
        <f t="shared" si="34"/>
        <v>1.0324662522051229E-2</v>
      </c>
      <c r="AU54" s="442">
        <f t="shared" si="34"/>
        <v>7.0449907548410752E-3</v>
      </c>
      <c r="AV54" s="442">
        <f t="shared" si="34"/>
        <v>8.2432167614074729E-3</v>
      </c>
      <c r="AW54" s="442">
        <f t="shared" si="34"/>
        <v>1.1198173563220141E-2</v>
      </c>
      <c r="AX54" s="442" t="e">
        <f t="shared" si="34"/>
        <v>#DIV/0!</v>
      </c>
      <c r="AY54" s="442" t="e">
        <f t="shared" si="34"/>
        <v>#DIV/0!</v>
      </c>
      <c r="AZ54" s="442" t="e">
        <f t="shared" si="34"/>
        <v>#DIV/0!</v>
      </c>
      <c r="BA54" s="442" t="e">
        <f t="shared" si="34"/>
        <v>#DIV/0!</v>
      </c>
      <c r="BB54" s="442" t="e">
        <f t="shared" si="34"/>
        <v>#DIV/0!</v>
      </c>
      <c r="BC54" s="442" t="e">
        <f t="shared" si="34"/>
        <v>#DIV/0!</v>
      </c>
      <c r="BD54" s="442" t="e">
        <f t="shared" si="34"/>
        <v>#DIV/0!</v>
      </c>
      <c r="BE54" s="442">
        <f t="shared" si="34"/>
        <v>9.1935420785572465E-3</v>
      </c>
      <c r="BF54" s="442">
        <f t="shared" si="34"/>
        <v>9.7316540561319612E-3</v>
      </c>
      <c r="BG54" s="443"/>
    </row>
    <row r="55" spans="2:59" s="444" customFormat="1">
      <c r="B55" s="422">
        <f t="shared" si="35"/>
        <v>7</v>
      </c>
      <c r="C55" s="422" t="s">
        <v>440</v>
      </c>
      <c r="D55" s="422" t="s">
        <v>447</v>
      </c>
      <c r="E55" s="442">
        <f t="shared" si="33"/>
        <v>1.286881960959512E-3</v>
      </c>
      <c r="F55" s="442">
        <f t="shared" si="33"/>
        <v>0</v>
      </c>
      <c r="G55" s="442">
        <f t="shared" si="33"/>
        <v>8.7008712414951496E-4</v>
      </c>
      <c r="H55" s="442">
        <f t="shared" si="33"/>
        <v>1.5565150857332029E-3</v>
      </c>
      <c r="I55" s="442">
        <f t="shared" si="33"/>
        <v>1.1740977354621725E-3</v>
      </c>
      <c r="J55" s="442">
        <f t="shared" si="33"/>
        <v>5.4252031783166453E-4</v>
      </c>
      <c r="K55" s="442">
        <f t="shared" si="33"/>
        <v>1.5223793185797632E-3</v>
      </c>
      <c r="L55" s="442">
        <f t="shared" si="33"/>
        <v>1.5034024549036966E-3</v>
      </c>
      <c r="M55" s="442">
        <f t="shared" si="33"/>
        <v>1.9808288271629206E-3</v>
      </c>
      <c r="N55" s="442">
        <f t="shared" si="33"/>
        <v>2.0808613787339117E-3</v>
      </c>
      <c r="O55" s="442">
        <f t="shared" si="33"/>
        <v>3.0868106476493844E-3</v>
      </c>
      <c r="P55" s="442">
        <f t="shared" si="33"/>
        <v>3.2884827120692357E-3</v>
      </c>
      <c r="Q55" s="442">
        <f t="shared" si="33"/>
        <v>1.7039339689627225E-3</v>
      </c>
      <c r="R55" s="442">
        <f t="shared" si="33"/>
        <v>4.0020182153100983E-3</v>
      </c>
      <c r="S55" s="442">
        <f t="shared" si="33"/>
        <v>6.6457783137240959E-3</v>
      </c>
      <c r="T55" s="442">
        <f t="shared" si="33"/>
        <v>4.6803171633353286E-3</v>
      </c>
      <c r="U55" s="442">
        <f t="shared" si="33"/>
        <v>7.5437697554178798E-3</v>
      </c>
      <c r="V55" s="442">
        <f t="shared" si="33"/>
        <v>7.9465922663984282E-3</v>
      </c>
      <c r="W55" s="442">
        <f t="shared" si="33"/>
        <v>1.1295632883524059E-2</v>
      </c>
      <c r="X55" s="442">
        <f t="shared" si="33"/>
        <v>1.7644016424736345E-2</v>
      </c>
      <c r="Y55" s="442">
        <f t="shared" si="33"/>
        <v>1.269512218135346E-2</v>
      </c>
      <c r="Z55" s="442">
        <f t="shared" si="33"/>
        <v>9.5193810054034645E-3</v>
      </c>
      <c r="AA55" s="442">
        <f t="shared" si="33"/>
        <v>7.0698733494185375E-3</v>
      </c>
      <c r="AB55" s="442">
        <f t="shared" si="33"/>
        <v>7.0159806164106428E-3</v>
      </c>
      <c r="AC55" s="441">
        <f t="shared" si="33"/>
        <v>9.5254999128394739E-3</v>
      </c>
      <c r="AD55" s="442">
        <f t="shared" si="33"/>
        <v>8.2572750115897306E-3</v>
      </c>
      <c r="AE55" s="442">
        <f t="shared" si="33"/>
        <v>8.2572750115897323E-3</v>
      </c>
      <c r="AF55" s="442">
        <f t="shared" ref="AF55:AP55" si="36">AF24/AF$25</f>
        <v>1.5754654858519596E-2</v>
      </c>
      <c r="AG55" s="442">
        <f t="shared" si="36"/>
        <v>9.9462498046775163E-3</v>
      </c>
      <c r="AH55" s="442">
        <f t="shared" si="36"/>
        <v>4.9649784520259463E-3</v>
      </c>
      <c r="AI55" s="442">
        <f t="shared" si="36"/>
        <v>7.1671614966751116E-3</v>
      </c>
      <c r="AJ55" s="442">
        <f t="shared" si="36"/>
        <v>8.4112434154657509E-3</v>
      </c>
      <c r="AK55" s="442">
        <f t="shared" si="36"/>
        <v>1.1195084954359516E-2</v>
      </c>
      <c r="AL55" s="442">
        <f t="shared" si="36"/>
        <v>8.8094652844294685E-3</v>
      </c>
      <c r="AM55" s="442">
        <f t="shared" si="36"/>
        <v>9.1669579517673124E-3</v>
      </c>
      <c r="AN55" s="442">
        <f t="shared" si="36"/>
        <v>1.120403784780185E-2</v>
      </c>
      <c r="AO55" s="442">
        <f t="shared" si="36"/>
        <v>1.265052067786566E-2</v>
      </c>
      <c r="AP55" s="442">
        <f t="shared" si="36"/>
        <v>1.458343071530719E-2</v>
      </c>
      <c r="AQ55" s="442"/>
      <c r="AR55" s="442">
        <f t="shared" si="34"/>
        <v>9.952547090646616E-3</v>
      </c>
      <c r="AS55" s="442">
        <f t="shared" si="34"/>
        <v>1.3034648231249685E-2</v>
      </c>
      <c r="AT55" s="442">
        <f t="shared" si="34"/>
        <v>1.7061002099814968E-2</v>
      </c>
      <c r="AU55" s="442">
        <f t="shared" si="34"/>
        <v>7.8258377673849147E-3</v>
      </c>
      <c r="AV55" s="442">
        <f t="shared" si="34"/>
        <v>8.5957480025157344E-3</v>
      </c>
      <c r="AW55" s="442">
        <f t="shared" si="34"/>
        <v>7.4450397856105077E-3</v>
      </c>
      <c r="AX55" s="442" t="e">
        <f t="shared" si="34"/>
        <v>#DIV/0!</v>
      </c>
      <c r="AY55" s="442" t="e">
        <f t="shared" si="34"/>
        <v>#DIV/0!</v>
      </c>
      <c r="AZ55" s="442" t="e">
        <f t="shared" si="34"/>
        <v>#DIV/0!</v>
      </c>
      <c r="BA55" s="442" t="e">
        <f t="shared" si="34"/>
        <v>#DIV/0!</v>
      </c>
      <c r="BB55" s="442" t="e">
        <f t="shared" si="34"/>
        <v>#DIV/0!</v>
      </c>
      <c r="BC55" s="442" t="e">
        <f t="shared" si="34"/>
        <v>#DIV/0!</v>
      </c>
      <c r="BD55" s="442" t="e">
        <f t="shared" si="34"/>
        <v>#DIV/0!</v>
      </c>
      <c r="BE55" s="442">
        <f t="shared" si="34"/>
        <v>1.0075239741805351E-2</v>
      </c>
      <c r="BF55" s="442">
        <f t="shared" si="34"/>
        <v>2.4795616259692874E-2</v>
      </c>
      <c r="BG55" s="443"/>
    </row>
    <row r="56" spans="2:59" s="446" customFormat="1" ht="14">
      <c r="B56" s="445"/>
      <c r="C56" s="445"/>
      <c r="D56" s="445"/>
      <c r="E56" s="447">
        <f t="shared" ref="E56:AC56" si="37">SUM(E37:E55)</f>
        <v>1.0000000000000002</v>
      </c>
      <c r="F56" s="447">
        <f t="shared" si="37"/>
        <v>1</v>
      </c>
      <c r="G56" s="447">
        <f t="shared" si="37"/>
        <v>0.99999999999999967</v>
      </c>
      <c r="H56" s="447">
        <f t="shared" si="37"/>
        <v>1</v>
      </c>
      <c r="I56" s="447">
        <f t="shared" si="37"/>
        <v>1</v>
      </c>
      <c r="J56" s="447">
        <f t="shared" si="37"/>
        <v>0.99999999999999989</v>
      </c>
      <c r="K56" s="447">
        <f t="shared" si="37"/>
        <v>0.99999999999999989</v>
      </c>
      <c r="L56" s="447">
        <f t="shared" si="37"/>
        <v>0.99999999999999989</v>
      </c>
      <c r="M56" s="447">
        <f t="shared" si="37"/>
        <v>0.99999999999999978</v>
      </c>
      <c r="N56" s="447">
        <f t="shared" si="37"/>
        <v>1.0000000000000002</v>
      </c>
      <c r="O56" s="447">
        <f t="shared" si="37"/>
        <v>1</v>
      </c>
      <c r="P56" s="447">
        <f t="shared" si="37"/>
        <v>1.0000000000000002</v>
      </c>
      <c r="Q56" s="447">
        <f t="shared" si="37"/>
        <v>1</v>
      </c>
      <c r="R56" s="447">
        <f t="shared" si="37"/>
        <v>1</v>
      </c>
      <c r="S56" s="447">
        <f t="shared" si="37"/>
        <v>1.0000000000000002</v>
      </c>
      <c r="T56" s="447">
        <f t="shared" si="37"/>
        <v>1.0000000000000002</v>
      </c>
      <c r="U56" s="447">
        <f t="shared" si="37"/>
        <v>1</v>
      </c>
      <c r="V56" s="447">
        <f t="shared" si="37"/>
        <v>0.99999999999999989</v>
      </c>
      <c r="W56" s="447">
        <f t="shared" si="37"/>
        <v>1.0000000000000002</v>
      </c>
      <c r="X56" s="447">
        <f t="shared" si="37"/>
        <v>1</v>
      </c>
      <c r="Y56" s="447">
        <f t="shared" si="37"/>
        <v>1</v>
      </c>
      <c r="Z56" s="447">
        <f t="shared" si="37"/>
        <v>1.0000000000000002</v>
      </c>
      <c r="AA56" s="447">
        <f t="shared" si="37"/>
        <v>1</v>
      </c>
      <c r="AB56" s="447">
        <f t="shared" si="37"/>
        <v>0.99999999999999989</v>
      </c>
      <c r="AC56" s="447">
        <f t="shared" si="37"/>
        <v>0.99999999999999989</v>
      </c>
      <c r="AD56" s="447">
        <f>SUM(AD37:AD55)</f>
        <v>1.0000000000000002</v>
      </c>
      <c r="AE56" s="447"/>
      <c r="AF56" s="447"/>
      <c r="AG56" s="447"/>
      <c r="AH56" s="447"/>
      <c r="AI56" s="447"/>
      <c r="AJ56" s="447"/>
      <c r="AK56" s="447"/>
      <c r="AL56" s="447"/>
      <c r="AM56" s="447"/>
      <c r="AN56" s="447"/>
      <c r="AO56" s="447"/>
      <c r="AP56" s="447"/>
      <c r="AQ56" s="447"/>
      <c r="AR56" s="447"/>
      <c r="AS56" s="447"/>
      <c r="AT56" s="447"/>
      <c r="AU56" s="447"/>
      <c r="AV56" s="447"/>
      <c r="AW56" s="447"/>
      <c r="AX56" s="447"/>
      <c r="AY56" s="447"/>
      <c r="AZ56" s="447"/>
      <c r="BA56" s="447"/>
      <c r="BB56" s="447"/>
      <c r="BC56" s="447"/>
      <c r="BD56" s="447"/>
      <c r="BE56" s="447"/>
      <c r="BF56" s="447">
        <f>SUM(BF37:BF55)</f>
        <v>0.99999999999999956</v>
      </c>
      <c r="BG56" s="448"/>
    </row>
    <row r="57" spans="2:59" s="446" customFormat="1" ht="14">
      <c r="B57" s="445"/>
      <c r="C57" s="445"/>
      <c r="D57" s="445"/>
      <c r="E57" s="447"/>
      <c r="F57" s="447"/>
      <c r="G57" s="447"/>
      <c r="H57" s="447"/>
      <c r="I57" s="447"/>
      <c r="J57" s="447"/>
      <c r="K57" s="447"/>
      <c r="L57" s="447"/>
      <c r="M57" s="447"/>
      <c r="N57" s="447"/>
      <c r="O57" s="447"/>
      <c r="P57" s="447"/>
      <c r="Q57" s="447"/>
      <c r="R57" s="447"/>
      <c r="S57" s="447"/>
      <c r="T57" s="447"/>
      <c r="U57" s="447"/>
      <c r="V57" s="447"/>
      <c r="W57" s="447"/>
      <c r="X57" s="447"/>
      <c r="Y57" s="447"/>
      <c r="Z57" s="447"/>
      <c r="AA57" s="447"/>
      <c r="AB57" s="447"/>
      <c r="AC57" s="447"/>
      <c r="AD57" s="447"/>
      <c r="AE57" s="447"/>
      <c r="AF57" s="447"/>
      <c r="AG57" s="447"/>
      <c r="AH57" s="447"/>
      <c r="AI57" s="447"/>
      <c r="AJ57" s="447"/>
      <c r="AK57" s="447"/>
      <c r="AL57" s="447"/>
      <c r="AM57" s="447"/>
      <c r="AN57" s="447"/>
      <c r="AO57" s="447"/>
      <c r="AP57" s="447"/>
      <c r="AQ57" s="447"/>
      <c r="AR57" s="447"/>
      <c r="AS57" s="447"/>
      <c r="AT57" s="447"/>
      <c r="AU57" s="447"/>
      <c r="AV57" s="447"/>
      <c r="AW57" s="447"/>
      <c r="AX57" s="447"/>
      <c r="AY57" s="447"/>
      <c r="AZ57" s="447"/>
      <c r="BA57" s="447"/>
      <c r="BB57" s="447"/>
      <c r="BC57" s="447"/>
      <c r="BD57" s="447"/>
      <c r="BE57" s="447"/>
      <c r="BF57" s="447"/>
      <c r="BG57" s="448"/>
    </row>
    <row r="58" spans="2:59" s="446" customFormat="1" ht="14">
      <c r="B58" s="445"/>
      <c r="C58" s="445"/>
      <c r="D58" s="445"/>
      <c r="E58" s="447"/>
      <c r="F58" s="447"/>
      <c r="G58" s="447"/>
      <c r="H58" s="447"/>
      <c r="I58" s="447"/>
      <c r="J58" s="447"/>
      <c r="K58" s="447"/>
      <c r="L58" s="447"/>
      <c r="M58" s="447"/>
      <c r="N58" s="447"/>
      <c r="O58" s="447"/>
      <c r="P58" s="447"/>
      <c r="Q58" s="447"/>
      <c r="R58" s="447"/>
      <c r="S58" s="447"/>
      <c r="T58" s="447"/>
      <c r="U58" s="447"/>
      <c r="V58" s="447"/>
      <c r="W58" s="447"/>
      <c r="X58" s="447"/>
      <c r="Y58" s="447"/>
      <c r="Z58" s="447"/>
      <c r="AA58" s="447"/>
      <c r="AB58" s="447"/>
      <c r="AC58" s="447"/>
      <c r="AD58" s="447"/>
      <c r="AE58" s="447"/>
      <c r="AF58" s="447"/>
      <c r="AG58" s="447"/>
      <c r="AH58" s="447"/>
      <c r="AI58" s="447"/>
      <c r="AJ58" s="447"/>
      <c r="AK58" s="447"/>
      <c r="AL58" s="447"/>
      <c r="AM58" s="447"/>
      <c r="AN58" s="447"/>
      <c r="AO58" s="447"/>
      <c r="AP58" s="447"/>
      <c r="AQ58" s="447"/>
      <c r="AR58" s="447"/>
      <c r="AS58" s="447"/>
      <c r="AT58" s="447"/>
      <c r="AU58" s="447"/>
      <c r="AV58" s="447"/>
      <c r="AW58" s="447"/>
      <c r="AX58" s="447"/>
      <c r="AY58" s="447"/>
      <c r="AZ58" s="447"/>
      <c r="BA58" s="447"/>
      <c r="BB58" s="447"/>
      <c r="BC58" s="447"/>
      <c r="BD58" s="447"/>
      <c r="BE58" s="447"/>
      <c r="BF58" s="447"/>
      <c r="BG58" s="448"/>
    </row>
    <row r="59" spans="2:59" s="33" customFormat="1" hidden="1">
      <c r="D59" s="439" t="s">
        <v>567</v>
      </c>
    </row>
    <row r="60" spans="2:59" s="33" customFormat="1" hidden="1">
      <c r="B60" s="449" t="s">
        <v>0</v>
      </c>
      <c r="C60" s="449" t="s">
        <v>505</v>
      </c>
      <c r="D60" s="449" t="s">
        <v>534</v>
      </c>
      <c r="E60" s="450" t="s">
        <v>550</v>
      </c>
      <c r="F60" s="450" t="s">
        <v>551</v>
      </c>
      <c r="G60" s="450" t="s">
        <v>552</v>
      </c>
      <c r="H60" s="450" t="s">
        <v>553</v>
      </c>
      <c r="I60" s="450" t="s">
        <v>554</v>
      </c>
      <c r="J60" s="450" t="s">
        <v>555</v>
      </c>
      <c r="K60" s="450" t="s">
        <v>556</v>
      </c>
      <c r="L60" s="450" t="s">
        <v>557</v>
      </c>
      <c r="M60" s="450" t="s">
        <v>558</v>
      </c>
      <c r="N60" s="450" t="s">
        <v>559</v>
      </c>
      <c r="O60" s="450" t="s">
        <v>560</v>
      </c>
      <c r="P60" s="450" t="s">
        <v>561</v>
      </c>
      <c r="Q60" s="450"/>
      <c r="R60" s="450" t="s">
        <v>506</v>
      </c>
      <c r="S60" s="450" t="s">
        <v>507</v>
      </c>
      <c r="T60" s="450" t="s">
        <v>508</v>
      </c>
      <c r="U60" s="450" t="s">
        <v>509</v>
      </c>
      <c r="V60" s="450"/>
      <c r="W60" s="450"/>
      <c r="X60" s="450"/>
      <c r="Y60" s="450"/>
      <c r="Z60" s="450"/>
      <c r="AA60" s="450"/>
      <c r="AB60" s="450"/>
      <c r="AC60" s="450"/>
      <c r="AD60" s="451" t="s">
        <v>562</v>
      </c>
      <c r="AE60" s="451"/>
      <c r="AF60" s="451"/>
      <c r="AG60" s="451"/>
      <c r="AH60" s="451"/>
      <c r="AI60" s="451"/>
      <c r="AJ60" s="451"/>
      <c r="AK60" s="451"/>
      <c r="AL60" s="451"/>
      <c r="AM60" s="451"/>
      <c r="AN60" s="451"/>
      <c r="AO60" s="451"/>
      <c r="AP60" s="451"/>
      <c r="AQ60" s="451"/>
      <c r="AR60" s="451"/>
      <c r="AS60" s="451"/>
      <c r="AT60" s="451"/>
      <c r="AU60" s="451"/>
      <c r="AV60" s="451"/>
      <c r="AW60" s="451"/>
      <c r="AX60" s="451"/>
      <c r="AY60" s="451"/>
      <c r="AZ60" s="451"/>
      <c r="BA60" s="451"/>
      <c r="BB60" s="451"/>
      <c r="BC60" s="451"/>
      <c r="BD60" s="451"/>
      <c r="BE60" s="451"/>
      <c r="BF60" s="451"/>
      <c r="BG60" s="452"/>
    </row>
    <row r="61" spans="2:59" s="33" customFormat="1" hidden="1">
      <c r="B61" s="422">
        <v>1</v>
      </c>
      <c r="C61" s="422" t="s">
        <v>425</v>
      </c>
      <c r="D61" s="422" t="s">
        <v>427</v>
      </c>
      <c r="E61" s="442">
        <f t="shared" ref="E61:P61" si="38">E6/E$80</f>
        <v>0.76783821932904528</v>
      </c>
      <c r="F61" s="442">
        <f t="shared" si="38"/>
        <v>1.2764779875276311</v>
      </c>
      <c r="G61" s="442">
        <f t="shared" si="38"/>
        <v>0.62327591949431649</v>
      </c>
      <c r="H61" s="442">
        <f t="shared" si="38"/>
        <v>0.57963999536816313</v>
      </c>
      <c r="I61" s="442">
        <f t="shared" si="38"/>
        <v>0.71275516384912119</v>
      </c>
      <c r="J61" s="442">
        <f t="shared" si="38"/>
        <v>0.63623020239639139</v>
      </c>
      <c r="K61" s="442">
        <f t="shared" si="38"/>
        <v>0.73482145034279223</v>
      </c>
      <c r="L61" s="442">
        <f t="shared" si="38"/>
        <v>0.5328254183268436</v>
      </c>
      <c r="M61" s="442">
        <f t="shared" si="38"/>
        <v>0.63101863947040182</v>
      </c>
      <c r="N61" s="442">
        <f t="shared" si="38"/>
        <v>0.59326055415633816</v>
      </c>
      <c r="O61" s="442">
        <f t="shared" si="38"/>
        <v>0.4980693697440986</v>
      </c>
      <c r="P61" s="442">
        <f t="shared" si="38"/>
        <v>0.72087202585346544</v>
      </c>
      <c r="Q61" s="442"/>
      <c r="R61" s="442">
        <f>R6/R$80</f>
        <v>1.2194382496683762</v>
      </c>
      <c r="S61" s="442">
        <f>S6/S$80</f>
        <v>0.77995377207151628</v>
      </c>
      <c r="T61" s="442">
        <f>T6/T$80</f>
        <v>1.0012539883918541</v>
      </c>
      <c r="U61" s="442">
        <f>U6/U$80</f>
        <v>0.86989326418633661</v>
      </c>
      <c r="V61" s="442"/>
      <c r="W61" s="442"/>
      <c r="X61" s="442"/>
      <c r="Y61" s="442"/>
      <c r="Z61" s="442"/>
      <c r="AA61" s="442"/>
      <c r="AB61" s="442"/>
      <c r="AC61" s="442"/>
      <c r="AD61" s="442">
        <f>AD6/AD$80</f>
        <v>0.80239522672154839</v>
      </c>
      <c r="AE61" s="442"/>
      <c r="AF61" s="442"/>
      <c r="AG61" s="442"/>
      <c r="AH61" s="442"/>
      <c r="AI61" s="442"/>
      <c r="AJ61" s="442"/>
      <c r="AK61" s="442"/>
      <c r="AL61" s="442"/>
      <c r="AM61" s="442"/>
      <c r="AN61" s="442"/>
      <c r="AO61" s="442"/>
      <c r="AP61" s="442"/>
      <c r="AQ61" s="442"/>
      <c r="AR61" s="442"/>
      <c r="AS61" s="442"/>
      <c r="AT61" s="442"/>
      <c r="AU61" s="442"/>
      <c r="AV61" s="442"/>
      <c r="AW61" s="442"/>
      <c r="AX61" s="442"/>
      <c r="AY61" s="442"/>
      <c r="AZ61" s="442"/>
      <c r="BA61" s="442"/>
      <c r="BB61" s="442"/>
      <c r="BC61" s="442"/>
      <c r="BD61" s="442"/>
      <c r="BE61" s="442"/>
      <c r="BF61" s="442"/>
      <c r="BG61" s="443"/>
    </row>
    <row r="62" spans="2:59" s="33" customFormat="1" hidden="1">
      <c r="B62" s="422">
        <f>+B61+1</f>
        <v>2</v>
      </c>
      <c r="C62" s="422" t="s">
        <v>440</v>
      </c>
      <c r="D62" s="422" t="s">
        <v>442</v>
      </c>
      <c r="E62" s="442">
        <f t="shared" ref="E62:P62" si="39">E19/E$80</f>
        <v>0.24516419724657521</v>
      </c>
      <c r="F62" s="442">
        <f t="shared" si="39"/>
        <v>0.26586260842961323</v>
      </c>
      <c r="G62" s="442">
        <f t="shared" si="39"/>
        <v>0.10820496986780848</v>
      </c>
      <c r="H62" s="442">
        <f t="shared" si="39"/>
        <v>0.12975264834486608</v>
      </c>
      <c r="I62" s="442">
        <f t="shared" si="39"/>
        <v>0.13295269407713031</v>
      </c>
      <c r="J62" s="442">
        <f t="shared" si="39"/>
        <v>0.14587771932679525</v>
      </c>
      <c r="K62" s="442">
        <f t="shared" si="39"/>
        <v>0.13747311645950996</v>
      </c>
      <c r="L62" s="442">
        <f t="shared" si="39"/>
        <v>0.10611691941677776</v>
      </c>
      <c r="M62" s="442">
        <f t="shared" si="39"/>
        <v>0.13772873569066213</v>
      </c>
      <c r="N62" s="442">
        <f t="shared" si="39"/>
        <v>0.11179090315437343</v>
      </c>
      <c r="O62" s="442">
        <f t="shared" si="39"/>
        <v>0.13181824730020125</v>
      </c>
      <c r="P62" s="442">
        <f t="shared" si="39"/>
        <v>8.5555270917187801E-2</v>
      </c>
      <c r="Q62" s="442"/>
      <c r="R62" s="442">
        <f>R19/R$80</f>
        <v>0.14550771716861308</v>
      </c>
      <c r="S62" s="442">
        <f>S19/S$80</f>
        <v>0.12514317540334671</v>
      </c>
      <c r="T62" s="442">
        <f>T19/T$80</f>
        <v>0.10335428545828168</v>
      </c>
      <c r="U62" s="442">
        <f>U19/U$80</f>
        <v>0.10592081643664084</v>
      </c>
      <c r="V62" s="442"/>
      <c r="W62" s="442"/>
      <c r="X62" s="442"/>
      <c r="Y62" s="442"/>
      <c r="Z62" s="442"/>
      <c r="AA62" s="442"/>
      <c r="AB62" s="442"/>
      <c r="AC62" s="442"/>
      <c r="AD62" s="442">
        <f>AD19/AD$80</f>
        <v>0.1238944389366301</v>
      </c>
      <c r="AE62" s="442"/>
      <c r="AF62" s="442"/>
      <c r="AG62" s="442"/>
      <c r="AH62" s="442"/>
      <c r="AI62" s="442"/>
      <c r="AJ62" s="442"/>
      <c r="AK62" s="442"/>
      <c r="AL62" s="442"/>
      <c r="AM62" s="442"/>
      <c r="AN62" s="442"/>
      <c r="AO62" s="442"/>
      <c r="AP62" s="442"/>
      <c r="AQ62" s="442"/>
      <c r="AR62" s="442"/>
      <c r="AS62" s="442"/>
      <c r="AT62" s="442"/>
      <c r="AU62" s="442"/>
      <c r="AV62" s="442"/>
      <c r="AW62" s="442"/>
      <c r="AX62" s="442"/>
      <c r="AY62" s="442"/>
      <c r="AZ62" s="442"/>
      <c r="BA62" s="442"/>
      <c r="BB62" s="442"/>
      <c r="BC62" s="442"/>
      <c r="BD62" s="442"/>
      <c r="BE62" s="442"/>
      <c r="BF62" s="442"/>
      <c r="BG62" s="443"/>
    </row>
    <row r="63" spans="2:59" s="33" customFormat="1" hidden="1">
      <c r="B63" s="422">
        <f>+B62+1</f>
        <v>3</v>
      </c>
      <c r="C63" s="422" t="s">
        <v>425</v>
      </c>
      <c r="D63" s="422" t="s">
        <v>428</v>
      </c>
      <c r="E63" s="442">
        <f t="shared" ref="E63:P63" si="40">E7/E$80</f>
        <v>5.5110350670756467E-2</v>
      </c>
      <c r="F63" s="442">
        <f t="shared" si="40"/>
        <v>9.6274663115875111E-2</v>
      </c>
      <c r="G63" s="442">
        <f t="shared" si="40"/>
        <v>4.3486281512844331E-2</v>
      </c>
      <c r="H63" s="442">
        <f t="shared" si="40"/>
        <v>4.4000992709969412E-2</v>
      </c>
      <c r="I63" s="442">
        <f t="shared" si="40"/>
        <v>5.0271642718191879E-2</v>
      </c>
      <c r="J63" s="442">
        <f t="shared" si="40"/>
        <v>5.1168344314940488E-2</v>
      </c>
      <c r="K63" s="442">
        <f t="shared" si="40"/>
        <v>5.7499950026250808E-2</v>
      </c>
      <c r="L63" s="442">
        <f t="shared" si="40"/>
        <v>3.8052711566161183E-2</v>
      </c>
      <c r="M63" s="442">
        <f t="shared" si="40"/>
        <v>4.9929161806215837E-2</v>
      </c>
      <c r="N63" s="442">
        <f t="shared" si="40"/>
        <v>4.7021391955494922E-2</v>
      </c>
      <c r="O63" s="442">
        <f t="shared" si="40"/>
        <v>4.4716041520887317E-2</v>
      </c>
      <c r="P63" s="442">
        <f t="shared" si="40"/>
        <v>5.2465565399966801E-2</v>
      </c>
      <c r="Q63" s="442"/>
      <c r="R63" s="442">
        <f>R7/R$80</f>
        <v>8.1686173139793802E-2</v>
      </c>
      <c r="S63" s="442">
        <f>S7/S$80</f>
        <v>5.9201103728326848E-2</v>
      </c>
      <c r="T63" s="442">
        <f>T7/T$80</f>
        <v>5.5565315717567537E-2</v>
      </c>
      <c r="U63" s="442">
        <f>U7/U$80</f>
        <v>5.6864336311218115E-2</v>
      </c>
      <c r="V63" s="442"/>
      <c r="W63" s="442"/>
      <c r="X63" s="442"/>
      <c r="Y63" s="442"/>
      <c r="Z63" s="442"/>
      <c r="AA63" s="442"/>
      <c r="AB63" s="442"/>
      <c r="AC63" s="442"/>
      <c r="AD63" s="442">
        <f>AD7/AD$80</f>
        <v>5.8156965531129659E-2</v>
      </c>
      <c r="AE63" s="442"/>
      <c r="AF63" s="442"/>
      <c r="AG63" s="442"/>
      <c r="AH63" s="442"/>
      <c r="AI63" s="442"/>
      <c r="AJ63" s="442"/>
      <c r="AK63" s="442"/>
      <c r="AL63" s="442"/>
      <c r="AM63" s="442"/>
      <c r="AN63" s="442"/>
      <c r="AO63" s="442"/>
      <c r="AP63" s="442"/>
      <c r="AQ63" s="442"/>
      <c r="AR63" s="442"/>
      <c r="AS63" s="442"/>
      <c r="AT63" s="442"/>
      <c r="AU63" s="442"/>
      <c r="AV63" s="442"/>
      <c r="AW63" s="442"/>
      <c r="AX63" s="442"/>
      <c r="AY63" s="442"/>
      <c r="AZ63" s="442"/>
      <c r="BA63" s="442"/>
      <c r="BB63" s="442"/>
      <c r="BC63" s="442"/>
      <c r="BD63" s="442"/>
      <c r="BE63" s="442"/>
      <c r="BF63" s="442"/>
      <c r="BG63" s="443"/>
    </row>
    <row r="64" spans="2:59" s="33" customFormat="1" hidden="1">
      <c r="B64" s="422">
        <f>+B63+1</f>
        <v>4</v>
      </c>
      <c r="C64" s="422" t="s">
        <v>425</v>
      </c>
      <c r="D64" s="422" t="s">
        <v>443</v>
      </c>
      <c r="E64" s="442">
        <f t="shared" ref="E64:P64" si="41">E20/E$80</f>
        <v>8.0036365665993911E-2</v>
      </c>
      <c r="F64" s="442">
        <f t="shared" si="41"/>
        <v>9.3700925942249644E-2</v>
      </c>
      <c r="G64" s="442">
        <f t="shared" si="41"/>
        <v>3.9778947404700719E-2</v>
      </c>
      <c r="H64" s="442">
        <f t="shared" si="41"/>
        <v>4.6113055503551194E-2</v>
      </c>
      <c r="I64" s="442">
        <f t="shared" si="41"/>
        <v>4.4249236643450186E-2</v>
      </c>
      <c r="J64" s="442">
        <f t="shared" si="41"/>
        <v>4.8090619941090609E-2</v>
      </c>
      <c r="K64" s="442">
        <f t="shared" si="41"/>
        <v>4.7789971595511752E-2</v>
      </c>
      <c r="L64" s="442">
        <f t="shared" si="41"/>
        <v>3.5095715628578127E-2</v>
      </c>
      <c r="M64" s="442">
        <f t="shared" si="41"/>
        <v>4.8795793912990659E-2</v>
      </c>
      <c r="N64" s="442">
        <f t="shared" si="41"/>
        <v>4.0630118311400398E-2</v>
      </c>
      <c r="O64" s="442">
        <f t="shared" si="41"/>
        <v>4.5912895572324947E-2</v>
      </c>
      <c r="P64" s="442">
        <f t="shared" si="41"/>
        <v>3.0487077626200093E-2</v>
      </c>
      <c r="Q64" s="442"/>
      <c r="R64" s="442">
        <f>R20/R$80</f>
        <v>4.4380977866470946E-2</v>
      </c>
      <c r="S64" s="442">
        <f>S20/S$80</f>
        <v>4.2840331009239299E-2</v>
      </c>
      <c r="T64" s="442">
        <f>T20/T$80</f>
        <v>3.2558842119422393E-2</v>
      </c>
      <c r="U64" s="442">
        <f>U20/U$80</f>
        <v>3.2629541465307624E-2</v>
      </c>
      <c r="V64" s="442"/>
      <c r="W64" s="442"/>
      <c r="X64" s="442"/>
      <c r="Y64" s="442"/>
      <c r="Z64" s="442"/>
      <c r="AA64" s="442"/>
      <c r="AB64" s="442"/>
      <c r="AC64" s="442"/>
      <c r="AD64" s="442">
        <f>AD20/AD$80</f>
        <v>3.8511665780620402E-2</v>
      </c>
      <c r="AE64" s="442"/>
      <c r="AF64" s="442"/>
      <c r="AG64" s="442"/>
      <c r="AH64" s="442"/>
      <c r="AI64" s="442"/>
      <c r="AJ64" s="442"/>
      <c r="AK64" s="442"/>
      <c r="AL64" s="442"/>
      <c r="AM64" s="442"/>
      <c r="AN64" s="442"/>
      <c r="AO64" s="442"/>
      <c r="AP64" s="442"/>
      <c r="AQ64" s="442"/>
      <c r="AR64" s="442"/>
      <c r="AS64" s="442"/>
      <c r="AT64" s="442"/>
      <c r="AU64" s="442"/>
      <c r="AV64" s="442"/>
      <c r="AW64" s="442"/>
      <c r="AX64" s="442"/>
      <c r="AY64" s="442"/>
      <c r="AZ64" s="442"/>
      <c r="BA64" s="442"/>
      <c r="BB64" s="442"/>
      <c r="BC64" s="442"/>
      <c r="BD64" s="442"/>
      <c r="BE64" s="442"/>
      <c r="BF64" s="442"/>
      <c r="BG64" s="443"/>
    </row>
    <row r="65" spans="2:59" s="33" customFormat="1" hidden="1">
      <c r="B65" s="422">
        <f>+B64+1</f>
        <v>5</v>
      </c>
      <c r="C65" s="422" t="s">
        <v>425</v>
      </c>
      <c r="D65" s="422" t="s">
        <v>431</v>
      </c>
      <c r="E65" s="442">
        <f t="shared" ref="E65:P65" si="42">E9/E$80</f>
        <v>2.7019546111459224E-3</v>
      </c>
      <c r="F65" s="442">
        <f t="shared" si="42"/>
        <v>6.3611041901967457E-3</v>
      </c>
      <c r="G65" s="442">
        <f t="shared" si="42"/>
        <v>8.6567569714465133E-3</v>
      </c>
      <c r="H65" s="442">
        <f t="shared" si="42"/>
        <v>1.2327787348573866E-2</v>
      </c>
      <c r="I65" s="442">
        <f t="shared" si="42"/>
        <v>1.7784405212036E-2</v>
      </c>
      <c r="J65" s="442">
        <f t="shared" si="42"/>
        <v>8.8037441255631455E-3</v>
      </c>
      <c r="K65" s="442">
        <f t="shared" si="42"/>
        <v>1.9342565421106985E-2</v>
      </c>
      <c r="L65" s="442">
        <f t="shared" si="42"/>
        <v>1.5068878558281439E-2</v>
      </c>
      <c r="M65" s="442">
        <f t="shared" si="42"/>
        <v>1.9737525206395483E-2</v>
      </c>
      <c r="N65" s="442">
        <f t="shared" si="42"/>
        <v>2.5069455146434643E-2</v>
      </c>
      <c r="O65" s="442">
        <f t="shared" si="42"/>
        <v>2.469812666185776E-2</v>
      </c>
      <c r="P65" s="442">
        <f t="shared" si="42"/>
        <v>2.0522366764362063E-2</v>
      </c>
      <c r="Q65" s="442"/>
      <c r="R65" s="442">
        <f>R9/R$80</f>
        <v>2.5600347017339493E-2</v>
      </c>
      <c r="S65" s="442">
        <f>S9/S$80</f>
        <v>2.1645129598938311E-2</v>
      </c>
      <c r="T65" s="442">
        <f>T9/T$80</f>
        <v>1.919229445289649E-2</v>
      </c>
      <c r="U65" s="442">
        <f>U9/U$80</f>
        <v>1.0727897613501821E-2</v>
      </c>
      <c r="V65" s="442"/>
      <c r="W65" s="442"/>
      <c r="X65" s="442"/>
      <c r="Y65" s="442"/>
      <c r="Z65" s="442"/>
      <c r="AA65" s="442"/>
      <c r="AB65" s="442"/>
      <c r="AC65" s="442"/>
      <c r="AD65" s="442">
        <f>AD9/AD$80</f>
        <v>1.396801804028938E-2</v>
      </c>
      <c r="AE65" s="442"/>
      <c r="AF65" s="442"/>
      <c r="AG65" s="442"/>
      <c r="AH65" s="442"/>
      <c r="AI65" s="442"/>
      <c r="AJ65" s="442"/>
      <c r="AK65" s="442"/>
      <c r="AL65" s="442"/>
      <c r="AM65" s="442"/>
      <c r="AN65" s="442"/>
      <c r="AO65" s="442"/>
      <c r="AP65" s="442"/>
      <c r="AQ65" s="442"/>
      <c r="AR65" s="442"/>
      <c r="AS65" s="442"/>
      <c r="AT65" s="442"/>
      <c r="AU65" s="442"/>
      <c r="AV65" s="442"/>
      <c r="AW65" s="442"/>
      <c r="AX65" s="442"/>
      <c r="AY65" s="442"/>
      <c r="AZ65" s="442"/>
      <c r="BA65" s="442"/>
      <c r="BB65" s="442"/>
      <c r="BC65" s="442"/>
      <c r="BD65" s="442"/>
      <c r="BE65" s="442"/>
      <c r="BF65" s="442"/>
      <c r="BG65" s="443"/>
    </row>
    <row r="66" spans="2:59" s="33" customFormat="1" hidden="1">
      <c r="B66" s="422">
        <f t="shared" ref="B66:B77" si="43">+B65+1</f>
        <v>6</v>
      </c>
      <c r="C66" s="422" t="s">
        <v>440</v>
      </c>
      <c r="D66" s="422" t="s">
        <v>444</v>
      </c>
      <c r="E66" s="442">
        <f t="shared" ref="E66:P66" si="44">E21/E$80</f>
        <v>2.5239313349199578E-2</v>
      </c>
      <c r="F66" s="442">
        <f t="shared" si="44"/>
        <v>3.7069083960966712E-2</v>
      </c>
      <c r="G66" s="442">
        <f t="shared" si="44"/>
        <v>1.6320787934642512E-2</v>
      </c>
      <c r="H66" s="442">
        <f t="shared" si="44"/>
        <v>1.3897858705365158E-2</v>
      </c>
      <c r="I66" s="442">
        <f t="shared" si="44"/>
        <v>1.1880664472767003E-2</v>
      </c>
      <c r="J66" s="442">
        <f t="shared" si="44"/>
        <v>1.4801969413563437E-2</v>
      </c>
      <c r="K66" s="442">
        <f t="shared" si="44"/>
        <v>1.4723432903976095E-2</v>
      </c>
      <c r="L66" s="442">
        <f t="shared" si="44"/>
        <v>8.382137715100102E-3</v>
      </c>
      <c r="M66" s="442">
        <f t="shared" si="44"/>
        <v>1.0127008936175306E-2</v>
      </c>
      <c r="N66" s="442">
        <f t="shared" si="44"/>
        <v>8.8521617147017135E-3</v>
      </c>
      <c r="O66" s="442">
        <f t="shared" si="44"/>
        <v>1.0162822326629753E-2</v>
      </c>
      <c r="P66" s="442">
        <f t="shared" si="44"/>
        <v>1.0953207518146681E-2</v>
      </c>
      <c r="Q66" s="442"/>
      <c r="R66" s="442">
        <f>R21/R$80</f>
        <v>2.4546406871365712E-2</v>
      </c>
      <c r="S66" s="442">
        <f>S21/S$80</f>
        <v>1.9667498481135356E-2</v>
      </c>
      <c r="T66" s="442">
        <f>T21/T$80</f>
        <v>1.249962861963772E-2</v>
      </c>
      <c r="U66" s="442">
        <f>U21/U$80</f>
        <v>1.3718301958703626E-2</v>
      </c>
      <c r="V66" s="442"/>
      <c r="W66" s="442"/>
      <c r="X66" s="442"/>
      <c r="Y66" s="442"/>
      <c r="Z66" s="442"/>
      <c r="AA66" s="442"/>
      <c r="AB66" s="442"/>
      <c r="AC66" s="442"/>
      <c r="AD66" s="442">
        <f>AD21/AD$80</f>
        <v>3.5251994357595344E-2</v>
      </c>
      <c r="AE66" s="442"/>
      <c r="AF66" s="442"/>
      <c r="AG66" s="442"/>
      <c r="AH66" s="442"/>
      <c r="AI66" s="442"/>
      <c r="AJ66" s="442"/>
      <c r="AK66" s="442"/>
      <c r="AL66" s="442"/>
      <c r="AM66" s="442"/>
      <c r="AN66" s="442"/>
      <c r="AO66" s="442"/>
      <c r="AP66" s="442"/>
      <c r="AQ66" s="442"/>
      <c r="AR66" s="442"/>
      <c r="AS66" s="442"/>
      <c r="AT66" s="442"/>
      <c r="AU66" s="442"/>
      <c r="AV66" s="442"/>
      <c r="AW66" s="442"/>
      <c r="AX66" s="442"/>
      <c r="AY66" s="442"/>
      <c r="AZ66" s="442"/>
      <c r="BA66" s="442"/>
      <c r="BB66" s="442"/>
      <c r="BC66" s="442"/>
      <c r="BD66" s="442"/>
      <c r="BE66" s="442"/>
      <c r="BF66" s="442"/>
      <c r="BG66" s="443"/>
    </row>
    <row r="67" spans="2:59" s="33" customFormat="1" hidden="1">
      <c r="B67" s="422">
        <f t="shared" si="43"/>
        <v>7</v>
      </c>
      <c r="C67" s="422" t="s">
        <v>425</v>
      </c>
      <c r="D67" s="422" t="s">
        <v>433</v>
      </c>
      <c r="E67" s="442">
        <f t="shared" ref="E67:P67" si="45">E10/E$80</f>
        <v>2.0259385583803607E-2</v>
      </c>
      <c r="F67" s="442">
        <f t="shared" si="45"/>
        <v>2.9199663430208078E-2</v>
      </c>
      <c r="G67" s="442">
        <f t="shared" si="45"/>
        <v>9.4590243280751746E-3</v>
      </c>
      <c r="H67" s="442">
        <f t="shared" si="45"/>
        <v>1.0323754951875664E-2</v>
      </c>
      <c r="I67" s="442">
        <f t="shared" si="45"/>
        <v>1.4412116210038555E-2</v>
      </c>
      <c r="J67" s="442">
        <f t="shared" si="45"/>
        <v>1.682510372545741E-2</v>
      </c>
      <c r="K67" s="442">
        <f t="shared" si="45"/>
        <v>1.39718297722101E-2</v>
      </c>
      <c r="L67" s="442">
        <f t="shared" si="45"/>
        <v>8.2454780661690968E-3</v>
      </c>
      <c r="M67" s="442">
        <f t="shared" si="45"/>
        <v>5.9969064799408464E-3</v>
      </c>
      <c r="N67" s="442">
        <f t="shared" si="45"/>
        <v>8.8794947830002306E-3</v>
      </c>
      <c r="O67" s="442">
        <f t="shared" si="45"/>
        <v>5.4672469900547789E-3</v>
      </c>
      <c r="P67" s="442">
        <f t="shared" si="45"/>
        <v>6.6267297757000654E-3</v>
      </c>
      <c r="Q67" s="442"/>
      <c r="R67" s="442">
        <f>R10/R$80</f>
        <v>1.5535057054349554E-2</v>
      </c>
      <c r="S67" s="442">
        <f>S10/S$80</f>
        <v>7.269237276288025E-3</v>
      </c>
      <c r="T67" s="442">
        <f>T10/T$80</f>
        <v>9.2697975302084672E-3</v>
      </c>
      <c r="U67" s="442">
        <f>U10/U$80</f>
        <v>1.3702194238820466E-2</v>
      </c>
      <c r="V67" s="442"/>
      <c r="W67" s="442"/>
      <c r="X67" s="442"/>
      <c r="Y67" s="442"/>
      <c r="Z67" s="442"/>
      <c r="AA67" s="442"/>
      <c r="AB67" s="442"/>
      <c r="AC67" s="442"/>
      <c r="AD67" s="442">
        <f>AD10/AD$80</f>
        <v>8.8469649186474139E-3</v>
      </c>
      <c r="AE67" s="442"/>
      <c r="AF67" s="442"/>
      <c r="AG67" s="442"/>
      <c r="AH67" s="442"/>
      <c r="AI67" s="442"/>
      <c r="AJ67" s="442"/>
      <c r="AK67" s="442"/>
      <c r="AL67" s="442"/>
      <c r="AM67" s="442"/>
      <c r="AN67" s="442"/>
      <c r="AO67" s="442"/>
      <c r="AP67" s="442"/>
      <c r="AQ67" s="442"/>
      <c r="AR67" s="442"/>
      <c r="AS67" s="442"/>
      <c r="AT67" s="442"/>
      <c r="AU67" s="442"/>
      <c r="AV67" s="442"/>
      <c r="AW67" s="442"/>
      <c r="AX67" s="442"/>
      <c r="AY67" s="442"/>
      <c r="AZ67" s="442"/>
      <c r="BA67" s="442"/>
      <c r="BB67" s="442"/>
      <c r="BC67" s="442"/>
      <c r="BD67" s="442"/>
      <c r="BE67" s="442"/>
      <c r="BF67" s="442"/>
      <c r="BG67" s="443"/>
    </row>
    <row r="68" spans="2:59" s="33" customFormat="1" hidden="1">
      <c r="B68" s="422">
        <f t="shared" si="43"/>
        <v>8</v>
      </c>
      <c r="C68" s="422" t="s">
        <v>440</v>
      </c>
      <c r="D68" s="422" t="s">
        <v>445</v>
      </c>
      <c r="E68" s="442">
        <f t="shared" ref="E68:P69" si="46">E22/E$80</f>
        <v>1.86220049029364E-2</v>
      </c>
      <c r="F68" s="442">
        <f t="shared" si="46"/>
        <v>2.1651016584100798E-2</v>
      </c>
      <c r="G68" s="442">
        <f t="shared" si="46"/>
        <v>8.1949417206392434E-3</v>
      </c>
      <c r="H68" s="442">
        <f t="shared" si="46"/>
        <v>7.9571320983834008E-3</v>
      </c>
      <c r="I68" s="442">
        <f t="shared" si="46"/>
        <v>1.0435616513337003E-2</v>
      </c>
      <c r="J68" s="442">
        <f t="shared" si="46"/>
        <v>9.2683682822769873E-3</v>
      </c>
      <c r="K68" s="442">
        <f t="shared" si="46"/>
        <v>9.2231003048092002E-3</v>
      </c>
      <c r="L68" s="442">
        <f t="shared" si="46"/>
        <v>7.080394230706096E-3</v>
      </c>
      <c r="M68" s="442">
        <f t="shared" si="46"/>
        <v>8.0404045757363485E-3</v>
      </c>
      <c r="N68" s="442">
        <f t="shared" si="46"/>
        <v>7.7171517388059342E-3</v>
      </c>
      <c r="O68" s="442">
        <f t="shared" si="46"/>
        <v>9.7920134521373315E-3</v>
      </c>
      <c r="P68" s="442">
        <f t="shared" si="46"/>
        <v>6.8408965998274507E-3</v>
      </c>
      <c r="Q68" s="442"/>
      <c r="R68" s="442">
        <f t="shared" ref="R68:U69" si="47">R22/R$80</f>
        <v>1.0598939792816313E-2</v>
      </c>
      <c r="S68" s="442">
        <f t="shared" si="47"/>
        <v>9.8649906820852326E-3</v>
      </c>
      <c r="T68" s="442">
        <f t="shared" si="47"/>
        <v>9.0472815335927263E-3</v>
      </c>
      <c r="U68" s="442">
        <f t="shared" si="47"/>
        <v>9.0272298764425517E-3</v>
      </c>
      <c r="V68" s="442"/>
      <c r="W68" s="442"/>
      <c r="X68" s="442"/>
      <c r="Y68" s="442"/>
      <c r="Z68" s="442"/>
      <c r="AA68" s="442"/>
      <c r="AB68" s="442"/>
      <c r="AC68" s="442"/>
      <c r="AD68" s="442">
        <f>AD22/AD$80</f>
        <v>1.0082322212495592E-2</v>
      </c>
      <c r="AE68" s="442"/>
      <c r="AF68" s="442"/>
      <c r="AG68" s="442"/>
      <c r="AH68" s="442"/>
      <c r="AI68" s="442"/>
      <c r="AJ68" s="442"/>
      <c r="AK68" s="442"/>
      <c r="AL68" s="442"/>
      <c r="AM68" s="442"/>
      <c r="AN68" s="442"/>
      <c r="AO68" s="442"/>
      <c r="AP68" s="442"/>
      <c r="AQ68" s="442"/>
      <c r="AR68" s="442"/>
      <c r="AS68" s="442"/>
      <c r="AT68" s="442"/>
      <c r="AU68" s="442"/>
      <c r="AV68" s="442"/>
      <c r="AW68" s="442"/>
      <c r="AX68" s="442"/>
      <c r="AY68" s="442"/>
      <c r="AZ68" s="442"/>
      <c r="BA68" s="442"/>
      <c r="BB68" s="442"/>
      <c r="BC68" s="442"/>
      <c r="BD68" s="442"/>
      <c r="BE68" s="442"/>
      <c r="BF68" s="442"/>
      <c r="BG68" s="443"/>
    </row>
    <row r="69" spans="2:59" hidden="1">
      <c r="B69" s="422">
        <f t="shared" si="43"/>
        <v>9</v>
      </c>
      <c r="C69" s="422" t="s">
        <v>440</v>
      </c>
      <c r="D69" s="422" t="s">
        <v>446</v>
      </c>
      <c r="E69" s="442">
        <f t="shared" si="46"/>
        <v>9.8653382787086911E-3</v>
      </c>
      <c r="F69" s="442">
        <f t="shared" si="46"/>
        <v>8.5197516327815016E-3</v>
      </c>
      <c r="G69" s="442">
        <f t="shared" si="46"/>
        <v>4.7908148550309245E-3</v>
      </c>
      <c r="H69" s="442">
        <f t="shared" si="46"/>
        <v>3.6716469516429699E-3</v>
      </c>
      <c r="I69" s="442">
        <f t="shared" si="46"/>
        <v>7.2177121188217088E-3</v>
      </c>
      <c r="J69" s="442">
        <f t="shared" si="46"/>
        <v>7.3659238235768516E-3</v>
      </c>
      <c r="K69" s="442">
        <f t="shared" si="46"/>
        <v>1.0025611646552478E-2</v>
      </c>
      <c r="L69" s="442">
        <f t="shared" si="46"/>
        <v>5.8649673961064077E-3</v>
      </c>
      <c r="M69" s="442">
        <f t="shared" si="46"/>
        <v>6.0136958723475088E-3</v>
      </c>
      <c r="N69" s="442">
        <f t="shared" si="46"/>
        <v>7.1525609545011271E-3</v>
      </c>
      <c r="O69" s="442">
        <f t="shared" si="46"/>
        <v>9.9261720843159158E-3</v>
      </c>
      <c r="P69" s="442">
        <f t="shared" si="46"/>
        <v>8.5268588579634069E-3</v>
      </c>
      <c r="Q69" s="442"/>
      <c r="R69" s="442">
        <f t="shared" si="47"/>
        <v>7.9737054283769496E-3</v>
      </c>
      <c r="S69" s="442">
        <f t="shared" si="47"/>
        <v>9.2076455455376207E-3</v>
      </c>
      <c r="T69" s="442">
        <f t="shared" si="47"/>
        <v>7.5864884762059208E-3</v>
      </c>
      <c r="U69" s="442">
        <f t="shared" si="47"/>
        <v>6.5657362993003553E-3</v>
      </c>
      <c r="V69" s="442"/>
      <c r="W69" s="442"/>
      <c r="X69" s="442"/>
      <c r="Y69" s="442"/>
      <c r="Z69" s="442"/>
      <c r="AA69" s="442"/>
      <c r="AB69" s="442"/>
      <c r="AC69" s="442"/>
      <c r="AD69" s="442">
        <f>AD23/AD$80</f>
        <v>9.9612012497943287E-3</v>
      </c>
      <c r="AE69" s="442"/>
      <c r="AF69" s="442"/>
      <c r="AG69" s="442"/>
      <c r="AH69" s="442"/>
      <c r="AI69" s="442"/>
      <c r="AJ69" s="442"/>
      <c r="AK69" s="442"/>
      <c r="AL69" s="442"/>
      <c r="AM69" s="442"/>
      <c r="AN69" s="442"/>
      <c r="AO69" s="442"/>
      <c r="AP69" s="442"/>
      <c r="AQ69" s="442"/>
      <c r="AR69" s="442"/>
      <c r="AS69" s="442"/>
      <c r="AT69" s="442"/>
      <c r="AU69" s="442"/>
      <c r="AV69" s="442"/>
      <c r="AW69" s="442"/>
      <c r="AX69" s="442"/>
      <c r="AY69" s="442"/>
      <c r="AZ69" s="442"/>
      <c r="BA69" s="442"/>
      <c r="BB69" s="442"/>
      <c r="BC69" s="442"/>
      <c r="BD69" s="442"/>
      <c r="BE69" s="442"/>
      <c r="BF69" s="442"/>
      <c r="BG69" s="443"/>
    </row>
    <row r="70" spans="2:59" hidden="1">
      <c r="B70" s="422">
        <f t="shared" si="43"/>
        <v>10</v>
      </c>
      <c r="C70" s="422" t="s">
        <v>425</v>
      </c>
      <c r="D70" s="422" t="s">
        <v>434</v>
      </c>
      <c r="E70" s="442">
        <f t="shared" ref="E70:P70" si="48">E11/E$80</f>
        <v>6.085626518843223E-3</v>
      </c>
      <c r="F70" s="442">
        <f t="shared" si="48"/>
        <v>1.2827054945492097E-2</v>
      </c>
      <c r="G70" s="442">
        <f t="shared" si="48"/>
        <v>5.1634308149180724E-3</v>
      </c>
      <c r="H70" s="442">
        <f t="shared" si="48"/>
        <v>5.1208650673224866E-3</v>
      </c>
      <c r="I70" s="442">
        <f t="shared" si="48"/>
        <v>6.774060655048663E-3</v>
      </c>
      <c r="J70" s="442">
        <f t="shared" si="48"/>
        <v>7.1263923559837881E-3</v>
      </c>
      <c r="K70" s="442">
        <f t="shared" si="48"/>
        <v>7.1006326098964033E-3</v>
      </c>
      <c r="L70" s="442">
        <f t="shared" si="48"/>
        <v>5.0000211764541207E-3</v>
      </c>
      <c r="M70" s="442">
        <f t="shared" si="48"/>
        <v>6.5242986765317E-3</v>
      </c>
      <c r="N70" s="442">
        <f t="shared" si="48"/>
        <v>5.9087512057513268E-3</v>
      </c>
      <c r="O70" s="442">
        <f t="shared" si="48"/>
        <v>5.0984619445708966E-3</v>
      </c>
      <c r="P70" s="442">
        <f t="shared" si="48"/>
        <v>6.8802669968587938E-3</v>
      </c>
      <c r="Q70" s="442"/>
      <c r="R70" s="442">
        <f>R11/R$80</f>
        <v>1.352870789612301E-2</v>
      </c>
      <c r="S70" s="442">
        <f>S11/S$80</f>
        <v>6.0954336895543051E-3</v>
      </c>
      <c r="T70" s="442">
        <f>T11/T$80</f>
        <v>8.2633072136372738E-3</v>
      </c>
      <c r="U70" s="442">
        <f>U11/U$80</f>
        <v>6.9354434319658393E-3</v>
      </c>
      <c r="V70" s="442"/>
      <c r="W70" s="442"/>
      <c r="X70" s="442"/>
      <c r="Y70" s="442"/>
      <c r="Z70" s="442"/>
      <c r="AA70" s="442"/>
      <c r="AB70" s="442"/>
      <c r="AC70" s="442"/>
      <c r="AD70" s="442">
        <f>AD11/AD$80</f>
        <v>7.4432555944920903E-3</v>
      </c>
      <c r="AE70" s="442"/>
      <c r="AF70" s="442"/>
      <c r="AG70" s="442"/>
      <c r="AH70" s="442"/>
      <c r="AI70" s="442"/>
      <c r="AJ70" s="442"/>
      <c r="AK70" s="442"/>
      <c r="AL70" s="442"/>
      <c r="AM70" s="442"/>
      <c r="AN70" s="442"/>
      <c r="AO70" s="442"/>
      <c r="AP70" s="442"/>
      <c r="AQ70" s="442"/>
      <c r="AR70" s="442"/>
      <c r="AS70" s="442"/>
      <c r="AT70" s="442"/>
      <c r="AU70" s="442"/>
      <c r="AV70" s="442"/>
      <c r="AW70" s="442"/>
      <c r="AX70" s="442"/>
      <c r="AY70" s="442"/>
      <c r="AZ70" s="442"/>
      <c r="BA70" s="442"/>
      <c r="BB70" s="442"/>
      <c r="BC70" s="442"/>
      <c r="BD70" s="442"/>
      <c r="BE70" s="442"/>
      <c r="BF70" s="442"/>
      <c r="BG70" s="443"/>
    </row>
    <row r="71" spans="2:59" hidden="1">
      <c r="B71" s="422">
        <f t="shared" si="43"/>
        <v>11</v>
      </c>
      <c r="C71" s="422" t="s">
        <v>425</v>
      </c>
      <c r="D71" s="422" t="s">
        <v>435</v>
      </c>
      <c r="E71" s="442">
        <f t="shared" ref="E71:P71" si="49">E8/E$80</f>
        <v>0</v>
      </c>
      <c r="F71" s="442">
        <f t="shared" si="49"/>
        <v>0</v>
      </c>
      <c r="G71" s="442">
        <f t="shared" si="49"/>
        <v>8.5371344593918232E-3</v>
      </c>
      <c r="H71" s="442">
        <f t="shared" si="49"/>
        <v>7.0784146536934881E-3</v>
      </c>
      <c r="I71" s="442">
        <f t="shared" si="49"/>
        <v>6.7376442640489304E-3</v>
      </c>
      <c r="J71" s="442">
        <f t="shared" si="49"/>
        <v>1.2462811410507148E-2</v>
      </c>
      <c r="K71" s="442">
        <f t="shared" si="49"/>
        <v>8.4700254305215706E-3</v>
      </c>
      <c r="L71" s="442">
        <f t="shared" si="49"/>
        <v>9.1057569186620019E-3</v>
      </c>
      <c r="M71" s="442">
        <f t="shared" si="49"/>
        <v>6.3824129055641988E-3</v>
      </c>
      <c r="N71" s="442">
        <f t="shared" si="49"/>
        <v>1.0516989365733944E-2</v>
      </c>
      <c r="O71" s="442">
        <f t="shared" si="49"/>
        <v>9.9571723977385368E-3</v>
      </c>
      <c r="P71" s="442">
        <f t="shared" si="49"/>
        <v>5.3603460726562926E-3</v>
      </c>
      <c r="Q71" s="442"/>
      <c r="R71" s="442">
        <f>R8/R$80</f>
        <v>7.7897436192712229E-3</v>
      </c>
      <c r="S71" s="442">
        <f>S8/S$80</f>
        <v>5.2752143218630938E-3</v>
      </c>
      <c r="T71" s="442">
        <f>T8/T$80</f>
        <v>6.3915538355706278E-3</v>
      </c>
      <c r="U71" s="442">
        <f>U8/U$80</f>
        <v>1.08059202391536E-2</v>
      </c>
      <c r="V71" s="442"/>
      <c r="W71" s="442"/>
      <c r="X71" s="442"/>
      <c r="Y71" s="442"/>
      <c r="Z71" s="442"/>
      <c r="AA71" s="442"/>
      <c r="AB71" s="442"/>
      <c r="AC71" s="442"/>
      <c r="AD71" s="442">
        <f>AD8/AD$80</f>
        <v>1.1927942785559763E-2</v>
      </c>
      <c r="AE71" s="442"/>
      <c r="AF71" s="442"/>
      <c r="AG71" s="442"/>
      <c r="AH71" s="442"/>
      <c r="AI71" s="442"/>
      <c r="AJ71" s="442"/>
      <c r="AK71" s="442"/>
      <c r="AL71" s="442"/>
      <c r="AM71" s="442"/>
      <c r="AN71" s="442"/>
      <c r="AO71" s="442"/>
      <c r="AP71" s="442"/>
      <c r="AQ71" s="442"/>
      <c r="AR71" s="442"/>
      <c r="AS71" s="442"/>
      <c r="AT71" s="442"/>
      <c r="AU71" s="442"/>
      <c r="AV71" s="442"/>
      <c r="AW71" s="442"/>
      <c r="AX71" s="442"/>
      <c r="AY71" s="442"/>
      <c r="AZ71" s="442"/>
      <c r="BA71" s="442"/>
      <c r="BB71" s="442"/>
      <c r="BC71" s="442"/>
      <c r="BD71" s="442"/>
      <c r="BE71" s="442"/>
      <c r="BF71" s="442"/>
      <c r="BG71" s="443"/>
    </row>
    <row r="72" spans="2:59" hidden="1">
      <c r="B72" s="422">
        <f t="shared" si="43"/>
        <v>12</v>
      </c>
      <c r="C72" s="422" t="s">
        <v>425</v>
      </c>
      <c r="D72" s="422" t="s">
        <v>568</v>
      </c>
      <c r="E72" s="442">
        <f t="shared" ref="E72:P72" si="50">E12/E$80</f>
        <v>7.3078566405457316E-3</v>
      </c>
      <c r="F72" s="442">
        <f t="shared" si="50"/>
        <v>1.1119165301892031E-2</v>
      </c>
      <c r="G72" s="442">
        <f t="shared" si="50"/>
        <v>5.0951020547347807E-3</v>
      </c>
      <c r="H72" s="442">
        <f t="shared" si="50"/>
        <v>5.5109385386817381E-3</v>
      </c>
      <c r="I72" s="442">
        <f t="shared" si="50"/>
        <v>3.4257370747644814E-3</v>
      </c>
      <c r="J72" s="442">
        <f t="shared" si="50"/>
        <v>7.2399999833029239E-3</v>
      </c>
      <c r="K72" s="442">
        <f t="shared" si="50"/>
        <v>5.8743325189844929E-3</v>
      </c>
      <c r="L72" s="442">
        <f t="shared" si="50"/>
        <v>4.6959460121092401E-3</v>
      </c>
      <c r="M72" s="442">
        <f t="shared" si="50"/>
        <v>6.05431859796256E-3</v>
      </c>
      <c r="N72" s="442">
        <f t="shared" si="50"/>
        <v>5.470937251914481E-3</v>
      </c>
      <c r="O72" s="442">
        <f t="shared" si="50"/>
        <v>7.1016261176765367E-3</v>
      </c>
      <c r="P72" s="442">
        <f t="shared" si="50"/>
        <v>3.9563290691287641E-3</v>
      </c>
      <c r="Q72" s="442"/>
      <c r="R72" s="442">
        <f>R12/R$80</f>
        <v>5.6889513611633521E-3</v>
      </c>
      <c r="S72" s="442">
        <f>S12/S$80</f>
        <v>3.8467950589843201E-3</v>
      </c>
      <c r="T72" s="442">
        <f>T12/T$80</f>
        <v>4.4800767951572364E-3</v>
      </c>
      <c r="U72" s="442">
        <f>U12/U$80</f>
        <v>4.0070523317387672E-3</v>
      </c>
      <c r="V72" s="442"/>
      <c r="W72" s="442"/>
      <c r="X72" s="442"/>
      <c r="Y72" s="442"/>
      <c r="Z72" s="442"/>
      <c r="AA72" s="442"/>
      <c r="AB72" s="442"/>
      <c r="AC72" s="442"/>
      <c r="AD72" s="442">
        <f>AD12/AD$80</f>
        <v>3.8916777829554349E-3</v>
      </c>
      <c r="AE72" s="442"/>
      <c r="AF72" s="442"/>
      <c r="AG72" s="442"/>
      <c r="AH72" s="442"/>
      <c r="AI72" s="442"/>
      <c r="AJ72" s="442"/>
      <c r="AK72" s="442"/>
      <c r="AL72" s="442"/>
      <c r="AM72" s="442"/>
      <c r="AN72" s="442"/>
      <c r="AO72" s="442"/>
      <c r="AP72" s="442"/>
      <c r="AQ72" s="442"/>
      <c r="AR72" s="442"/>
      <c r="AS72" s="442"/>
      <c r="AT72" s="442"/>
      <c r="AU72" s="442"/>
      <c r="AV72" s="442"/>
      <c r="AW72" s="442"/>
      <c r="AX72" s="442"/>
      <c r="AY72" s="442"/>
      <c r="AZ72" s="442"/>
      <c r="BA72" s="442"/>
      <c r="BB72" s="442"/>
      <c r="BC72" s="442"/>
      <c r="BD72" s="442"/>
      <c r="BE72" s="442"/>
      <c r="BF72" s="442"/>
      <c r="BG72" s="443"/>
    </row>
    <row r="73" spans="2:59" hidden="1">
      <c r="B73" s="422">
        <f t="shared" si="43"/>
        <v>13</v>
      </c>
      <c r="C73" s="422" t="s">
        <v>440</v>
      </c>
      <c r="D73" s="422" t="s">
        <v>437</v>
      </c>
      <c r="E73" s="442">
        <f t="shared" ref="E73:P73" si="51">E24/E$80</f>
        <v>1.7738875506767076E-3</v>
      </c>
      <c r="F73" s="442">
        <f t="shared" si="51"/>
        <v>0</v>
      </c>
      <c r="G73" s="442">
        <f t="shared" si="51"/>
        <v>8.228391040970538E-4</v>
      </c>
      <c r="H73" s="442">
        <f t="shared" si="51"/>
        <v>1.4034195438779465E-3</v>
      </c>
      <c r="I73" s="442">
        <f t="shared" si="51"/>
        <v>1.2408012980358121E-3</v>
      </c>
      <c r="J73" s="442">
        <f t="shared" si="51"/>
        <v>5.4427000362798389E-4</v>
      </c>
      <c r="K73" s="442">
        <f t="shared" si="51"/>
        <v>1.6761891676311618E-3</v>
      </c>
      <c r="L73" s="442">
        <f t="shared" si="51"/>
        <v>1.198804580530102E-3</v>
      </c>
      <c r="M73" s="442">
        <f t="shared" si="51"/>
        <v>1.8735164514961252E-3</v>
      </c>
      <c r="N73" s="442">
        <f t="shared" si="51"/>
        <v>1.8316892223812708E-3</v>
      </c>
      <c r="O73" s="442">
        <f t="shared" si="51"/>
        <v>2.5054747176304118E-3</v>
      </c>
      <c r="P73" s="442">
        <f t="shared" si="51"/>
        <v>3.1829724974611028E-3</v>
      </c>
      <c r="Q73" s="442"/>
      <c r="R73" s="442">
        <f>R24/R$80</f>
        <v>6.8153688505432856E-3</v>
      </c>
      <c r="S73" s="442">
        <f>S24/S$80</f>
        <v>8.0436845009527122E-3</v>
      </c>
      <c r="T73" s="442">
        <f>T24/T$80</f>
        <v>6.3762789738487681E-3</v>
      </c>
      <c r="U73" s="442">
        <f>U24/U$80</f>
        <v>9.2903535679091549E-3</v>
      </c>
      <c r="V73" s="442"/>
      <c r="W73" s="442"/>
      <c r="X73" s="442"/>
      <c r="Y73" s="442"/>
      <c r="Z73" s="442"/>
      <c r="AA73" s="442"/>
      <c r="AB73" s="442"/>
      <c r="AC73" s="442"/>
      <c r="AD73" s="442">
        <f>AD24/AD$80</f>
        <v>1.0118258127308079E-2</v>
      </c>
      <c r="AE73" s="442"/>
      <c r="AF73" s="442"/>
      <c r="AG73" s="442"/>
      <c r="AH73" s="442"/>
      <c r="AI73" s="442"/>
      <c r="AJ73" s="442"/>
      <c r="AK73" s="442"/>
      <c r="AL73" s="442"/>
      <c r="AM73" s="442"/>
      <c r="AN73" s="442"/>
      <c r="AO73" s="442"/>
      <c r="AP73" s="442"/>
      <c r="AQ73" s="442"/>
      <c r="AR73" s="442"/>
      <c r="AS73" s="442"/>
      <c r="AT73" s="442"/>
      <c r="AU73" s="442"/>
      <c r="AV73" s="442"/>
      <c r="AW73" s="442"/>
      <c r="AX73" s="442"/>
      <c r="AY73" s="442"/>
      <c r="AZ73" s="442"/>
      <c r="BA73" s="442"/>
      <c r="BB73" s="442"/>
      <c r="BC73" s="442"/>
      <c r="BD73" s="442"/>
      <c r="BE73" s="442"/>
      <c r="BF73" s="442"/>
      <c r="BG73" s="443"/>
    </row>
    <row r="74" spans="2:59" hidden="1">
      <c r="B74" s="422">
        <f t="shared" si="43"/>
        <v>14</v>
      </c>
      <c r="C74" s="422" t="s">
        <v>425</v>
      </c>
      <c r="D74" s="422" t="s">
        <v>436</v>
      </c>
      <c r="E74" s="442">
        <f t="shared" ref="E74:P74" si="52">E13/E$80</f>
        <v>7.5494113347382248E-3</v>
      </c>
      <c r="F74" s="442">
        <f t="shared" si="52"/>
        <v>8.5186378125974328E-3</v>
      </c>
      <c r="G74" s="442">
        <f t="shared" si="52"/>
        <v>7.775904068612738E-3</v>
      </c>
      <c r="H74" s="442">
        <f t="shared" si="52"/>
        <v>7.0346219565093427E-3</v>
      </c>
      <c r="I74" s="442">
        <f t="shared" si="52"/>
        <v>5.0402469411841636E-3</v>
      </c>
      <c r="J74" s="442">
        <f t="shared" si="52"/>
        <v>5.1881784229516528E-3</v>
      </c>
      <c r="K74" s="442">
        <f t="shared" si="52"/>
        <v>3.7590850793177612E-3</v>
      </c>
      <c r="L74" s="442">
        <f t="shared" si="52"/>
        <v>1.847112293816431E-3</v>
      </c>
      <c r="M74" s="442">
        <f t="shared" si="52"/>
        <v>3.5951185979687245E-3</v>
      </c>
      <c r="N74" s="442">
        <f t="shared" si="52"/>
        <v>2.5237064137357606E-3</v>
      </c>
      <c r="O74" s="442">
        <f t="shared" si="52"/>
        <v>2.2155140006078844E-3</v>
      </c>
      <c r="P74" s="442">
        <f t="shared" si="52"/>
        <v>2.3526058273819609E-3</v>
      </c>
      <c r="Q74" s="442"/>
      <c r="R74" s="442">
        <f>R13/R$80</f>
        <v>2.5003620461659989E-3</v>
      </c>
      <c r="S74" s="442">
        <f>S13/S$80</f>
        <v>1.9835607209612092E-3</v>
      </c>
      <c r="T74" s="442">
        <f>T13/T$80</f>
        <v>1.4220323575159005E-3</v>
      </c>
      <c r="U74" s="442">
        <f>U13/U$80</f>
        <v>2.2171035095691471E-3</v>
      </c>
      <c r="V74" s="442"/>
      <c r="W74" s="442"/>
      <c r="X74" s="442"/>
      <c r="Y74" s="442"/>
      <c r="Z74" s="442"/>
      <c r="AA74" s="442"/>
      <c r="AB74" s="442"/>
      <c r="AC74" s="442"/>
      <c r="AD74" s="442">
        <f>AD13/AD$80</f>
        <v>2.6162729333445117E-3</v>
      </c>
      <c r="AE74" s="442"/>
      <c r="AF74" s="442"/>
      <c r="AG74" s="442"/>
      <c r="AH74" s="442"/>
      <c r="AI74" s="442"/>
      <c r="AJ74" s="442"/>
      <c r="AK74" s="442"/>
      <c r="AL74" s="442"/>
      <c r="AM74" s="442"/>
      <c r="AN74" s="442"/>
      <c r="AO74" s="442"/>
      <c r="AP74" s="442"/>
      <c r="AQ74" s="442"/>
      <c r="AR74" s="442"/>
      <c r="AS74" s="442"/>
      <c r="AT74" s="442"/>
      <c r="AU74" s="442"/>
      <c r="AV74" s="442"/>
      <c r="AW74" s="442"/>
      <c r="AX74" s="442"/>
      <c r="AY74" s="442"/>
      <c r="AZ74" s="442"/>
      <c r="BA74" s="442"/>
      <c r="BB74" s="442"/>
      <c r="BC74" s="442"/>
      <c r="BD74" s="442"/>
      <c r="BE74" s="442"/>
      <c r="BF74" s="442"/>
      <c r="BG74" s="443"/>
    </row>
    <row r="75" spans="2:59" hidden="1">
      <c r="B75" s="422">
        <f t="shared" si="43"/>
        <v>15</v>
      </c>
      <c r="C75" s="422" t="s">
        <v>425</v>
      </c>
      <c r="D75" s="422" t="s">
        <v>438</v>
      </c>
      <c r="E75" s="442">
        <f t="shared" ref="E75:P75" si="53">E15/E$80</f>
        <v>5.9321712800646104E-3</v>
      </c>
      <c r="F75" s="442">
        <f t="shared" si="53"/>
        <v>6.1328896603160474E-3</v>
      </c>
      <c r="G75" s="442">
        <f t="shared" si="53"/>
        <v>2.2806657993381307E-3</v>
      </c>
      <c r="H75" s="442">
        <f t="shared" si="53"/>
        <v>2.2093301669034136E-3</v>
      </c>
      <c r="I75" s="442">
        <f t="shared" si="53"/>
        <v>2.8081181233067082E-3</v>
      </c>
      <c r="J75" s="442">
        <f t="shared" si="53"/>
        <v>1.9296505547848441E-3</v>
      </c>
      <c r="K75" s="442">
        <f t="shared" si="53"/>
        <v>2.0181076858599824E-3</v>
      </c>
      <c r="L75" s="442">
        <f t="shared" si="53"/>
        <v>1.6725074032379089E-3</v>
      </c>
      <c r="M75" s="442">
        <f t="shared" si="53"/>
        <v>2.2244492278880551E-3</v>
      </c>
      <c r="N75" s="442">
        <f t="shared" si="53"/>
        <v>1.7227073606752592E-3</v>
      </c>
      <c r="O75" s="442">
        <f t="shared" si="53"/>
        <v>1.8121222342083227E-3</v>
      </c>
      <c r="P75" s="442">
        <f t="shared" si="53"/>
        <v>1.3419784685423783E-3</v>
      </c>
      <c r="Q75" s="442"/>
      <c r="R75" s="442">
        <f>R15/R$80</f>
        <v>1.9048975754172872E-3</v>
      </c>
      <c r="S75" s="442">
        <f>S15/S$80</f>
        <v>1.6239638244068323E-3</v>
      </c>
      <c r="T75" s="442">
        <f>T15/T$80</f>
        <v>1.5175132603918668E-3</v>
      </c>
      <c r="U75" s="442">
        <f>U15/U$80</f>
        <v>1.4964874086850685E-3</v>
      </c>
      <c r="V75" s="442"/>
      <c r="W75" s="442"/>
      <c r="X75" s="442"/>
      <c r="Y75" s="442"/>
      <c r="Z75" s="442"/>
      <c r="AA75" s="442"/>
      <c r="AB75" s="442"/>
      <c r="AC75" s="442"/>
      <c r="AD75" s="442">
        <f>AD15/AD$80</f>
        <v>1.4654431755457588E-3</v>
      </c>
      <c r="AE75" s="442"/>
      <c r="AF75" s="442"/>
      <c r="AG75" s="442"/>
      <c r="AH75" s="442"/>
      <c r="AI75" s="442"/>
      <c r="AJ75" s="442"/>
      <c r="AK75" s="442"/>
      <c r="AL75" s="442"/>
      <c r="AM75" s="442"/>
      <c r="AN75" s="442"/>
      <c r="AO75" s="442"/>
      <c r="AP75" s="442"/>
      <c r="AQ75" s="442"/>
      <c r="AR75" s="442"/>
      <c r="AS75" s="442"/>
      <c r="AT75" s="442"/>
      <c r="AU75" s="442"/>
      <c r="AV75" s="442"/>
      <c r="AW75" s="442"/>
      <c r="AX75" s="442"/>
      <c r="AY75" s="442"/>
      <c r="AZ75" s="442"/>
      <c r="BA75" s="442"/>
      <c r="BB75" s="442"/>
      <c r="BC75" s="442"/>
      <c r="BD75" s="442"/>
      <c r="BE75" s="442"/>
      <c r="BF75" s="442"/>
      <c r="BG75" s="443"/>
    </row>
    <row r="76" spans="2:59" hidden="1">
      <c r="B76" s="422">
        <f t="shared" si="43"/>
        <v>16</v>
      </c>
      <c r="C76" s="422" t="s">
        <v>440</v>
      </c>
      <c r="D76" s="422" t="s">
        <v>447</v>
      </c>
      <c r="E76" s="442">
        <f t="shared" ref="E76:P76" si="54">E14/E$80</f>
        <v>3.7162379113923143E-3</v>
      </c>
      <c r="F76" s="442">
        <f t="shared" si="54"/>
        <v>4.9136799536442875E-3</v>
      </c>
      <c r="G76" s="442">
        <f t="shared" si="54"/>
        <v>2.696784103215845E-3</v>
      </c>
      <c r="H76" s="442">
        <f t="shared" si="54"/>
        <v>1.9951187726339275E-3</v>
      </c>
      <c r="I76" s="442">
        <f t="shared" si="54"/>
        <v>2.9353520171241584E-3</v>
      </c>
      <c r="J76" s="442">
        <f t="shared" si="54"/>
        <v>3.7253727914932123E-3</v>
      </c>
      <c r="K76" s="442">
        <f t="shared" si="54"/>
        <v>2.4778974110868739E-3</v>
      </c>
      <c r="L76" s="442">
        <f t="shared" si="54"/>
        <v>1.200270847617859E-3</v>
      </c>
      <c r="M76" s="442">
        <f t="shared" si="54"/>
        <v>1.013205523621752E-3</v>
      </c>
      <c r="N76" s="442">
        <f t="shared" si="54"/>
        <v>7.876851073495136E-4</v>
      </c>
      <c r="O76" s="442">
        <f t="shared" si="54"/>
        <v>7.9873172817452676E-4</v>
      </c>
      <c r="P76" s="442">
        <f t="shared" si="54"/>
        <v>1.191649639114099E-3</v>
      </c>
      <c r="Q76" s="442"/>
      <c r="R76" s="442">
        <f>R14/R$80</f>
        <v>1.0263752435155534E-3</v>
      </c>
      <c r="S76" s="442">
        <f>S14/S$80</f>
        <v>9.3711060328510634E-4</v>
      </c>
      <c r="T76" s="442">
        <f>T14/T$80</f>
        <v>7.8143377875896703E-4</v>
      </c>
      <c r="U76" s="442">
        <f>U14/U$80</f>
        <v>8.9758283108802518E-4</v>
      </c>
      <c r="V76" s="442"/>
      <c r="W76" s="442"/>
      <c r="X76" s="442"/>
      <c r="Y76" s="442"/>
      <c r="Z76" s="442"/>
      <c r="AA76" s="442"/>
      <c r="AB76" s="442"/>
      <c r="AC76" s="442"/>
      <c r="AD76" s="442">
        <f>AD14/AD$80</f>
        <v>9.8443560948897955E-4</v>
      </c>
      <c r="AE76" s="442"/>
      <c r="AF76" s="442"/>
      <c r="AG76" s="442"/>
      <c r="AH76" s="442"/>
      <c r="AI76" s="442"/>
      <c r="AJ76" s="442"/>
      <c r="AK76" s="442"/>
      <c r="AL76" s="442"/>
      <c r="AM76" s="442"/>
      <c r="AN76" s="442"/>
      <c r="AO76" s="442"/>
      <c r="AP76" s="442"/>
      <c r="AQ76" s="442"/>
      <c r="AR76" s="442"/>
      <c r="AS76" s="442"/>
      <c r="AT76" s="442"/>
      <c r="AU76" s="442"/>
      <c r="AV76" s="442"/>
      <c r="AW76" s="442"/>
      <c r="AX76" s="442"/>
      <c r="AY76" s="442"/>
      <c r="AZ76" s="442"/>
      <c r="BA76" s="442"/>
      <c r="BB76" s="442"/>
      <c r="BC76" s="442"/>
      <c r="BD76" s="442"/>
      <c r="BE76" s="442"/>
      <c r="BF76" s="442"/>
      <c r="BG76" s="443"/>
    </row>
    <row r="77" spans="2:59" hidden="1">
      <c r="B77" s="422">
        <f t="shared" si="43"/>
        <v>17</v>
      </c>
      <c r="C77" s="422" t="s">
        <v>425</v>
      </c>
      <c r="D77" s="422" t="s">
        <v>439</v>
      </c>
      <c r="E77" s="442">
        <f t="shared" ref="E77:P77" si="55">E16/E$80</f>
        <v>0</v>
      </c>
      <c r="F77" s="442">
        <f t="shared" si="55"/>
        <v>0</v>
      </c>
      <c r="G77" s="442">
        <f t="shared" si="55"/>
        <v>0</v>
      </c>
      <c r="H77" s="442">
        <f t="shared" si="55"/>
        <v>1.4998054177097829E-3</v>
      </c>
      <c r="I77" s="442">
        <f t="shared" si="55"/>
        <v>9.7426227069086322E-4</v>
      </c>
      <c r="J77" s="442">
        <f t="shared" si="55"/>
        <v>1.1867576522054954E-3</v>
      </c>
      <c r="K77" s="442">
        <f t="shared" si="55"/>
        <v>6.1676628022056717E-4</v>
      </c>
      <c r="L77" s="442">
        <f t="shared" si="55"/>
        <v>8.7509509544063662E-4</v>
      </c>
      <c r="M77" s="442">
        <f t="shared" si="55"/>
        <v>7.6931637733443131E-4</v>
      </c>
      <c r="N77" s="442">
        <f t="shared" si="55"/>
        <v>0</v>
      </c>
      <c r="O77" s="442">
        <f t="shared" si="55"/>
        <v>3.5642255899437966E-4</v>
      </c>
      <c r="P77" s="442">
        <f t="shared" si="55"/>
        <v>1.3573969274667398E-6</v>
      </c>
      <c r="Q77" s="442"/>
      <c r="R77" s="442">
        <f>R16/R$80</f>
        <v>3.4003105238811991E-4</v>
      </c>
      <c r="S77" s="442">
        <f>S16/S$80</f>
        <v>0</v>
      </c>
      <c r="T77" s="442">
        <f>T16/T$80</f>
        <v>2.5020153149361298E-4</v>
      </c>
      <c r="U77" s="442">
        <f>U16/U$80</f>
        <v>0</v>
      </c>
      <c r="V77" s="442"/>
      <c r="W77" s="442"/>
      <c r="X77" s="442"/>
      <c r="Y77" s="442"/>
      <c r="Z77" s="442"/>
      <c r="AA77" s="442"/>
      <c r="AB77" s="442"/>
      <c r="AC77" s="442"/>
      <c r="AD77" s="442">
        <f>AD16/AD$80</f>
        <v>1.620902560678598E-4</v>
      </c>
      <c r="AE77" s="442"/>
      <c r="AF77" s="442"/>
      <c r="AG77" s="442"/>
      <c r="AH77" s="442"/>
      <c r="AI77" s="442"/>
      <c r="AJ77" s="442"/>
      <c r="AK77" s="442"/>
      <c r="AL77" s="442"/>
      <c r="AM77" s="442"/>
      <c r="AN77" s="442"/>
      <c r="AO77" s="442"/>
      <c r="AP77" s="442"/>
      <c r="AQ77" s="442"/>
      <c r="AR77" s="442"/>
      <c r="AS77" s="442"/>
      <c r="AT77" s="442"/>
      <c r="AU77" s="442"/>
      <c r="AV77" s="442"/>
      <c r="AW77" s="442"/>
      <c r="AX77" s="442"/>
      <c r="AY77" s="442"/>
      <c r="AZ77" s="442"/>
      <c r="BA77" s="442"/>
      <c r="BB77" s="442"/>
      <c r="BC77" s="442"/>
      <c r="BD77" s="442"/>
      <c r="BE77" s="442"/>
      <c r="BF77" s="442"/>
      <c r="BG77" s="443"/>
    </row>
    <row r="78" spans="2:59" hidden="1">
      <c r="B78" s="445"/>
      <c r="C78" s="445"/>
      <c r="D78" s="445"/>
      <c r="E78" s="447">
        <f t="shared" ref="E78:AD78" si="56">SUM(E61:E77)</f>
        <v>1.2572023208744258</v>
      </c>
      <c r="F78" s="447">
        <f t="shared" si="56"/>
        <v>1.8786282324875647</v>
      </c>
      <c r="G78" s="447">
        <f t="shared" si="56"/>
        <v>0.89454030449381294</v>
      </c>
      <c r="H78" s="447">
        <f t="shared" si="56"/>
        <v>0.8795373860997231</v>
      </c>
      <c r="I78" s="447">
        <f t="shared" si="56"/>
        <v>1.0318954744590976</v>
      </c>
      <c r="J78" s="447">
        <f t="shared" si="56"/>
        <v>0.97783542852451277</v>
      </c>
      <c r="K78" s="447">
        <f t="shared" si="56"/>
        <v>1.0768640646562384</v>
      </c>
      <c r="L78" s="447">
        <f t="shared" si="56"/>
        <v>0.78232813523259204</v>
      </c>
      <c r="M78" s="447">
        <f t="shared" si="56"/>
        <v>0.94582450830923348</v>
      </c>
      <c r="N78" s="447">
        <f t="shared" si="56"/>
        <v>0.87913625784259219</v>
      </c>
      <c r="O78" s="447">
        <f t="shared" si="56"/>
        <v>0.81040846135210909</v>
      </c>
      <c r="P78" s="447">
        <f t="shared" si="56"/>
        <v>0.9671175052808908</v>
      </c>
      <c r="Q78" s="447"/>
      <c r="R78" s="447">
        <f t="shared" si="56"/>
        <v>1.6148620116520902</v>
      </c>
      <c r="S78" s="447">
        <f t="shared" si="56"/>
        <v>1.102598646516421</v>
      </c>
      <c r="T78" s="447">
        <f t="shared" si="56"/>
        <v>1.2798103200460411</v>
      </c>
      <c r="U78" s="447">
        <f t="shared" si="56"/>
        <v>1.1546992617063818</v>
      </c>
      <c r="V78" s="447">
        <f t="shared" si="56"/>
        <v>0</v>
      </c>
      <c r="W78" s="447">
        <f t="shared" si="56"/>
        <v>0</v>
      </c>
      <c r="X78" s="447">
        <f t="shared" si="56"/>
        <v>0</v>
      </c>
      <c r="Y78" s="447">
        <f t="shared" si="56"/>
        <v>0</v>
      </c>
      <c r="Z78" s="447">
        <f t="shared" si="56"/>
        <v>0</v>
      </c>
      <c r="AA78" s="447">
        <f t="shared" si="56"/>
        <v>0</v>
      </c>
      <c r="AB78" s="447">
        <f t="shared" si="56"/>
        <v>0</v>
      </c>
      <c r="AC78" s="447">
        <f t="shared" si="56"/>
        <v>0</v>
      </c>
      <c r="AD78" s="447">
        <f t="shared" si="56"/>
        <v>1.1396781740135133</v>
      </c>
      <c r="AE78" s="447"/>
      <c r="AF78" s="447"/>
      <c r="AG78" s="447"/>
      <c r="AH78" s="447"/>
      <c r="AI78" s="447"/>
      <c r="AJ78" s="447"/>
      <c r="AK78" s="447"/>
      <c r="AL78" s="447"/>
      <c r="AM78" s="447"/>
      <c r="AN78" s="447"/>
      <c r="AO78" s="447"/>
      <c r="AP78" s="447"/>
      <c r="AQ78" s="447"/>
      <c r="AR78" s="447"/>
      <c r="AS78" s="447"/>
      <c r="AT78" s="447"/>
      <c r="AU78" s="447"/>
      <c r="AV78" s="447"/>
      <c r="AW78" s="447"/>
      <c r="AX78" s="447"/>
      <c r="AY78" s="447"/>
      <c r="AZ78" s="447"/>
      <c r="BA78" s="447"/>
      <c r="BB78" s="447"/>
      <c r="BC78" s="447"/>
      <c r="BD78" s="447"/>
      <c r="BE78" s="447"/>
      <c r="BF78" s="447"/>
      <c r="BG78" s="448"/>
    </row>
    <row r="79" spans="2:59" hidden="1"/>
    <row r="80" spans="2:59" hidden="1">
      <c r="D80" t="s">
        <v>569</v>
      </c>
      <c r="E80" s="427">
        <v>24985.455241</v>
      </c>
      <c r="F80" s="427">
        <v>23042.319008999999</v>
      </c>
      <c r="G80" s="427">
        <v>59212.533479999998</v>
      </c>
      <c r="H80" s="427">
        <v>54287.042198000003</v>
      </c>
      <c r="I80" s="427">
        <v>55449.234385000003</v>
      </c>
      <c r="J80" s="427">
        <v>51903.698186000001</v>
      </c>
      <c r="K80" s="427">
        <v>54526.327197999999</v>
      </c>
      <c r="L80" s="427">
        <v>78282.463650999998</v>
      </c>
      <c r="M80" s="427">
        <v>58392.881425</v>
      </c>
      <c r="N80" s="427">
        <v>70970.846697999994</v>
      </c>
      <c r="O80" s="427">
        <v>62903.041444000002</v>
      </c>
      <c r="P80" s="427">
        <v>99555.993730000002</v>
      </c>
      <c r="Q80" s="427"/>
      <c r="R80" s="427">
        <v>67562.267735999994</v>
      </c>
      <c r="S80" s="427">
        <v>70105.871996000002</v>
      </c>
      <c r="T80" s="427">
        <v>92109.508132999996</v>
      </c>
      <c r="U80" s="427">
        <v>97489.092894000001</v>
      </c>
      <c r="V80" s="427"/>
      <c r="W80" s="427"/>
      <c r="X80" s="427"/>
      <c r="Y80" s="427"/>
      <c r="Z80" s="427"/>
      <c r="AA80" s="427"/>
      <c r="AB80" s="427"/>
      <c r="AC80" s="427"/>
      <c r="AD80" s="427">
        <f>SUM(E80:U80)</f>
        <v>1020778.5774039999</v>
      </c>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53"/>
    </row>
  </sheetData>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188A6-5731-4418-8DF3-8BAB71B0BFDF}">
  <sheetPr filterMode="1"/>
  <dimension ref="A1:FR116"/>
  <sheetViews>
    <sheetView showGridLines="0" zoomScaleNormal="100" workbookViewId="0">
      <pane xSplit="5" ySplit="2" topLeftCell="R22" activePane="bottomRight" state="frozen"/>
      <selection activeCell="BE19" sqref="BE19"/>
      <selection pane="topRight" activeCell="BE19" sqref="BE19"/>
      <selection pane="bottomLeft" activeCell="BE19" sqref="BE19"/>
      <selection pane="bottomRight" activeCell="BE19" sqref="BE19"/>
    </sheetView>
  </sheetViews>
  <sheetFormatPr defaultColWidth="8.54296875" defaultRowHeight="14" outlineLevelCol="1"/>
  <cols>
    <col min="1" max="1" width="3.54296875" style="1166" customWidth="1"/>
    <col min="2" max="2" width="8.54296875" style="1166" customWidth="1"/>
    <col min="3" max="3" width="23.54296875" style="1166" customWidth="1"/>
    <col min="4" max="4" width="25" style="1166" customWidth="1"/>
    <col min="5" max="5" width="9.54296875" style="1166" customWidth="1"/>
    <col min="6" max="11" width="9.453125" style="1168" hidden="1" customWidth="1" outlineLevel="1"/>
    <col min="12" max="13" width="9.54296875" style="1168" hidden="1" customWidth="1" outlineLevel="1"/>
    <col min="14" max="17" width="9.453125" style="1168" hidden="1" customWidth="1" outlineLevel="1"/>
    <col min="18" max="18" width="9.453125" style="1168" customWidth="1" collapsed="1"/>
    <col min="19" max="27" width="12.36328125" style="1168" hidden="1" customWidth="1" outlineLevel="1"/>
    <col min="28" max="29" width="13.36328125" style="1168" hidden="1" customWidth="1" outlineLevel="1"/>
    <col min="30" max="30" width="12.54296875" style="1168" hidden="1" customWidth="1" outlineLevel="1"/>
    <col min="31" max="31" width="11.453125" style="1168" hidden="1" customWidth="1" outlineLevel="1"/>
    <col min="32" max="32" width="14.54296875" style="1168" hidden="1" customWidth="1" collapsed="1"/>
    <col min="33" max="33" width="11.453125" style="1168" customWidth="1"/>
    <col min="34" max="45" width="11.453125" style="1168" hidden="1" customWidth="1" outlineLevel="1"/>
    <col min="46" max="46" width="9.36328125" style="1168" hidden="1" customWidth="1" outlineLevel="1"/>
    <col min="47" max="47" width="11.453125" style="1168" customWidth="1" collapsed="1"/>
    <col min="48" max="53" width="11.453125" style="1168" customWidth="1"/>
    <col min="54" max="59" width="11.453125" style="1168" hidden="1" customWidth="1"/>
    <col min="60" max="60" width="11.453125" style="1168" customWidth="1"/>
    <col min="61" max="61" width="13.6328125" style="1168" bestFit="1" customWidth="1"/>
    <col min="62" max="62" width="24" style="1168" hidden="1" customWidth="1"/>
    <col min="63" max="63" width="2.36328125" style="1500" customWidth="1"/>
    <col min="64" max="75" width="10.453125" style="1166" customWidth="1"/>
    <col min="76" max="76" width="11.453125" style="1166" customWidth="1"/>
    <col min="77" max="77" width="8.54296875" style="1166" customWidth="1"/>
    <col min="78" max="78" width="9.6328125" style="1166" bestFit="1" customWidth="1"/>
    <col min="79" max="86" width="9.6328125" style="1166" hidden="1" customWidth="1" outlineLevel="1"/>
    <col min="87" max="88" width="10.36328125" style="1166" hidden="1" customWidth="1" outlineLevel="1"/>
    <col min="89" max="89" width="10.36328125" style="1166" bestFit="1" customWidth="1" collapsed="1"/>
    <col min="90" max="90" width="15" style="1166" bestFit="1" customWidth="1"/>
    <col min="91" max="91" width="8.54296875" style="1166"/>
    <col min="92" max="92" width="9.6328125" style="1166" bestFit="1" customWidth="1"/>
    <col min="93" max="100" width="9.6328125" style="1166" hidden="1" customWidth="1" outlineLevel="1"/>
    <col min="101" max="102" width="10.36328125" style="1166" hidden="1" customWidth="1" outlineLevel="1"/>
    <col min="103" max="103" width="10.36328125" style="1166" bestFit="1" customWidth="1" collapsed="1"/>
    <col min="104" max="104" width="15" style="1166" bestFit="1" customWidth="1"/>
    <col min="105" max="105" width="8.54296875" style="1166"/>
    <col min="106" max="106" width="9.6328125" style="1166" bestFit="1" customWidth="1"/>
    <col min="107" max="114" width="9.6328125" style="1166" hidden="1" customWidth="1" outlineLevel="1"/>
    <col min="115" max="116" width="10.36328125" style="1166" hidden="1" customWidth="1" outlineLevel="1"/>
    <col min="117" max="117" width="10.36328125" style="1166" bestFit="1" customWidth="1" collapsed="1"/>
    <col min="118" max="118" width="15" style="1166" bestFit="1" customWidth="1"/>
    <col min="119" max="119" width="8.54296875" style="1166"/>
    <col min="120" max="120" width="9.6328125" style="1166" bestFit="1" customWidth="1"/>
    <col min="121" max="128" width="9.6328125" style="1166" hidden="1" customWidth="1" outlineLevel="1"/>
    <col min="129" max="130" width="10.36328125" style="1166" hidden="1" customWidth="1" outlineLevel="1"/>
    <col min="131" max="131" width="10.36328125" style="1166" bestFit="1" customWidth="1" collapsed="1"/>
    <col min="132" max="132" width="15" style="1166" bestFit="1" customWidth="1"/>
    <col min="133" max="133" width="8.54296875" style="1166"/>
    <col min="134" max="134" width="9.6328125" style="1166" bestFit="1" customWidth="1"/>
    <col min="135" max="142" width="9.6328125" style="1166" hidden="1" customWidth="1" outlineLevel="1"/>
    <col min="143" max="144" width="10.36328125" style="1166" hidden="1" customWidth="1" outlineLevel="1"/>
    <col min="145" max="145" width="10.36328125" style="1166" bestFit="1" customWidth="1" collapsed="1"/>
    <col min="146" max="146" width="15" style="1166" bestFit="1" customWidth="1"/>
    <col min="147" max="147" width="8.54296875" style="1166"/>
    <col min="148" max="148" width="11.54296875" style="1166" bestFit="1" customWidth="1"/>
    <col min="149" max="156" width="9.6328125" style="1166" hidden="1" customWidth="1" outlineLevel="1"/>
    <col min="157" max="158" width="10.36328125" style="1166" hidden="1" customWidth="1" outlineLevel="1"/>
    <col min="159" max="159" width="10.36328125" style="1166" bestFit="1" customWidth="1" collapsed="1"/>
    <col min="160" max="160" width="15" style="1166" bestFit="1" customWidth="1"/>
    <col min="161" max="161" width="8.54296875" style="1166"/>
    <col min="162" max="162" width="9.6328125" style="1166" bestFit="1" customWidth="1"/>
    <col min="163" max="170" width="9.6328125" style="1166" hidden="1" customWidth="1" outlineLevel="1"/>
    <col min="171" max="172" width="10.36328125" style="1166" hidden="1" customWidth="1" outlineLevel="1"/>
    <col min="173" max="173" width="10.36328125" style="1166" bestFit="1" customWidth="1" collapsed="1"/>
    <col min="174" max="174" width="15" style="1166" bestFit="1" customWidth="1"/>
    <col min="175" max="16384" width="8.54296875" style="1166"/>
  </cols>
  <sheetData>
    <row r="1" spans="1:174" ht="14.5" thickBot="1">
      <c r="F1" s="1167"/>
      <c r="G1" s="1167"/>
      <c r="H1" s="1167"/>
      <c r="I1" s="1167"/>
      <c r="J1" s="1167"/>
      <c r="K1" s="1167"/>
      <c r="L1" s="1167"/>
      <c r="M1" s="1167"/>
      <c r="N1" s="1489">
        <v>2670.8606060000002</v>
      </c>
      <c r="O1" s="1167"/>
      <c r="P1" s="1167"/>
      <c r="Q1" s="1167"/>
      <c r="R1" s="1167"/>
      <c r="S1" s="1167">
        <f>SUBTOTAL(9,S4:S49)</f>
        <v>538.72162100000003</v>
      </c>
      <c r="T1" s="1167">
        <f t="shared" ref="T1:AF1" si="0">SUBTOTAL(9,T4:T49)</f>
        <v>645.51002000000005</v>
      </c>
      <c r="U1" s="1167">
        <f t="shared" si="0"/>
        <v>698.78772200000003</v>
      </c>
      <c r="V1" s="1167">
        <f t="shared" si="0"/>
        <v>640.0876760000001</v>
      </c>
      <c r="W1" s="1167">
        <f t="shared" si="0"/>
        <v>763.75839600000006</v>
      </c>
      <c r="X1" s="1167">
        <f t="shared" si="0"/>
        <v>839.77968399999997</v>
      </c>
      <c r="Y1" s="1167">
        <f t="shared" si="0"/>
        <v>569.16955900000005</v>
      </c>
      <c r="Z1" s="1167">
        <f t="shared" si="0"/>
        <v>809.00254699999994</v>
      </c>
      <c r="AA1" s="1167">
        <f t="shared" si="0"/>
        <v>931.70146299999999</v>
      </c>
      <c r="AB1" s="1167">
        <f t="shared" si="0"/>
        <v>1009.2301160000001</v>
      </c>
      <c r="AC1" s="1167">
        <f t="shared" si="0"/>
        <v>1237.657117</v>
      </c>
      <c r="AD1" s="1167">
        <f t="shared" si="0"/>
        <v>1449.3380500000003</v>
      </c>
      <c r="AE1" s="1167">
        <f t="shared" si="0"/>
        <v>35.436869999999999</v>
      </c>
      <c r="AF1" s="1167">
        <f t="shared" si="0"/>
        <v>10168.180841000001</v>
      </c>
      <c r="AG1" s="1167"/>
      <c r="AH1" s="1167">
        <v>1000000</v>
      </c>
      <c r="AI1" s="1167"/>
      <c r="AJ1" s="1167"/>
      <c r="AK1" s="1167"/>
      <c r="AL1" s="1167"/>
      <c r="AM1" s="1167"/>
      <c r="AN1" s="1167"/>
      <c r="AO1" s="1167"/>
      <c r="AP1" s="1167"/>
      <c r="AQ1" s="1167"/>
      <c r="AR1" s="1167"/>
      <c r="AS1" s="1167"/>
      <c r="AT1" s="1167"/>
      <c r="AU1" s="1167"/>
      <c r="AV1" s="1167"/>
      <c r="AW1" s="1167"/>
      <c r="AX1" s="1167"/>
      <c r="AY1" s="1167"/>
      <c r="AZ1" s="1167"/>
      <c r="BA1" s="1167"/>
      <c r="BB1" s="1167"/>
      <c r="BC1" s="1167"/>
      <c r="BD1" s="1167"/>
      <c r="BE1" s="1167"/>
      <c r="BF1" s="1167"/>
      <c r="BG1" s="1167"/>
      <c r="BH1" s="1167"/>
      <c r="BI1" s="1167"/>
      <c r="BL1" s="439">
        <v>5</v>
      </c>
      <c r="BV1" s="1169"/>
      <c r="BW1" s="1169"/>
      <c r="BZ1" s="445" t="s">
        <v>1045</v>
      </c>
      <c r="CN1" s="445" t="s">
        <v>1046</v>
      </c>
      <c r="CP1" s="1490"/>
      <c r="DB1" s="445" t="s">
        <v>1047</v>
      </c>
      <c r="DP1" s="445" t="s">
        <v>1048</v>
      </c>
      <c r="ED1" s="445" t="s">
        <v>1049</v>
      </c>
      <c r="ER1" s="445" t="s">
        <v>1050</v>
      </c>
      <c r="FF1" s="445" t="s">
        <v>1051</v>
      </c>
      <c r="FG1" s="1490"/>
    </row>
    <row r="2" spans="1:174" s="1393" customFormat="1" ht="27" customHeight="1" thickTop="1">
      <c r="A2" s="1383" t="s">
        <v>0</v>
      </c>
      <c r="B2" s="1383" t="s">
        <v>505</v>
      </c>
      <c r="C2" s="1384" t="s">
        <v>811</v>
      </c>
      <c r="D2" s="1383" t="s">
        <v>534</v>
      </c>
      <c r="E2" s="1383" t="s">
        <v>812</v>
      </c>
      <c r="F2" s="1385" t="s">
        <v>550</v>
      </c>
      <c r="G2" s="1385" t="s">
        <v>551</v>
      </c>
      <c r="H2" s="1386" t="s">
        <v>552</v>
      </c>
      <c r="I2" s="1386" t="s">
        <v>553</v>
      </c>
      <c r="J2" s="1386" t="s">
        <v>554</v>
      </c>
      <c r="K2" s="1386" t="s">
        <v>555</v>
      </c>
      <c r="L2" s="1386" t="s">
        <v>556</v>
      </c>
      <c r="M2" s="1387" t="s">
        <v>557</v>
      </c>
      <c r="N2" s="1386" t="s">
        <v>558</v>
      </c>
      <c r="O2" s="1386" t="s">
        <v>559</v>
      </c>
      <c r="P2" s="1386" t="s">
        <v>560</v>
      </c>
      <c r="Q2" s="1388" t="s">
        <v>561</v>
      </c>
      <c r="R2" s="1389" t="s">
        <v>483</v>
      </c>
      <c r="S2" s="1390" t="s">
        <v>813</v>
      </c>
      <c r="T2" s="1383" t="s">
        <v>814</v>
      </c>
      <c r="U2" s="1383" t="s">
        <v>815</v>
      </c>
      <c r="V2" s="1383" t="s">
        <v>816</v>
      </c>
      <c r="W2" s="1383" t="s">
        <v>817</v>
      </c>
      <c r="X2" s="1383" t="s">
        <v>818</v>
      </c>
      <c r="Y2" s="1383" t="s">
        <v>819</v>
      </c>
      <c r="Z2" s="1383" t="s">
        <v>820</v>
      </c>
      <c r="AA2" s="1383" t="s">
        <v>821</v>
      </c>
      <c r="AB2" s="1383" t="s">
        <v>822</v>
      </c>
      <c r="AC2" s="1383" t="s">
        <v>823</v>
      </c>
      <c r="AD2" s="1383" t="s">
        <v>824</v>
      </c>
      <c r="AE2" s="1383" t="s">
        <v>825</v>
      </c>
      <c r="AF2" s="1391" t="s">
        <v>782</v>
      </c>
      <c r="AG2" s="1389" t="s">
        <v>482</v>
      </c>
      <c r="AH2" s="1390" t="s">
        <v>721</v>
      </c>
      <c r="AI2" s="1383" t="s">
        <v>722</v>
      </c>
      <c r="AJ2" s="1383" t="s">
        <v>723</v>
      </c>
      <c r="AK2" s="1383" t="s">
        <v>724</v>
      </c>
      <c r="AL2" s="1383" t="s">
        <v>725</v>
      </c>
      <c r="AM2" s="1383" t="s">
        <v>726</v>
      </c>
      <c r="AN2" s="1383" t="s">
        <v>727</v>
      </c>
      <c r="AO2" s="1383" t="s">
        <v>728</v>
      </c>
      <c r="AP2" s="1383" t="s">
        <v>729</v>
      </c>
      <c r="AQ2" s="1383" t="s">
        <v>730</v>
      </c>
      <c r="AR2" s="1383" t="s">
        <v>731</v>
      </c>
      <c r="AS2" s="1383" t="s">
        <v>732</v>
      </c>
      <c r="AT2" s="1383" t="s">
        <v>1052</v>
      </c>
      <c r="AU2" s="1389" t="s">
        <v>741</v>
      </c>
      <c r="AV2" s="1390" t="s">
        <v>1008</v>
      </c>
      <c r="AW2" s="1383" t="s">
        <v>1009</v>
      </c>
      <c r="AX2" s="1383" t="s">
        <v>1010</v>
      </c>
      <c r="AY2" s="1383" t="s">
        <v>1011</v>
      </c>
      <c r="AZ2" s="1383" t="s">
        <v>1012</v>
      </c>
      <c r="BA2" s="1383" t="s">
        <v>1013</v>
      </c>
      <c r="BB2" s="1383" t="s">
        <v>1014</v>
      </c>
      <c r="BC2" s="1383" t="s">
        <v>1015</v>
      </c>
      <c r="BD2" s="1383" t="s">
        <v>1016</v>
      </c>
      <c r="BE2" s="1383" t="s">
        <v>1017</v>
      </c>
      <c r="BF2" s="1383" t="s">
        <v>1018</v>
      </c>
      <c r="BG2" s="1383" t="s">
        <v>1019</v>
      </c>
      <c r="BH2" s="1383" t="s">
        <v>1030</v>
      </c>
      <c r="BI2" s="1387" t="str">
        <f xml:space="preserve"> "KH"&amp;" T"&amp;BL1&amp;".2026"</f>
        <v>KH T5.2026</v>
      </c>
      <c r="BJ2" s="1386" t="s">
        <v>826</v>
      </c>
      <c r="BK2" s="1501"/>
      <c r="BL2" s="1392" t="s">
        <v>1031</v>
      </c>
      <c r="BM2" s="1392" t="s">
        <v>1032</v>
      </c>
      <c r="BN2" s="1392" t="s">
        <v>1033</v>
      </c>
      <c r="BO2" s="1392" t="s">
        <v>1034</v>
      </c>
      <c r="BP2" s="1392" t="s">
        <v>1035</v>
      </c>
      <c r="BQ2" s="1392" t="s">
        <v>1036</v>
      </c>
      <c r="BR2" s="1392" t="s">
        <v>1037</v>
      </c>
      <c r="BS2" s="1392" t="s">
        <v>1038</v>
      </c>
      <c r="BT2" s="1392" t="s">
        <v>1039</v>
      </c>
      <c r="BU2" s="1392" t="s">
        <v>1040</v>
      </c>
      <c r="BV2" s="1392" t="s">
        <v>1041</v>
      </c>
      <c r="BW2" s="1392" t="s">
        <v>1042</v>
      </c>
      <c r="BX2" s="1392" t="s">
        <v>1043</v>
      </c>
      <c r="BZ2" s="1392" t="s">
        <v>1031</v>
      </c>
      <c r="CA2" s="1392" t="s">
        <v>1032</v>
      </c>
      <c r="CB2" s="1392" t="s">
        <v>1033</v>
      </c>
      <c r="CC2" s="1392" t="s">
        <v>1034</v>
      </c>
      <c r="CD2" s="1392" t="s">
        <v>1035</v>
      </c>
      <c r="CE2" s="1392" t="s">
        <v>1036</v>
      </c>
      <c r="CF2" s="1392" t="s">
        <v>1037</v>
      </c>
      <c r="CG2" s="1392" t="s">
        <v>1038</v>
      </c>
      <c r="CH2" s="1392" t="s">
        <v>1039</v>
      </c>
      <c r="CI2" s="1392" t="s">
        <v>1040</v>
      </c>
      <c r="CJ2" s="1392" t="s">
        <v>1041</v>
      </c>
      <c r="CK2" s="1392" t="s">
        <v>1042</v>
      </c>
      <c r="CL2" s="1392" t="s">
        <v>1043</v>
      </c>
      <c r="CN2" s="1392" t="s">
        <v>1031</v>
      </c>
      <c r="CO2" s="1392" t="s">
        <v>1032</v>
      </c>
      <c r="CP2" s="1392" t="s">
        <v>1033</v>
      </c>
      <c r="CQ2" s="1392" t="s">
        <v>1034</v>
      </c>
      <c r="CR2" s="1392" t="s">
        <v>1035</v>
      </c>
      <c r="CS2" s="1392" t="s">
        <v>1036</v>
      </c>
      <c r="CT2" s="1392" t="s">
        <v>1037</v>
      </c>
      <c r="CU2" s="1392" t="s">
        <v>1038</v>
      </c>
      <c r="CV2" s="1392" t="s">
        <v>1039</v>
      </c>
      <c r="CW2" s="1392" t="s">
        <v>1040</v>
      </c>
      <c r="CX2" s="1392" t="s">
        <v>1041</v>
      </c>
      <c r="CY2" s="1392" t="s">
        <v>1042</v>
      </c>
      <c r="CZ2" s="1392" t="s">
        <v>1043</v>
      </c>
      <c r="DB2" s="1392" t="s">
        <v>1031</v>
      </c>
      <c r="DC2" s="1392" t="s">
        <v>1032</v>
      </c>
      <c r="DD2" s="1392" t="s">
        <v>1033</v>
      </c>
      <c r="DE2" s="1392" t="s">
        <v>1034</v>
      </c>
      <c r="DF2" s="1392" t="s">
        <v>1035</v>
      </c>
      <c r="DG2" s="1392" t="s">
        <v>1036</v>
      </c>
      <c r="DH2" s="1392" t="s">
        <v>1037</v>
      </c>
      <c r="DI2" s="1392" t="s">
        <v>1038</v>
      </c>
      <c r="DJ2" s="1392" t="s">
        <v>1039</v>
      </c>
      <c r="DK2" s="1392" t="s">
        <v>1040</v>
      </c>
      <c r="DL2" s="1392" t="s">
        <v>1041</v>
      </c>
      <c r="DM2" s="1392" t="s">
        <v>1042</v>
      </c>
      <c r="DN2" s="1392" t="s">
        <v>1043</v>
      </c>
      <c r="DP2" s="1392" t="s">
        <v>1031</v>
      </c>
      <c r="DQ2" s="1392" t="s">
        <v>1032</v>
      </c>
      <c r="DR2" s="1392" t="s">
        <v>1033</v>
      </c>
      <c r="DS2" s="1392" t="s">
        <v>1034</v>
      </c>
      <c r="DT2" s="1392" t="s">
        <v>1035</v>
      </c>
      <c r="DU2" s="1392" t="s">
        <v>1036</v>
      </c>
      <c r="DV2" s="1392" t="s">
        <v>1037</v>
      </c>
      <c r="DW2" s="1392" t="s">
        <v>1038</v>
      </c>
      <c r="DX2" s="1392" t="s">
        <v>1039</v>
      </c>
      <c r="DY2" s="1392" t="s">
        <v>1040</v>
      </c>
      <c r="DZ2" s="1392" t="s">
        <v>1041</v>
      </c>
      <c r="EA2" s="1392" t="s">
        <v>1042</v>
      </c>
      <c r="EB2" s="1392" t="s">
        <v>1043</v>
      </c>
      <c r="ED2" s="1392" t="s">
        <v>1031</v>
      </c>
      <c r="EE2" s="1392" t="s">
        <v>1032</v>
      </c>
      <c r="EF2" s="1392" t="s">
        <v>1033</v>
      </c>
      <c r="EG2" s="1392" t="s">
        <v>1034</v>
      </c>
      <c r="EH2" s="1392" t="s">
        <v>1035</v>
      </c>
      <c r="EI2" s="1392" t="s">
        <v>1036</v>
      </c>
      <c r="EJ2" s="1392" t="s">
        <v>1037</v>
      </c>
      <c r="EK2" s="1392" t="s">
        <v>1038</v>
      </c>
      <c r="EL2" s="1392" t="s">
        <v>1039</v>
      </c>
      <c r="EM2" s="1392" t="s">
        <v>1040</v>
      </c>
      <c r="EN2" s="1392" t="s">
        <v>1041</v>
      </c>
      <c r="EO2" s="1392" t="s">
        <v>1042</v>
      </c>
      <c r="EP2" s="1392" t="s">
        <v>1043</v>
      </c>
      <c r="ER2" s="1392" t="s">
        <v>1031</v>
      </c>
      <c r="ES2" s="1392" t="s">
        <v>1032</v>
      </c>
      <c r="ET2" s="1392" t="s">
        <v>1033</v>
      </c>
      <c r="EU2" s="1392" t="s">
        <v>1034</v>
      </c>
      <c r="EV2" s="1392" t="s">
        <v>1035</v>
      </c>
      <c r="EW2" s="1392" t="s">
        <v>1036</v>
      </c>
      <c r="EX2" s="1392" t="s">
        <v>1037</v>
      </c>
      <c r="EY2" s="1392" t="s">
        <v>1038</v>
      </c>
      <c r="EZ2" s="1392" t="s">
        <v>1039</v>
      </c>
      <c r="FA2" s="1392" t="s">
        <v>1040</v>
      </c>
      <c r="FB2" s="1392" t="s">
        <v>1041</v>
      </c>
      <c r="FC2" s="1392" t="s">
        <v>1042</v>
      </c>
      <c r="FD2" s="1392" t="s">
        <v>1043</v>
      </c>
      <c r="FF2" s="1392" t="s">
        <v>1031</v>
      </c>
      <c r="FG2" s="1392" t="s">
        <v>1032</v>
      </c>
      <c r="FH2" s="1392" t="s">
        <v>1033</v>
      </c>
      <c r="FI2" s="1392" t="s">
        <v>1034</v>
      </c>
      <c r="FJ2" s="1392" t="s">
        <v>1035</v>
      </c>
      <c r="FK2" s="1392" t="s">
        <v>1036</v>
      </c>
      <c r="FL2" s="1392" t="s">
        <v>1037</v>
      </c>
      <c r="FM2" s="1392" t="s">
        <v>1038</v>
      </c>
      <c r="FN2" s="1392" t="s">
        <v>1039</v>
      </c>
      <c r="FO2" s="1392" t="s">
        <v>1040</v>
      </c>
      <c r="FP2" s="1392" t="s">
        <v>1041</v>
      </c>
      <c r="FQ2" s="1392" t="s">
        <v>1042</v>
      </c>
      <c r="FR2" s="1392" t="s">
        <v>1043</v>
      </c>
    </row>
    <row r="3" spans="1:174" s="1171" customFormat="1" hidden="1">
      <c r="A3" s="416" t="s">
        <v>520</v>
      </c>
      <c r="B3" s="417" t="s">
        <v>521</v>
      </c>
      <c r="C3" s="417"/>
      <c r="D3" s="417"/>
      <c r="E3" s="417"/>
      <c r="F3" s="417"/>
      <c r="G3" s="417"/>
      <c r="H3" s="417"/>
      <c r="I3" s="417"/>
      <c r="J3" s="417"/>
      <c r="K3" s="417"/>
      <c r="L3" s="417"/>
      <c r="M3" s="417"/>
      <c r="N3" s="417"/>
      <c r="O3" s="417"/>
      <c r="P3" s="417"/>
      <c r="Q3" s="1172"/>
      <c r="R3" s="1173"/>
      <c r="S3" s="1191">
        <f t="shared" ref="S3:AC3" si="1">SUM(S4:S21)</f>
        <v>94765.355955934021</v>
      </c>
      <c r="T3" s="1191">
        <f t="shared" si="1"/>
        <v>62683.971025643084</v>
      </c>
      <c r="U3" s="1191">
        <f t="shared" si="1"/>
        <v>104764.03315397818</v>
      </c>
      <c r="V3" s="1191">
        <f t="shared" si="1"/>
        <v>98334.471429126643</v>
      </c>
      <c r="W3" s="1191">
        <f t="shared" si="1"/>
        <v>96786.977440874311</v>
      </c>
      <c r="X3" s="1191">
        <f t="shared" si="1"/>
        <v>73211.483677188138</v>
      </c>
      <c r="Y3" s="1191">
        <f t="shared" si="1"/>
        <v>41230.655253293553</v>
      </c>
      <c r="Z3" s="1191">
        <f t="shared" si="1"/>
        <v>52636.304235084703</v>
      </c>
      <c r="AA3" s="1191">
        <f t="shared" si="1"/>
        <v>66907.244759125271</v>
      </c>
      <c r="AB3" s="1191">
        <f t="shared" si="1"/>
        <v>93154.599409258502</v>
      </c>
      <c r="AC3" s="1191">
        <f t="shared" si="1"/>
        <v>98827.0939227161</v>
      </c>
      <c r="AD3" s="1191">
        <f>SUM(AD4:AD21)</f>
        <v>70532.302284679696</v>
      </c>
      <c r="AE3" s="1191">
        <f>SUM(AE4:AE21)</f>
        <v>483.30777899999993</v>
      </c>
      <c r="AF3" s="1191">
        <f>SUM(S3:AE3)</f>
        <v>954317.80032590218</v>
      </c>
      <c r="AG3" s="1173"/>
      <c r="AH3" s="1174"/>
      <c r="AI3" s="417"/>
      <c r="AJ3" s="417"/>
      <c r="AK3" s="417"/>
      <c r="AL3" s="417"/>
      <c r="AM3" s="417"/>
      <c r="AN3" s="417"/>
      <c r="AO3" s="417"/>
      <c r="AP3" s="417"/>
      <c r="AQ3" s="417"/>
      <c r="AR3" s="417"/>
      <c r="AS3" s="417"/>
      <c r="AT3" s="417"/>
      <c r="AU3" s="1173"/>
      <c r="AV3" s="1174"/>
      <c r="AW3" s="417"/>
      <c r="AX3" s="417"/>
      <c r="AY3" s="417"/>
      <c r="AZ3" s="417"/>
      <c r="BA3" s="417"/>
      <c r="BB3" s="417"/>
      <c r="BC3" s="417"/>
      <c r="BD3" s="417"/>
      <c r="BE3" s="417"/>
      <c r="BF3" s="417"/>
      <c r="BG3" s="417"/>
      <c r="BH3" s="417"/>
      <c r="BI3" s="417"/>
      <c r="BJ3" s="417"/>
      <c r="BK3" s="1502"/>
      <c r="BL3" s="414"/>
      <c r="BM3" s="414"/>
      <c r="BN3" s="414"/>
      <c r="BO3" s="414"/>
      <c r="BP3" s="414"/>
      <c r="BQ3" s="414"/>
      <c r="BR3" s="414"/>
      <c r="BS3" s="414"/>
      <c r="BT3" s="414"/>
      <c r="BU3" s="414"/>
      <c r="BV3" s="414"/>
      <c r="BW3" s="414"/>
      <c r="BX3" s="414"/>
      <c r="BZ3" s="414"/>
      <c r="CA3" s="414"/>
      <c r="CB3" s="414"/>
      <c r="CC3" s="414"/>
      <c r="CD3" s="414"/>
      <c r="CE3" s="414"/>
      <c r="CF3" s="414"/>
      <c r="CG3" s="414"/>
      <c r="CH3" s="414"/>
      <c r="CI3" s="414"/>
      <c r="CJ3" s="414"/>
      <c r="CK3" s="414"/>
      <c r="CL3" s="414"/>
      <c r="CN3" s="414"/>
      <c r="CO3" s="414"/>
      <c r="CP3" s="414"/>
      <c r="CQ3" s="414"/>
      <c r="CR3" s="414"/>
      <c r="CS3" s="414"/>
      <c r="CT3" s="414"/>
      <c r="CU3" s="414"/>
      <c r="CV3" s="414"/>
      <c r="CW3" s="414"/>
      <c r="CX3" s="414"/>
      <c r="CY3" s="414"/>
      <c r="CZ3" s="414"/>
      <c r="DB3" s="414"/>
      <c r="DC3" s="414"/>
      <c r="DD3" s="414"/>
      <c r="DE3" s="414"/>
      <c r="DF3" s="414"/>
      <c r="DG3" s="414"/>
      <c r="DH3" s="414"/>
      <c r="DI3" s="414"/>
      <c r="DJ3" s="414"/>
      <c r="DK3" s="414"/>
      <c r="DL3" s="414"/>
      <c r="DM3" s="414"/>
      <c r="DN3" s="414"/>
      <c r="DP3" s="414"/>
      <c r="DQ3" s="414"/>
      <c r="DR3" s="414"/>
      <c r="DS3" s="414"/>
      <c r="DT3" s="414"/>
      <c r="DU3" s="414"/>
      <c r="DV3" s="414"/>
      <c r="DW3" s="414"/>
      <c r="DX3" s="414"/>
      <c r="DY3" s="414"/>
      <c r="DZ3" s="414"/>
      <c r="EA3" s="414"/>
      <c r="EB3" s="414"/>
      <c r="ED3" s="414"/>
      <c r="EE3" s="414"/>
      <c r="EF3" s="414"/>
      <c r="EG3" s="414"/>
      <c r="EH3" s="414"/>
      <c r="EI3" s="414"/>
      <c r="EJ3" s="414"/>
      <c r="EK3" s="414"/>
      <c r="EL3" s="414"/>
      <c r="EM3" s="414"/>
      <c r="EN3" s="414"/>
      <c r="EO3" s="414"/>
      <c r="EP3" s="414"/>
      <c r="ER3" s="414"/>
      <c r="ES3" s="414"/>
      <c r="ET3" s="414"/>
      <c r="EU3" s="414"/>
      <c r="EV3" s="414"/>
      <c r="EW3" s="414"/>
      <c r="EX3" s="414"/>
      <c r="EY3" s="414"/>
      <c r="EZ3" s="414"/>
      <c r="FA3" s="414"/>
      <c r="FB3" s="414"/>
      <c r="FC3" s="414"/>
      <c r="FD3" s="414"/>
      <c r="FF3" s="414"/>
      <c r="FG3" s="414"/>
      <c r="FH3" s="414"/>
      <c r="FI3" s="414"/>
      <c r="FJ3" s="414"/>
      <c r="FK3" s="414"/>
      <c r="FL3" s="414"/>
      <c r="FM3" s="414"/>
      <c r="FN3" s="414"/>
      <c r="FO3" s="414"/>
      <c r="FP3" s="414"/>
      <c r="FQ3" s="414"/>
      <c r="FR3" s="414"/>
    </row>
    <row r="4" spans="1:174" ht="17.899999999999999" hidden="1" customHeight="1">
      <c r="A4" s="422">
        <v>1</v>
      </c>
      <c r="B4" s="422" t="s">
        <v>425</v>
      </c>
      <c r="C4" s="422" t="s">
        <v>923</v>
      </c>
      <c r="D4" s="1175" t="s">
        <v>923</v>
      </c>
      <c r="E4" s="1176" t="s">
        <v>827</v>
      </c>
      <c r="F4" s="1177">
        <v>19184.787461375003</v>
      </c>
      <c r="G4" s="1177">
        <v>29413.012996578</v>
      </c>
      <c r="H4" s="1177">
        <v>36905.746250334996</v>
      </c>
      <c r="I4" s="1177">
        <v>31466.940888199999</v>
      </c>
      <c r="J4" s="1177">
        <v>39521.728139389001</v>
      </c>
      <c r="K4" s="1177">
        <f>32055.886902+966.8135</f>
        <v>33022.700401999995</v>
      </c>
      <c r="L4" s="1177">
        <v>40067.114833499996</v>
      </c>
      <c r="M4" s="1177">
        <v>41710.886442499999</v>
      </c>
      <c r="N4" s="1177">
        <v>36846.996591559997</v>
      </c>
      <c r="O4" s="1177">
        <v>42104.203841000002</v>
      </c>
      <c r="P4" s="1177">
        <v>31330.078206999995</v>
      </c>
      <c r="Q4" s="1178">
        <v>71767.130885999999</v>
      </c>
      <c r="R4" s="1179">
        <f>AVERAGE(F4:Q4)</f>
        <v>37778.443911619746</v>
      </c>
      <c r="S4" s="1180">
        <v>82388.013511614045</v>
      </c>
      <c r="T4" s="1177">
        <v>54679.33930764308</v>
      </c>
      <c r="U4" s="1177">
        <v>92225.012386978167</v>
      </c>
      <c r="V4" s="1177">
        <v>84805.10524012665</v>
      </c>
      <c r="W4" s="1177">
        <v>86012.811292874307</v>
      </c>
      <c r="X4" s="1177">
        <v>63429.137098188141</v>
      </c>
      <c r="Y4" s="1177">
        <v>34124.938092043485</v>
      </c>
      <c r="Z4" s="1177">
        <v>39820.045517334758</v>
      </c>
      <c r="AA4" s="1177">
        <v>53180.748441125281</v>
      </c>
      <c r="AB4" s="1177">
        <v>80242.8457912585</v>
      </c>
      <c r="AC4" s="1177">
        <v>87480.523861716094</v>
      </c>
      <c r="AD4" s="1177">
        <v>60679.337507679702</v>
      </c>
      <c r="AE4" s="1177">
        <v>0</v>
      </c>
      <c r="AF4" s="1181">
        <f>SUM(S4:AE4)</f>
        <v>819067.8580485821</v>
      </c>
      <c r="AG4" s="1179">
        <f>SUM(S4:AE4)/12</f>
        <v>68255.654837381837</v>
      </c>
      <c r="AH4" s="1180">
        <v>33690.153681729942</v>
      </c>
      <c r="AI4" s="1177">
        <v>54984.762966730275</v>
      </c>
      <c r="AJ4" s="1177">
        <v>93493.565616349893</v>
      </c>
      <c r="AK4" s="1177">
        <v>81794.17166151281</v>
      </c>
      <c r="AL4" s="1177">
        <v>97253.819962899841</v>
      </c>
      <c r="AM4" s="1177">
        <v>84746.443805998701</v>
      </c>
      <c r="AN4" s="1177">
        <v>93606.744682943565</v>
      </c>
      <c r="AO4" s="1177">
        <v>93602.194561389799</v>
      </c>
      <c r="AP4" s="1177">
        <v>92225.640568510207</v>
      </c>
      <c r="AQ4" s="1177">
        <v>60589.830985082903</v>
      </c>
      <c r="AR4" s="1177">
        <v>41785.637411524003</v>
      </c>
      <c r="AS4" s="1177">
        <v>66382.966178182702</v>
      </c>
      <c r="AT4" s="1177"/>
      <c r="AU4" s="1179">
        <f>SUM(AH4:AT4)/12</f>
        <v>74512.994340237885</v>
      </c>
      <c r="AV4" s="1180">
        <v>54282.9558583486</v>
      </c>
      <c r="AW4" s="1177">
        <v>32788.527139026301</v>
      </c>
      <c r="AX4" s="1177">
        <v>79002.100402284006</v>
      </c>
      <c r="AY4" s="1177">
        <v>77706.009766450486</v>
      </c>
      <c r="AZ4" s="1177">
        <v>67389.4959113683</v>
      </c>
      <c r="BA4" s="1177"/>
      <c r="BB4" s="1177"/>
      <c r="BC4" s="1177"/>
      <c r="BD4" s="1177"/>
      <c r="BE4" s="1177"/>
      <c r="BF4" s="1177"/>
      <c r="BG4" s="1177"/>
      <c r="BH4" s="1177">
        <f>AVERAGE(AV4:BG4)</f>
        <v>62233.817815495539</v>
      </c>
      <c r="BI4" s="1182" cm="1">
        <f t="array" ref="BI4">INDEX(BL4:BW4,$BL$1)</f>
        <v>73858.796242105935</v>
      </c>
      <c r="BJ4" s="1183"/>
      <c r="BK4" s="1503"/>
      <c r="BL4" s="1177">
        <v>70449.79433851775</v>
      </c>
      <c r="BM4" s="1177">
        <v>57841.876465266527</v>
      </c>
      <c r="BN4" s="1177">
        <v>73858.796242105935</v>
      </c>
      <c r="BO4" s="1177">
        <v>74028.379274825609</v>
      </c>
      <c r="BP4" s="1177">
        <v>73858.796242105935</v>
      </c>
      <c r="BQ4" s="1177">
        <v>75365.564327104483</v>
      </c>
      <c r="BR4" s="1177">
        <v>77176.424886965047</v>
      </c>
      <c r="BS4" s="1177">
        <v>77920.06932472506</v>
      </c>
      <c r="BT4" s="1177">
        <v>77600.382468764248</v>
      </c>
      <c r="BU4" s="1177">
        <v>78089.652357444735</v>
      </c>
      <c r="BV4" s="1177">
        <v>77006.841854245373</v>
      </c>
      <c r="BW4" s="1177">
        <v>77920.06932472506</v>
      </c>
      <c r="BX4" s="797">
        <f>SUM(BL4:BW4)</f>
        <v>891116.6471067958</v>
      </c>
      <c r="BY4" s="1491">
        <f>BX4-(CL4+CZ4+DN4+EB4+EP4+FD4+FR4)</f>
        <v>0</v>
      </c>
      <c r="BZ4" s="1177">
        <f>BL4</f>
        <v>70449.79433851775</v>
      </c>
      <c r="CA4" s="1177">
        <f t="shared" ref="CA4:CK4" si="2">BM4</f>
        <v>57841.876465266527</v>
      </c>
      <c r="CB4" s="1177">
        <f t="shared" si="2"/>
        <v>73858.796242105935</v>
      </c>
      <c r="CC4" s="1177">
        <f t="shared" si="2"/>
        <v>74028.379274825609</v>
      </c>
      <c r="CD4" s="1177">
        <f t="shared" si="2"/>
        <v>73858.796242105935</v>
      </c>
      <c r="CE4" s="1177">
        <f t="shared" si="2"/>
        <v>75365.564327104483</v>
      </c>
      <c r="CF4" s="1177">
        <f t="shared" si="2"/>
        <v>77176.424886965047</v>
      </c>
      <c r="CG4" s="1177">
        <f t="shared" si="2"/>
        <v>77920.06932472506</v>
      </c>
      <c r="CH4" s="1177">
        <f t="shared" si="2"/>
        <v>77600.382468764248</v>
      </c>
      <c r="CI4" s="1177">
        <f t="shared" si="2"/>
        <v>78089.652357444735</v>
      </c>
      <c r="CJ4" s="1177">
        <f t="shared" si="2"/>
        <v>77006.841854245373</v>
      </c>
      <c r="CK4" s="1177">
        <f t="shared" si="2"/>
        <v>77920.06932472506</v>
      </c>
      <c r="CL4" s="797">
        <f>SUM(BZ4:CK4)</f>
        <v>891116.6471067958</v>
      </c>
      <c r="CN4" s="1177"/>
      <c r="CO4" s="1177"/>
      <c r="CP4" s="1177"/>
      <c r="CQ4" s="1177"/>
      <c r="CR4" s="1177"/>
      <c r="CS4" s="1177"/>
      <c r="CT4" s="1177"/>
      <c r="CU4" s="1177"/>
      <c r="CV4" s="1177"/>
      <c r="CW4" s="1177"/>
      <c r="CX4" s="1177"/>
      <c r="CY4" s="1177"/>
      <c r="CZ4" s="797">
        <f>SUM(CN4:CY4)</f>
        <v>0</v>
      </c>
      <c r="DB4" s="1177">
        <v>0</v>
      </c>
      <c r="DC4" s="1177">
        <v>0</v>
      </c>
      <c r="DD4" s="1177">
        <v>0</v>
      </c>
      <c r="DE4" s="1177">
        <v>0</v>
      </c>
      <c r="DF4" s="1177">
        <v>0</v>
      </c>
      <c r="DG4" s="1177">
        <v>0</v>
      </c>
      <c r="DH4" s="1177">
        <v>0</v>
      </c>
      <c r="DI4" s="1177">
        <v>0</v>
      </c>
      <c r="DJ4" s="1177">
        <v>0</v>
      </c>
      <c r="DK4" s="1177">
        <v>0</v>
      </c>
      <c r="DL4" s="1177">
        <v>0</v>
      </c>
      <c r="DM4" s="1177">
        <v>0</v>
      </c>
      <c r="DN4" s="797">
        <f>SUM(DB4:DM4)</f>
        <v>0</v>
      </c>
      <c r="DP4" s="1177"/>
      <c r="DQ4" s="1177"/>
      <c r="DR4" s="1177"/>
      <c r="DS4" s="1177"/>
      <c r="DT4" s="1177"/>
      <c r="DU4" s="1177"/>
      <c r="DV4" s="1177"/>
      <c r="DW4" s="1177"/>
      <c r="DX4" s="1177"/>
      <c r="DY4" s="1177"/>
      <c r="DZ4" s="1177"/>
      <c r="EA4" s="1177"/>
      <c r="EB4" s="797">
        <f>SUM(DP4:EA4)</f>
        <v>0</v>
      </c>
      <c r="ED4" s="1177">
        <v>0</v>
      </c>
      <c r="EE4" s="1177">
        <v>0</v>
      </c>
      <c r="EF4" s="1177">
        <v>0</v>
      </c>
      <c r="EG4" s="1177">
        <v>0</v>
      </c>
      <c r="EH4" s="1177">
        <v>0</v>
      </c>
      <c r="EI4" s="1177">
        <v>0</v>
      </c>
      <c r="EJ4" s="1177">
        <v>0</v>
      </c>
      <c r="EK4" s="1177">
        <v>0</v>
      </c>
      <c r="EL4" s="1177">
        <v>0</v>
      </c>
      <c r="EM4" s="1177">
        <v>0</v>
      </c>
      <c r="EN4" s="1177">
        <v>0</v>
      </c>
      <c r="EO4" s="1177">
        <v>0</v>
      </c>
      <c r="EP4" s="797">
        <f>SUM(ED4:EO4)</f>
        <v>0</v>
      </c>
      <c r="ER4" s="1177">
        <v>0</v>
      </c>
      <c r="ES4" s="1177">
        <v>0</v>
      </c>
      <c r="ET4" s="1177">
        <v>0</v>
      </c>
      <c r="EU4" s="1177">
        <v>0</v>
      </c>
      <c r="EV4" s="1177">
        <v>0</v>
      </c>
      <c r="EW4" s="1177">
        <v>0</v>
      </c>
      <c r="EX4" s="1177">
        <v>0</v>
      </c>
      <c r="EY4" s="1177">
        <v>0</v>
      </c>
      <c r="EZ4" s="1177">
        <v>0</v>
      </c>
      <c r="FA4" s="1177">
        <v>0</v>
      </c>
      <c r="FB4" s="1177">
        <v>0</v>
      </c>
      <c r="FC4" s="1177">
        <v>0</v>
      </c>
      <c r="FD4" s="797">
        <f>SUM(ER4:FC4)</f>
        <v>0</v>
      </c>
      <c r="FF4" s="1177"/>
      <c r="FG4" s="1177"/>
      <c r="FH4" s="1177"/>
      <c r="FI4" s="1177"/>
      <c r="FJ4" s="1177"/>
      <c r="FK4" s="1177"/>
      <c r="FL4" s="1177"/>
      <c r="FM4" s="1177"/>
      <c r="FN4" s="1177"/>
      <c r="FO4" s="1177"/>
      <c r="FP4" s="1177"/>
      <c r="FQ4" s="1177"/>
      <c r="FR4" s="797">
        <f>SUM(FF4:FQ4)</f>
        <v>0</v>
      </c>
    </row>
    <row r="5" spans="1:174" ht="14.5" hidden="1">
      <c r="A5" s="422">
        <f t="shared" ref="A5:A21" si="3">A4+1</f>
        <v>2</v>
      </c>
      <c r="B5" s="422" t="s">
        <v>425</v>
      </c>
      <c r="C5" s="422" t="s">
        <v>428</v>
      </c>
      <c r="D5" s="1175" t="s">
        <v>428</v>
      </c>
      <c r="E5" s="1176" t="s">
        <v>827</v>
      </c>
      <c r="F5" s="1177">
        <v>1376.9572000000001</v>
      </c>
      <c r="G5" s="1177">
        <v>2218.3915000000002</v>
      </c>
      <c r="H5" s="1177">
        <v>2574.9328999999998</v>
      </c>
      <c r="I5" s="1177">
        <v>2388.6837479999999</v>
      </c>
      <c r="J5" s="1177">
        <v>2787.5241000000001</v>
      </c>
      <c r="K5" s="1177">
        <v>2655.8263000000002</v>
      </c>
      <c r="L5" s="1177">
        <v>3135.2610890000001</v>
      </c>
      <c r="M5" s="1177">
        <v>2978.8600099999999</v>
      </c>
      <c r="N5" s="1177">
        <v>2915.5076250000002</v>
      </c>
      <c r="O5" s="1177">
        <v>3337.1480000000001</v>
      </c>
      <c r="P5" s="1177">
        <v>2812.7750129999999</v>
      </c>
      <c r="Q5" s="1178">
        <v>5223.2614999999996</v>
      </c>
      <c r="R5" s="1179">
        <f t="shared" ref="R5:R9" si="4">AVERAGE(F5:Q5)</f>
        <v>2867.0940820833334</v>
      </c>
      <c r="S5" s="1180">
        <v>5518.9031000000004</v>
      </c>
      <c r="T5" s="1177">
        <v>4150.3450000000003</v>
      </c>
      <c r="U5" s="1177">
        <v>5118.0938999999998</v>
      </c>
      <c r="V5" s="1177">
        <v>5543.6525650000003</v>
      </c>
      <c r="W5" s="1177">
        <v>6020.5653000000002</v>
      </c>
      <c r="X5" s="1177">
        <v>4842.9948999999997</v>
      </c>
      <c r="Y5" s="1177">
        <v>3062.5014999999999</v>
      </c>
      <c r="Z5" s="1177">
        <v>3545.0221999999999</v>
      </c>
      <c r="AA5" s="1177">
        <v>4668.9910060000002</v>
      </c>
      <c r="AB5" s="1177">
        <v>5571.9984999999997</v>
      </c>
      <c r="AC5" s="1177">
        <v>6435.3993</v>
      </c>
      <c r="AD5" s="1177">
        <v>4886.9172699999999</v>
      </c>
      <c r="AE5" s="1177">
        <v>0</v>
      </c>
      <c r="AF5" s="1181">
        <f t="shared" ref="AF5:AF9" si="5">SUM(S5:AE5)</f>
        <v>59365.384540999992</v>
      </c>
      <c r="AG5" s="1179">
        <f t="shared" ref="AG5:AG9" si="6">SUM(S5:AE5)/12</f>
        <v>4947.1153784166663</v>
      </c>
      <c r="AH5" s="1180">
        <v>3220.4870150000002</v>
      </c>
      <c r="AI5" s="1177">
        <v>4203.9981429999998</v>
      </c>
      <c r="AJ5" s="1177">
        <v>6561.5858079999998</v>
      </c>
      <c r="AK5" s="1177">
        <v>6195.0632750000004</v>
      </c>
      <c r="AL5" s="1177">
        <v>6629.4663929999997</v>
      </c>
      <c r="AM5" s="1177">
        <v>6427.1763199999996</v>
      </c>
      <c r="AN5" s="1177">
        <v>7133.675279</v>
      </c>
      <c r="AO5" s="1177">
        <v>7283.683376</v>
      </c>
      <c r="AP5" s="1177">
        <v>7082.0269870000002</v>
      </c>
      <c r="AQ5" s="1177">
        <v>6265.143298</v>
      </c>
      <c r="AR5" s="1177">
        <v>4353.0271210000001</v>
      </c>
      <c r="AS5" s="1177">
        <v>4935.067223</v>
      </c>
      <c r="AT5" s="1177"/>
      <c r="AU5" s="1179">
        <f t="shared" ref="AU5:AU21" si="7">SUM(AH5:AT5)/12</f>
        <v>5857.5333531666665</v>
      </c>
      <c r="AV5" s="1180">
        <v>4101.185536</v>
      </c>
      <c r="AW5" s="1177">
        <v>2506.863617</v>
      </c>
      <c r="AX5" s="1177">
        <v>5724.7182839999996</v>
      </c>
      <c r="AY5" s="1177">
        <v>5756.5264569999999</v>
      </c>
      <c r="AZ5" s="1177">
        <v>5888.0109110000003</v>
      </c>
      <c r="BA5" s="1177"/>
      <c r="BB5" s="1177"/>
      <c r="BC5" s="1177"/>
      <c r="BD5" s="1177"/>
      <c r="BE5" s="1177"/>
      <c r="BF5" s="1177"/>
      <c r="BG5" s="1177"/>
      <c r="BH5" s="1177">
        <f t="shared" ref="BH5:BH21" si="8">AVERAGE(AV5:BG5)</f>
        <v>4795.4609609999998</v>
      </c>
      <c r="BI5" s="1182" cm="1">
        <f t="array" ref="BI5">INDEX(BL5:BW5,$BL$1)</f>
        <v>4850.5640553159174</v>
      </c>
      <c r="BJ5" s="1183"/>
      <c r="BK5" s="1503"/>
      <c r="BL5" s="1177">
        <v>4697.3396017444875</v>
      </c>
      <c r="BM5" s="1177">
        <v>3893.9971987592303</v>
      </c>
      <c r="BN5" s="1177">
        <v>4842.3796267444886</v>
      </c>
      <c r="BO5" s="1177">
        <v>4886.2606887335287</v>
      </c>
      <c r="BP5" s="1177">
        <v>4850.5640553159174</v>
      </c>
      <c r="BQ5" s="1177">
        <v>5015.6919387335292</v>
      </c>
      <c r="BR5" s="1177">
        <v>5356.1384432390805</v>
      </c>
      <c r="BS5" s="1177">
        <v>5423.0816702390803</v>
      </c>
      <c r="BT5" s="1177">
        <v>5431.5689632035965</v>
      </c>
      <c r="BU5" s="1177">
        <v>5581.5463002948245</v>
      </c>
      <c r="BV5" s="1177">
        <v>5527.4359356879104</v>
      </c>
      <c r="BW5" s="1177">
        <v>5561.9175222948243</v>
      </c>
      <c r="BX5" s="797">
        <f t="shared" ref="BX5" si="9">SUM(BL5:BW5)</f>
        <v>61067.921944990492</v>
      </c>
      <c r="BY5" s="1491">
        <f t="shared" ref="BY5:BY21" si="10">BX5-(CL5+CZ5+DN5+EB5+EP5+FD5+FR5)</f>
        <v>0</v>
      </c>
      <c r="BZ5" s="1177"/>
      <c r="CA5" s="1177"/>
      <c r="CB5" s="1177"/>
      <c r="CC5" s="1177"/>
      <c r="CD5" s="1177"/>
      <c r="CE5" s="1177"/>
      <c r="CF5" s="1177"/>
      <c r="CG5" s="1177"/>
      <c r="CH5" s="1177"/>
      <c r="CI5" s="1177"/>
      <c r="CJ5" s="1177"/>
      <c r="CK5" s="1177"/>
      <c r="CL5" s="797">
        <f t="shared" ref="CL5" si="11">SUM(BZ5:CK5)</f>
        <v>0</v>
      </c>
      <c r="CN5" s="1177"/>
      <c r="CO5" s="1177"/>
      <c r="CP5" s="1177"/>
      <c r="CQ5" s="1177"/>
      <c r="CR5" s="1177"/>
      <c r="CS5" s="1177"/>
      <c r="CT5" s="1177"/>
      <c r="CU5" s="1177"/>
      <c r="CV5" s="1177"/>
      <c r="CW5" s="1177"/>
      <c r="CX5" s="1177"/>
      <c r="CY5" s="1177"/>
      <c r="CZ5" s="797">
        <f t="shared" ref="CZ5" si="12">SUM(CN5:CY5)</f>
        <v>0</v>
      </c>
      <c r="DB5" s="1177">
        <v>4625.4909577444878</v>
      </c>
      <c r="DC5" s="1177">
        <v>3822.1485547592306</v>
      </c>
      <c r="DD5" s="1177">
        <v>4770.530982744488</v>
      </c>
      <c r="DE5" s="1177">
        <v>4814.412044733529</v>
      </c>
      <c r="DF5" s="1177">
        <v>4778.7154113159168</v>
      </c>
      <c r="DG5" s="1177">
        <v>4943.8432947335305</v>
      </c>
      <c r="DH5" s="1177">
        <v>5284.2897992390808</v>
      </c>
      <c r="DI5" s="1177">
        <v>5351.2330262390806</v>
      </c>
      <c r="DJ5" s="1177">
        <v>5359.7203192035959</v>
      </c>
      <c r="DK5" s="1177">
        <v>5509.6976562948239</v>
      </c>
      <c r="DL5" s="1177">
        <v>5455.5872916879098</v>
      </c>
      <c r="DM5" s="1177">
        <v>5490.0688782948246</v>
      </c>
      <c r="DN5" s="797">
        <f t="shared" ref="DN5" si="13">SUM(DB5:DM5)</f>
        <v>60205.738216990503</v>
      </c>
      <c r="DP5" s="1177"/>
      <c r="DQ5" s="1177"/>
      <c r="DR5" s="1177"/>
      <c r="DS5" s="1177"/>
      <c r="DT5" s="1177"/>
      <c r="DU5" s="1177"/>
      <c r="DV5" s="1177"/>
      <c r="DW5" s="1177"/>
      <c r="DX5" s="1177"/>
      <c r="DY5" s="1177"/>
      <c r="DZ5" s="1177"/>
      <c r="EA5" s="1177"/>
      <c r="EB5" s="797">
        <f t="shared" ref="EB5" si="14">SUM(DP5:EA5)</f>
        <v>0</v>
      </c>
      <c r="ED5" s="1177">
        <v>0</v>
      </c>
      <c r="EE5" s="1177">
        <v>0</v>
      </c>
      <c r="EF5" s="1177">
        <v>0</v>
      </c>
      <c r="EG5" s="1177">
        <v>0</v>
      </c>
      <c r="EH5" s="1177">
        <v>0</v>
      </c>
      <c r="EI5" s="1177">
        <v>0</v>
      </c>
      <c r="EJ5" s="1177">
        <v>0</v>
      </c>
      <c r="EK5" s="1177">
        <v>0</v>
      </c>
      <c r="EL5" s="1177">
        <v>0</v>
      </c>
      <c r="EM5" s="1177">
        <v>0</v>
      </c>
      <c r="EN5" s="1177">
        <v>0</v>
      </c>
      <c r="EO5" s="1177">
        <v>0</v>
      </c>
      <c r="EP5" s="797">
        <f t="shared" ref="EP5" si="15">SUM(ED5:EO5)</f>
        <v>0</v>
      </c>
      <c r="ER5" s="1177">
        <v>71.848643999999993</v>
      </c>
      <c r="ES5" s="1177">
        <v>71.848643999999993</v>
      </c>
      <c r="ET5" s="1177">
        <v>71.848643999999993</v>
      </c>
      <c r="EU5" s="1177">
        <v>71.848643999999993</v>
      </c>
      <c r="EV5" s="1177">
        <v>71.848643999999993</v>
      </c>
      <c r="EW5" s="1177">
        <v>71.848643999999993</v>
      </c>
      <c r="EX5" s="1177">
        <v>71.848643999999993</v>
      </c>
      <c r="EY5" s="1177">
        <v>71.848643999999993</v>
      </c>
      <c r="EZ5" s="1177">
        <v>71.848643999999993</v>
      </c>
      <c r="FA5" s="1177">
        <v>71.848643999999993</v>
      </c>
      <c r="FB5" s="1177">
        <v>71.848643999999993</v>
      </c>
      <c r="FC5" s="1177">
        <v>71.848643999999993</v>
      </c>
      <c r="FD5" s="797">
        <f t="shared" ref="FD5" si="16">SUM(ER5:FC5)</f>
        <v>862.18372800000009</v>
      </c>
      <c r="FF5" s="1177"/>
      <c r="FG5" s="1177"/>
      <c r="FH5" s="1177"/>
      <c r="FI5" s="1177"/>
      <c r="FJ5" s="1177"/>
      <c r="FK5" s="1177"/>
      <c r="FL5" s="1177"/>
      <c r="FM5" s="1177"/>
      <c r="FN5" s="1177"/>
      <c r="FO5" s="1177"/>
      <c r="FP5" s="1177"/>
      <c r="FQ5" s="1177"/>
      <c r="FR5" s="797">
        <f t="shared" ref="FR5" si="17">SUM(FF5:FQ5)</f>
        <v>0</v>
      </c>
    </row>
    <row r="6" spans="1:174" ht="13.5" hidden="1" customHeight="1">
      <c r="A6" s="422">
        <f t="shared" si="3"/>
        <v>3</v>
      </c>
      <c r="B6" s="422" t="s">
        <v>425</v>
      </c>
      <c r="C6" s="422"/>
      <c r="D6" s="1175" t="s">
        <v>828</v>
      </c>
      <c r="E6" s="1176" t="s">
        <v>827</v>
      </c>
      <c r="F6" s="1177">
        <v>264.84462400000001</v>
      </c>
      <c r="G6" s="1177">
        <v>513.47748899999999</v>
      </c>
      <c r="H6" s="1177">
        <v>1035.771162</v>
      </c>
      <c r="I6" s="1177">
        <v>269.06593099999998</v>
      </c>
      <c r="J6" s="1177">
        <v>1173.7370989999999</v>
      </c>
      <c r="K6" s="1177">
        <v>430.87844100000001</v>
      </c>
      <c r="L6" s="1177">
        <v>596.20799699999998</v>
      </c>
      <c r="M6" s="1177">
        <v>1310.92329</v>
      </c>
      <c r="N6" s="1177">
        <v>742.50320299999998</v>
      </c>
      <c r="O6" s="1177">
        <v>1298.0400959999999</v>
      </c>
      <c r="P6" s="1177">
        <v>942.67765899999995</v>
      </c>
      <c r="Q6" s="1178">
        <v>2339.9914739999999</v>
      </c>
      <c r="R6" s="1179">
        <f t="shared" si="4"/>
        <v>909.84320541666659</v>
      </c>
      <c r="S6" s="1180">
        <v>1864.6099389999999</v>
      </c>
      <c r="T6" s="1177">
        <v>441.78208899999998</v>
      </c>
      <c r="U6" s="1177">
        <v>2671.0043390000001</v>
      </c>
      <c r="V6" s="1177">
        <v>3034.2736359999999</v>
      </c>
      <c r="W6" s="1177">
        <v>279.84993400000002</v>
      </c>
      <c r="X6" s="1177">
        <v>320.03341999999998</v>
      </c>
      <c r="Y6" s="1177">
        <v>626.03261299999997</v>
      </c>
      <c r="Z6" s="1177">
        <v>5216.793028</v>
      </c>
      <c r="AA6" s="1177">
        <v>5019.652822</v>
      </c>
      <c r="AB6" s="1177">
        <v>2316.2767180000001</v>
      </c>
      <c r="AC6" s="1177">
        <v>404.23598299999998</v>
      </c>
      <c r="AD6" s="1177">
        <v>1352.124446</v>
      </c>
      <c r="AE6" s="1232">
        <v>-34.280119999999997</v>
      </c>
      <c r="AF6" s="1181">
        <f t="shared" si="5"/>
        <v>23512.388846999998</v>
      </c>
      <c r="AG6" s="1179">
        <f t="shared" si="6"/>
        <v>1959.3657372499999</v>
      </c>
      <c r="AH6" s="1180">
        <v>1442.696903</v>
      </c>
      <c r="AI6" s="1177">
        <v>3574.8378619999999</v>
      </c>
      <c r="AJ6" s="1177">
        <v>1969.857757</v>
      </c>
      <c r="AK6" s="1177">
        <v>1503.9844539999999</v>
      </c>
      <c r="AL6" s="1177">
        <v>2462.7117330000001</v>
      </c>
      <c r="AM6" s="1177">
        <v>1186.353811</v>
      </c>
      <c r="AN6" s="1177">
        <v>1311.0373320000001</v>
      </c>
      <c r="AO6" s="1177">
        <v>1643.0076819999999</v>
      </c>
      <c r="AP6" s="1177">
        <v>437.20550100000003</v>
      </c>
      <c r="AQ6" s="1177">
        <v>492.31250199999999</v>
      </c>
      <c r="AR6" s="1177">
        <v>653.24646700000005</v>
      </c>
      <c r="AS6" s="1177">
        <v>921.863966</v>
      </c>
      <c r="AT6" s="1177">
        <v>-229.741579</v>
      </c>
      <c r="AU6" s="1179">
        <f t="shared" si="7"/>
        <v>1447.4478659166668</v>
      </c>
      <c r="AV6" s="1180">
        <v>1092.685189</v>
      </c>
      <c r="AW6" s="1177">
        <v>1193.02684</v>
      </c>
      <c r="AX6" s="1177">
        <v>1805.6022049999999</v>
      </c>
      <c r="AY6" s="1177">
        <v>1237.3775459999999</v>
      </c>
      <c r="AZ6" s="1177">
        <v>1647.9318780000001</v>
      </c>
      <c r="BA6" s="1177"/>
      <c r="BB6" s="1177"/>
      <c r="BC6" s="1177"/>
      <c r="BD6" s="1177"/>
      <c r="BE6" s="1177"/>
      <c r="BF6" s="1177"/>
      <c r="BG6" s="1177"/>
      <c r="BH6" s="1177">
        <f t="shared" si="8"/>
        <v>1395.3247316000002</v>
      </c>
      <c r="BI6" s="1182" cm="1">
        <f t="array" ref="BI6">INDEX(BL6:BW6,$BL$1)</f>
        <v>2496.5890909090908</v>
      </c>
      <c r="BJ6" s="1184"/>
      <c r="BK6" s="1503"/>
      <c r="BL6" s="1177">
        <v>2176.9990909090911</v>
      </c>
      <c r="BM6" s="1177">
        <v>2422.389090909091</v>
      </c>
      <c r="BN6" s="1177">
        <v>2939.139090909091</v>
      </c>
      <c r="BO6" s="1177">
        <v>2052.9790909090912</v>
      </c>
      <c r="BP6" s="1177">
        <v>2496.5890909090908</v>
      </c>
      <c r="BQ6" s="1177">
        <v>2946.5590909090911</v>
      </c>
      <c r="BR6" s="1177">
        <v>2556.8115454545455</v>
      </c>
      <c r="BS6" s="1177">
        <v>2348.0445454545456</v>
      </c>
      <c r="BT6" s="1177">
        <v>3226.2545454545457</v>
      </c>
      <c r="BU6" s="1177">
        <v>2414.8245454545454</v>
      </c>
      <c r="BV6" s="1177">
        <v>2728.0545454545454</v>
      </c>
      <c r="BW6" s="1177">
        <v>2869.5645454545456</v>
      </c>
      <c r="BX6" s="1169">
        <f>SUM(BL6:BW6)</f>
        <v>31178.208818181822</v>
      </c>
      <c r="BY6" s="1491">
        <f t="shared" si="10"/>
        <v>0</v>
      </c>
      <c r="BZ6" s="1177"/>
      <c r="CA6" s="1177"/>
      <c r="CB6" s="1177"/>
      <c r="CC6" s="1177"/>
      <c r="CD6" s="1177"/>
      <c r="CE6" s="1177"/>
      <c r="CF6" s="1177"/>
      <c r="CG6" s="1177"/>
      <c r="CH6" s="1177"/>
      <c r="CI6" s="1177"/>
      <c r="CJ6" s="1177"/>
      <c r="CK6" s="1177"/>
      <c r="CL6" s="1169">
        <f>SUM(BZ6:CK6)</f>
        <v>0</v>
      </c>
      <c r="CN6" s="1177"/>
      <c r="CO6" s="1177"/>
      <c r="CP6" s="1177"/>
      <c r="CQ6" s="1177"/>
      <c r="CR6" s="1177"/>
      <c r="CS6" s="1177"/>
      <c r="CT6" s="1177"/>
      <c r="CU6" s="1177"/>
      <c r="CV6" s="1177"/>
      <c r="CW6" s="1177"/>
      <c r="CX6" s="1177"/>
      <c r="CY6" s="1177"/>
      <c r="CZ6" s="1169">
        <f>SUM(CN6:CY6)</f>
        <v>0</v>
      </c>
      <c r="DB6" s="1177">
        <v>0</v>
      </c>
      <c r="DC6" s="1177">
        <v>0</v>
      </c>
      <c r="DD6" s="1177">
        <v>0</v>
      </c>
      <c r="DE6" s="1177">
        <v>0</v>
      </c>
      <c r="DF6" s="1177">
        <v>0</v>
      </c>
      <c r="DG6" s="1177">
        <v>0</v>
      </c>
      <c r="DH6" s="1177">
        <v>0</v>
      </c>
      <c r="DI6" s="1177">
        <v>0</v>
      </c>
      <c r="DJ6" s="1177">
        <v>0</v>
      </c>
      <c r="DK6" s="1177">
        <v>0</v>
      </c>
      <c r="DL6" s="1177">
        <v>0</v>
      </c>
      <c r="DM6" s="1177">
        <v>0</v>
      </c>
      <c r="DN6" s="1169">
        <f>SUM(DB6:DM6)</f>
        <v>0</v>
      </c>
      <c r="DP6" s="1177"/>
      <c r="DQ6" s="1177"/>
      <c r="DR6" s="1177"/>
      <c r="DS6" s="1177"/>
      <c r="DT6" s="1177"/>
      <c r="DU6" s="1177"/>
      <c r="DV6" s="1177"/>
      <c r="DW6" s="1177"/>
      <c r="DX6" s="1177"/>
      <c r="DY6" s="1177"/>
      <c r="DZ6" s="1177"/>
      <c r="EA6" s="1177"/>
      <c r="EB6" s="1169">
        <f>SUM(DP6:EA6)</f>
        <v>0</v>
      </c>
      <c r="ED6" s="1177">
        <v>2176.9990909090911</v>
      </c>
      <c r="EE6" s="1177">
        <v>2422.389090909091</v>
      </c>
      <c r="EF6" s="1177">
        <v>2939.139090909091</v>
      </c>
      <c r="EG6" s="1177">
        <v>2052.9790909090912</v>
      </c>
      <c r="EH6" s="1177">
        <v>2496.5890909090908</v>
      </c>
      <c r="EI6" s="1177">
        <v>2946.5590909090911</v>
      </c>
      <c r="EJ6" s="1177">
        <v>2556.8115454545455</v>
      </c>
      <c r="EK6" s="1177">
        <v>2348.0445454545456</v>
      </c>
      <c r="EL6" s="1177">
        <v>3226.2545454545457</v>
      </c>
      <c r="EM6" s="1177">
        <v>2414.8245454545454</v>
      </c>
      <c r="EN6" s="1177">
        <v>2728.0545454545454</v>
      </c>
      <c r="EO6" s="1177">
        <v>2869.5645454545456</v>
      </c>
      <c r="EP6" s="1169">
        <f>SUM(ED6:EO6)</f>
        <v>31178.208818181822</v>
      </c>
      <c r="ER6" s="1177">
        <v>0</v>
      </c>
      <c r="ES6" s="1177">
        <v>0</v>
      </c>
      <c r="ET6" s="1177">
        <v>0</v>
      </c>
      <c r="EU6" s="1177">
        <v>0</v>
      </c>
      <c r="EV6" s="1177">
        <v>0</v>
      </c>
      <c r="EW6" s="1177">
        <v>0</v>
      </c>
      <c r="EX6" s="1177">
        <v>0</v>
      </c>
      <c r="EY6" s="1177">
        <v>0</v>
      </c>
      <c r="EZ6" s="1177">
        <v>0</v>
      </c>
      <c r="FA6" s="1177">
        <v>0</v>
      </c>
      <c r="FB6" s="1177">
        <v>0</v>
      </c>
      <c r="FC6" s="1177">
        <v>0</v>
      </c>
      <c r="FD6" s="1169">
        <f>SUM(ER6:FC6)</f>
        <v>0</v>
      </c>
      <c r="FF6" s="1177"/>
      <c r="FG6" s="1177"/>
      <c r="FH6" s="1177"/>
      <c r="FI6" s="1177"/>
      <c r="FJ6" s="1177"/>
      <c r="FK6" s="1177"/>
      <c r="FL6" s="1177"/>
      <c r="FM6" s="1177"/>
      <c r="FN6" s="1177"/>
      <c r="FO6" s="1177"/>
      <c r="FP6" s="1177"/>
      <c r="FQ6" s="1177"/>
      <c r="FR6" s="1169">
        <f>SUM(FF6:FQ6)</f>
        <v>0</v>
      </c>
    </row>
    <row r="7" spans="1:174" ht="15.65" hidden="1" customHeight="1">
      <c r="A7" s="422">
        <f t="shared" si="3"/>
        <v>4</v>
      </c>
      <c r="B7" s="422" t="s">
        <v>425</v>
      </c>
      <c r="C7" s="422" t="s">
        <v>431</v>
      </c>
      <c r="D7" s="1175" t="s">
        <v>431</v>
      </c>
      <c r="E7" s="1176" t="s">
        <v>827</v>
      </c>
      <c r="F7" s="1177">
        <v>67.509566000000007</v>
      </c>
      <c r="G7" s="1177">
        <v>146.57459200000002</v>
      </c>
      <c r="H7" s="1177">
        <v>512.58851200000004</v>
      </c>
      <c r="I7" s="1177">
        <v>669.23911199999998</v>
      </c>
      <c r="J7" s="1177">
        <v>986.13165299999991</v>
      </c>
      <c r="K7" s="1177">
        <v>456.94687799999997</v>
      </c>
      <c r="L7" s="1177">
        <v>1054.6790510000001</v>
      </c>
      <c r="M7" s="1177">
        <v>1179.6289380000001</v>
      </c>
      <c r="N7" s="1177">
        <v>1152.5309690000001</v>
      </c>
      <c r="O7" s="1177">
        <v>1779.200458</v>
      </c>
      <c r="P7" s="1177">
        <v>1553.5872850000001</v>
      </c>
      <c r="Q7" s="1178">
        <v>2043.1246169175902</v>
      </c>
      <c r="R7" s="1179">
        <f t="shared" si="4"/>
        <v>966.81180257646599</v>
      </c>
      <c r="S7" s="1180">
        <v>1729.6174993199998</v>
      </c>
      <c r="T7" s="1177">
        <v>1517.450685</v>
      </c>
      <c r="U7" s="1177">
        <v>1767.7928019999999</v>
      </c>
      <c r="V7" s="1177">
        <v>1045.8530069999999</v>
      </c>
      <c r="W7" s="1177">
        <v>972.024225</v>
      </c>
      <c r="X7" s="1177">
        <v>591.19552299999998</v>
      </c>
      <c r="Y7" s="1177">
        <f>1583.965548-506.673668749945</f>
        <v>1077.291879250055</v>
      </c>
      <c r="Z7" s="1177">
        <f>42.626848+506.673668749945</f>
        <v>549.30051674994502</v>
      </c>
      <c r="AA7" s="1177">
        <v>1071.8952039999999</v>
      </c>
      <c r="AB7" s="1177">
        <v>1893.504713</v>
      </c>
      <c r="AC7" s="1177">
        <v>1720.675248</v>
      </c>
      <c r="AD7" s="1177">
        <v>321.65228200000001</v>
      </c>
      <c r="AE7" s="1177">
        <v>0</v>
      </c>
      <c r="AF7" s="1181">
        <f t="shared" si="5"/>
        <v>14258.253584319998</v>
      </c>
      <c r="AG7" s="1179">
        <f t="shared" si="6"/>
        <v>1188.1877986933332</v>
      </c>
      <c r="AH7" s="1180">
        <v>333.00160199999999</v>
      </c>
      <c r="AI7" s="1177">
        <v>880.94690900000001</v>
      </c>
      <c r="AJ7" s="1177">
        <v>1570.44211</v>
      </c>
      <c r="AK7" s="1177">
        <v>1637.622398</v>
      </c>
      <c r="AL7" s="1177">
        <v>1960.972215</v>
      </c>
      <c r="AM7" s="1177">
        <v>1965.8736960000001</v>
      </c>
      <c r="AN7" s="1177">
        <v>2547.1120740000001</v>
      </c>
      <c r="AO7" s="1177">
        <v>2288.513414</v>
      </c>
      <c r="AP7" s="1177">
        <v>1962.463364</v>
      </c>
      <c r="AQ7" s="1177">
        <v>621.36740599999996</v>
      </c>
      <c r="AR7" s="1177">
        <v>578.64556600000003</v>
      </c>
      <c r="AS7" s="1177">
        <v>1143.2730710000001</v>
      </c>
      <c r="AT7" s="1177"/>
      <c r="AU7" s="1179">
        <f t="shared" si="7"/>
        <v>1457.5194854166666</v>
      </c>
      <c r="AV7" s="1180">
        <v>891.17733899999996</v>
      </c>
      <c r="AW7" s="1177">
        <v>288.56129600000003</v>
      </c>
      <c r="AX7" s="1177">
        <v>1763.335605</v>
      </c>
      <c r="AY7" s="1177">
        <v>1386.5963529999999</v>
      </c>
      <c r="AZ7" s="1177">
        <v>1815.041453</v>
      </c>
      <c r="BA7" s="1177"/>
      <c r="BB7" s="1177"/>
      <c r="BC7" s="1177"/>
      <c r="BD7" s="1177"/>
      <c r="BE7" s="1177"/>
      <c r="BF7" s="1177"/>
      <c r="BG7" s="1177"/>
      <c r="BH7" s="1177">
        <f t="shared" si="8"/>
        <v>1228.9424091999999</v>
      </c>
      <c r="BI7" s="1182" cm="1">
        <f t="array" ref="BI7">INDEX(BL7:BW7,$BL$1)</f>
        <v>1335.6927381118819</v>
      </c>
      <c r="BJ7" s="1183"/>
      <c r="BK7" s="1503"/>
      <c r="BL7" s="1177">
        <v>1261.1159216334902</v>
      </c>
      <c r="BM7" s="1177">
        <v>1061.7856150241835</v>
      </c>
      <c r="BN7" s="1177">
        <v>1335.6927381118819</v>
      </c>
      <c r="BO7" s="1177">
        <v>1335.6927381118819</v>
      </c>
      <c r="BP7" s="1177">
        <v>1335.6927381118819</v>
      </c>
      <c r="BQ7" s="1177">
        <v>1367.5559174597081</v>
      </c>
      <c r="BR7" s="1177">
        <v>1380.1000858728389</v>
      </c>
      <c r="BS7" s="1177">
        <v>1411.9632652206651</v>
      </c>
      <c r="BT7" s="1177">
        <v>1380.1000858728389</v>
      </c>
      <c r="BU7" s="1177">
        <v>1411.9632652206651</v>
      </c>
      <c r="BV7" s="1177">
        <v>1380.1000858728389</v>
      </c>
      <c r="BW7" s="1177">
        <v>1411.9632652206651</v>
      </c>
      <c r="BX7" s="797">
        <f t="shared" ref="BX7:BX8" si="18">SUM(BL7:BW7)</f>
        <v>16073.725721733541</v>
      </c>
      <c r="BY7" s="1491">
        <f t="shared" si="10"/>
        <v>0</v>
      </c>
      <c r="BZ7" s="1177">
        <f>BL7</f>
        <v>1261.1159216334902</v>
      </c>
      <c r="CA7" s="1177">
        <f t="shared" ref="CA7:CK8" si="19">BM7</f>
        <v>1061.7856150241835</v>
      </c>
      <c r="CB7" s="1177">
        <f t="shared" si="19"/>
        <v>1335.6927381118819</v>
      </c>
      <c r="CC7" s="1177">
        <f t="shared" si="19"/>
        <v>1335.6927381118819</v>
      </c>
      <c r="CD7" s="1177">
        <f t="shared" si="19"/>
        <v>1335.6927381118819</v>
      </c>
      <c r="CE7" s="1177">
        <f t="shared" si="19"/>
        <v>1367.5559174597081</v>
      </c>
      <c r="CF7" s="1177">
        <f t="shared" si="19"/>
        <v>1380.1000858728389</v>
      </c>
      <c r="CG7" s="1177">
        <f t="shared" si="19"/>
        <v>1411.9632652206651</v>
      </c>
      <c r="CH7" s="1177">
        <f t="shared" si="19"/>
        <v>1380.1000858728389</v>
      </c>
      <c r="CI7" s="1177">
        <f t="shared" si="19"/>
        <v>1411.9632652206651</v>
      </c>
      <c r="CJ7" s="1177">
        <f t="shared" si="19"/>
        <v>1380.1000858728389</v>
      </c>
      <c r="CK7" s="1177">
        <f t="shared" si="19"/>
        <v>1411.9632652206651</v>
      </c>
      <c r="CL7" s="797">
        <f t="shared" ref="CL7:CL8" si="20">SUM(BZ7:CK7)</f>
        <v>16073.725721733541</v>
      </c>
      <c r="CN7" s="1177"/>
      <c r="CO7" s="1177"/>
      <c r="CP7" s="1177"/>
      <c r="CQ7" s="1177"/>
      <c r="CR7" s="1177"/>
      <c r="CS7" s="1177"/>
      <c r="CT7" s="1177"/>
      <c r="CU7" s="1177"/>
      <c r="CV7" s="1177"/>
      <c r="CW7" s="1177"/>
      <c r="CX7" s="1177"/>
      <c r="CY7" s="1177"/>
      <c r="CZ7" s="797">
        <f t="shared" ref="CZ7:CZ8" si="21">SUM(CN7:CY7)</f>
        <v>0</v>
      </c>
      <c r="DB7" s="1177">
        <v>0</v>
      </c>
      <c r="DC7" s="1177">
        <v>0</v>
      </c>
      <c r="DD7" s="1177">
        <v>0</v>
      </c>
      <c r="DE7" s="1177">
        <v>0</v>
      </c>
      <c r="DF7" s="1177">
        <v>0</v>
      </c>
      <c r="DG7" s="1177">
        <v>0</v>
      </c>
      <c r="DH7" s="1177">
        <v>0</v>
      </c>
      <c r="DI7" s="1177">
        <v>0</v>
      </c>
      <c r="DJ7" s="1177">
        <v>0</v>
      </c>
      <c r="DK7" s="1177">
        <v>0</v>
      </c>
      <c r="DL7" s="1177">
        <v>0</v>
      </c>
      <c r="DM7" s="1177">
        <v>0</v>
      </c>
      <c r="DN7" s="797">
        <f t="shared" ref="DN7:DN8" si="22">SUM(DB7:DM7)</f>
        <v>0</v>
      </c>
      <c r="DP7" s="1177"/>
      <c r="DQ7" s="1177"/>
      <c r="DR7" s="1177"/>
      <c r="DS7" s="1177"/>
      <c r="DT7" s="1177"/>
      <c r="DU7" s="1177"/>
      <c r="DV7" s="1177"/>
      <c r="DW7" s="1177"/>
      <c r="DX7" s="1177"/>
      <c r="DY7" s="1177"/>
      <c r="DZ7" s="1177"/>
      <c r="EA7" s="1177"/>
      <c r="EB7" s="797">
        <f t="shared" ref="EB7:EB8" si="23">SUM(DP7:EA7)</f>
        <v>0</v>
      </c>
      <c r="ED7" s="1177">
        <v>0</v>
      </c>
      <c r="EE7" s="1177">
        <v>0</v>
      </c>
      <c r="EF7" s="1177">
        <v>0</v>
      </c>
      <c r="EG7" s="1177">
        <v>0</v>
      </c>
      <c r="EH7" s="1177">
        <v>0</v>
      </c>
      <c r="EI7" s="1177">
        <v>0</v>
      </c>
      <c r="EJ7" s="1177">
        <v>0</v>
      </c>
      <c r="EK7" s="1177">
        <v>0</v>
      </c>
      <c r="EL7" s="1177">
        <v>0</v>
      </c>
      <c r="EM7" s="1177">
        <v>0</v>
      </c>
      <c r="EN7" s="1177">
        <v>0</v>
      </c>
      <c r="EO7" s="1177">
        <v>0</v>
      </c>
      <c r="EP7" s="797">
        <f t="shared" ref="EP7:EP8" si="24">SUM(ED7:EO7)</f>
        <v>0</v>
      </c>
      <c r="ER7" s="1177">
        <v>0</v>
      </c>
      <c r="ES7" s="1177">
        <v>0</v>
      </c>
      <c r="ET7" s="1177">
        <v>0</v>
      </c>
      <c r="EU7" s="1177">
        <v>0</v>
      </c>
      <c r="EV7" s="1177">
        <v>0</v>
      </c>
      <c r="EW7" s="1177">
        <v>0</v>
      </c>
      <c r="EX7" s="1177">
        <v>0</v>
      </c>
      <c r="EY7" s="1177">
        <v>0</v>
      </c>
      <c r="EZ7" s="1177">
        <v>0</v>
      </c>
      <c r="FA7" s="1177">
        <v>0</v>
      </c>
      <c r="FB7" s="1177">
        <v>0</v>
      </c>
      <c r="FC7" s="1177">
        <v>0</v>
      </c>
      <c r="FD7" s="797">
        <f t="shared" ref="FD7:FD8" si="25">SUM(ER7:FC7)</f>
        <v>0</v>
      </c>
      <c r="FF7" s="1177"/>
      <c r="FG7" s="1177"/>
      <c r="FH7" s="1177"/>
      <c r="FI7" s="1177"/>
      <c r="FJ7" s="1177"/>
      <c r="FK7" s="1177"/>
      <c r="FL7" s="1177"/>
      <c r="FM7" s="1177"/>
      <c r="FN7" s="1177"/>
      <c r="FO7" s="1177"/>
      <c r="FP7" s="1177"/>
      <c r="FQ7" s="1177"/>
      <c r="FR7" s="797">
        <f t="shared" ref="FR7:FR8" si="26">SUM(FF7:FQ7)</f>
        <v>0</v>
      </c>
    </row>
    <row r="8" spans="1:174" ht="14.9" hidden="1" customHeight="1">
      <c r="A8" s="422">
        <f t="shared" si="3"/>
        <v>5</v>
      </c>
      <c r="B8" s="422" t="s">
        <v>425</v>
      </c>
      <c r="C8" s="422" t="s">
        <v>434</v>
      </c>
      <c r="D8" s="1175" t="s">
        <v>434</v>
      </c>
      <c r="E8" s="1176" t="s">
        <v>827</v>
      </c>
      <c r="F8" s="1177">
        <v>152.05214899999999</v>
      </c>
      <c r="G8" s="1177">
        <v>295.56509199999999</v>
      </c>
      <c r="H8" s="1177">
        <v>305.73982000000001</v>
      </c>
      <c r="I8" s="1177">
        <v>277.99661799999996</v>
      </c>
      <c r="J8" s="1177">
        <v>375.61647699999997</v>
      </c>
      <c r="K8" s="1177">
        <v>369.88611800000001</v>
      </c>
      <c r="L8" s="1177">
        <v>387.17141699999996</v>
      </c>
      <c r="M8" s="1177">
        <v>391.41397599999993</v>
      </c>
      <c r="N8" s="1177">
        <v>380.972599</v>
      </c>
      <c r="O8" s="1177">
        <v>419.34907600000003</v>
      </c>
      <c r="P8" s="1177">
        <v>320.70876299999998</v>
      </c>
      <c r="Q8" s="1178">
        <v>684.97181799999998</v>
      </c>
      <c r="R8" s="1179">
        <f t="shared" si="4"/>
        <v>363.45366024999998</v>
      </c>
      <c r="S8" s="1180">
        <v>914.03018499999996</v>
      </c>
      <c r="T8" s="1177">
        <v>427.32569400000011</v>
      </c>
      <c r="U8" s="1177">
        <v>761.12916300000006</v>
      </c>
      <c r="V8" s="1177">
        <v>676.13008899999988</v>
      </c>
      <c r="W8" s="1177">
        <v>693.03544600000009</v>
      </c>
      <c r="X8" s="1177">
        <v>782.97129899999982</v>
      </c>
      <c r="Y8" s="1177">
        <v>321.45073600000001</v>
      </c>
      <c r="Z8" s="1177">
        <v>361.48229300000003</v>
      </c>
      <c r="AA8" s="1177">
        <v>516.38720899999998</v>
      </c>
      <c r="AB8" s="1177">
        <v>707.21815000000004</v>
      </c>
      <c r="AC8" s="1177">
        <v>824.52075600000001</v>
      </c>
      <c r="AD8" s="1177">
        <v>612.23483699999997</v>
      </c>
      <c r="AE8" s="1177">
        <v>0</v>
      </c>
      <c r="AF8" s="1181">
        <f t="shared" si="5"/>
        <v>7597.9158569999991</v>
      </c>
      <c r="AG8" s="1179">
        <f t="shared" si="6"/>
        <v>633.15965474999996</v>
      </c>
      <c r="AH8" s="1180">
        <v>300.54102</v>
      </c>
      <c r="AI8" s="1177">
        <v>507.62118800000002</v>
      </c>
      <c r="AJ8" s="1177">
        <v>790.04556200000002</v>
      </c>
      <c r="AK8" s="1177">
        <v>662.42186100000004</v>
      </c>
      <c r="AL8" s="1177">
        <v>955.79570799999999</v>
      </c>
      <c r="AM8" s="1177">
        <v>756.01673500000004</v>
      </c>
      <c r="AN8" s="1177">
        <v>856.03756999999996</v>
      </c>
      <c r="AO8" s="1177">
        <v>870.71485299999995</v>
      </c>
      <c r="AP8" s="1177">
        <v>886.40273999999999</v>
      </c>
      <c r="AQ8" s="1177">
        <v>635.75522799999999</v>
      </c>
      <c r="AR8" s="1177">
        <v>533.96862999999996</v>
      </c>
      <c r="AS8" s="1177">
        <v>735.36080700000002</v>
      </c>
      <c r="AT8" s="1177"/>
      <c r="AU8" s="1179">
        <f t="shared" si="7"/>
        <v>707.55682516666673</v>
      </c>
      <c r="AV8" s="1180">
        <v>606.64757799999995</v>
      </c>
      <c r="AW8" s="1177">
        <v>347.65498300000002</v>
      </c>
      <c r="AX8" s="1177">
        <v>813.90419799999995</v>
      </c>
      <c r="AY8" s="1177">
        <v>1024.397252</v>
      </c>
      <c r="AZ8" s="1177">
        <v>785.37370599999997</v>
      </c>
      <c r="BA8" s="1177"/>
      <c r="BB8" s="1177"/>
      <c r="BC8" s="1177"/>
      <c r="BD8" s="1177"/>
      <c r="BE8" s="1177"/>
      <c r="BF8" s="1177"/>
      <c r="BG8" s="1177"/>
      <c r="BH8" s="1177">
        <f t="shared" si="8"/>
        <v>715.5955434</v>
      </c>
      <c r="BI8" s="1182" cm="1">
        <f t="array" ref="BI8">INDEX(BL8:BW8,$BL$1)</f>
        <v>711.9129784782557</v>
      </c>
      <c r="BJ8" s="1183"/>
      <c r="BK8" s="1503"/>
      <c r="BL8" s="1177">
        <v>679.00817341923403</v>
      </c>
      <c r="BM8" s="1177">
        <v>562.30502743922989</v>
      </c>
      <c r="BN8" s="1177">
        <v>711.9129784782557</v>
      </c>
      <c r="BO8" s="1177">
        <v>715.21167396458748</v>
      </c>
      <c r="BP8" s="1177">
        <v>711.9129784782557</v>
      </c>
      <c r="BQ8" s="1177">
        <v>735.360959548555</v>
      </c>
      <c r="BR8" s="1177">
        <v>745.36358318346674</v>
      </c>
      <c r="BS8" s="1177">
        <v>753.96743456527292</v>
      </c>
      <c r="BT8" s="1177">
        <v>753.61032189929642</v>
      </c>
      <c r="BU8" s="1177">
        <v>757.2661300516047</v>
      </c>
      <c r="BV8" s="1177">
        <v>742.06488769713496</v>
      </c>
      <c r="BW8" s="1177">
        <v>753.96743456527292</v>
      </c>
      <c r="BX8" s="797">
        <f t="shared" si="18"/>
        <v>8621.951583290167</v>
      </c>
      <c r="BY8" s="1491">
        <f t="shared" si="10"/>
        <v>0</v>
      </c>
      <c r="BZ8" s="1177">
        <f>BL8</f>
        <v>679.00817341923403</v>
      </c>
      <c r="CA8" s="1177">
        <f t="shared" si="19"/>
        <v>562.30502743922989</v>
      </c>
      <c r="CB8" s="1177">
        <f t="shared" si="19"/>
        <v>711.9129784782557</v>
      </c>
      <c r="CC8" s="1177">
        <f t="shared" si="19"/>
        <v>715.21167396458748</v>
      </c>
      <c r="CD8" s="1177">
        <f t="shared" si="19"/>
        <v>711.9129784782557</v>
      </c>
      <c r="CE8" s="1177">
        <f t="shared" si="19"/>
        <v>735.360959548555</v>
      </c>
      <c r="CF8" s="1177">
        <f t="shared" si="19"/>
        <v>745.36358318346674</v>
      </c>
      <c r="CG8" s="1177">
        <f t="shared" si="19"/>
        <v>753.96743456527292</v>
      </c>
      <c r="CH8" s="1177">
        <f t="shared" si="19"/>
        <v>753.61032189929642</v>
      </c>
      <c r="CI8" s="1177">
        <f t="shared" si="19"/>
        <v>757.2661300516047</v>
      </c>
      <c r="CJ8" s="1177">
        <f t="shared" si="19"/>
        <v>742.06488769713496</v>
      </c>
      <c r="CK8" s="1177">
        <f t="shared" si="19"/>
        <v>753.96743456527292</v>
      </c>
      <c r="CL8" s="797">
        <f t="shared" si="20"/>
        <v>8621.951583290167</v>
      </c>
      <c r="CN8" s="1177"/>
      <c r="CO8" s="1177"/>
      <c r="CP8" s="1177"/>
      <c r="CQ8" s="1177"/>
      <c r="CR8" s="1177"/>
      <c r="CS8" s="1177"/>
      <c r="CT8" s="1177"/>
      <c r="CU8" s="1177"/>
      <c r="CV8" s="1177"/>
      <c r="CW8" s="1177"/>
      <c r="CX8" s="1177"/>
      <c r="CY8" s="1177"/>
      <c r="CZ8" s="797">
        <f t="shared" si="21"/>
        <v>0</v>
      </c>
      <c r="DB8" s="1177">
        <v>0</v>
      </c>
      <c r="DC8" s="1177">
        <v>0</v>
      </c>
      <c r="DD8" s="1177">
        <v>0</v>
      </c>
      <c r="DE8" s="1177">
        <v>0</v>
      </c>
      <c r="DF8" s="1177">
        <v>0</v>
      </c>
      <c r="DG8" s="1177">
        <v>0</v>
      </c>
      <c r="DH8" s="1177">
        <v>0</v>
      </c>
      <c r="DI8" s="1177">
        <v>0</v>
      </c>
      <c r="DJ8" s="1177">
        <v>0</v>
      </c>
      <c r="DK8" s="1177">
        <v>0</v>
      </c>
      <c r="DL8" s="1177">
        <v>0</v>
      </c>
      <c r="DM8" s="1177">
        <v>0</v>
      </c>
      <c r="DN8" s="797">
        <f t="shared" si="22"/>
        <v>0</v>
      </c>
      <c r="DP8" s="1177"/>
      <c r="DQ8" s="1177"/>
      <c r="DR8" s="1177"/>
      <c r="DS8" s="1177"/>
      <c r="DT8" s="1177"/>
      <c r="DU8" s="1177"/>
      <c r="DV8" s="1177"/>
      <c r="DW8" s="1177"/>
      <c r="DX8" s="1177"/>
      <c r="DY8" s="1177"/>
      <c r="DZ8" s="1177"/>
      <c r="EA8" s="1177"/>
      <c r="EB8" s="797">
        <f t="shared" si="23"/>
        <v>0</v>
      </c>
      <c r="ED8" s="1177">
        <v>0</v>
      </c>
      <c r="EE8" s="1177">
        <v>0</v>
      </c>
      <c r="EF8" s="1177">
        <v>0</v>
      </c>
      <c r="EG8" s="1177">
        <v>0</v>
      </c>
      <c r="EH8" s="1177">
        <v>0</v>
      </c>
      <c r="EI8" s="1177">
        <v>0</v>
      </c>
      <c r="EJ8" s="1177">
        <v>0</v>
      </c>
      <c r="EK8" s="1177">
        <v>0</v>
      </c>
      <c r="EL8" s="1177">
        <v>0</v>
      </c>
      <c r="EM8" s="1177">
        <v>0</v>
      </c>
      <c r="EN8" s="1177">
        <v>0</v>
      </c>
      <c r="EO8" s="1177">
        <v>0</v>
      </c>
      <c r="EP8" s="797">
        <f t="shared" si="24"/>
        <v>0</v>
      </c>
      <c r="ER8" s="1177">
        <v>0</v>
      </c>
      <c r="ES8" s="1177">
        <v>0</v>
      </c>
      <c r="ET8" s="1177">
        <v>0</v>
      </c>
      <c r="EU8" s="1177">
        <v>0</v>
      </c>
      <c r="EV8" s="1177">
        <v>0</v>
      </c>
      <c r="EW8" s="1177">
        <v>0</v>
      </c>
      <c r="EX8" s="1177">
        <v>0</v>
      </c>
      <c r="EY8" s="1177">
        <v>0</v>
      </c>
      <c r="EZ8" s="1177">
        <v>0</v>
      </c>
      <c r="FA8" s="1177">
        <v>0</v>
      </c>
      <c r="FB8" s="1177">
        <v>0</v>
      </c>
      <c r="FC8" s="1177">
        <v>0</v>
      </c>
      <c r="FD8" s="797">
        <f t="shared" si="25"/>
        <v>0</v>
      </c>
      <c r="FF8" s="1177"/>
      <c r="FG8" s="1177"/>
      <c r="FH8" s="1177"/>
      <c r="FI8" s="1177"/>
      <c r="FJ8" s="1177"/>
      <c r="FK8" s="1177"/>
      <c r="FL8" s="1177"/>
      <c r="FM8" s="1177"/>
      <c r="FN8" s="1177"/>
      <c r="FO8" s="1177"/>
      <c r="FP8" s="1177"/>
      <c r="FQ8" s="1177"/>
      <c r="FR8" s="797">
        <f t="shared" si="26"/>
        <v>0</v>
      </c>
    </row>
    <row r="9" spans="1:174" ht="14.9" hidden="1" customHeight="1">
      <c r="A9" s="422">
        <f t="shared" si="3"/>
        <v>6</v>
      </c>
      <c r="B9" s="422" t="s">
        <v>425</v>
      </c>
      <c r="C9" s="422" t="s">
        <v>429</v>
      </c>
      <c r="D9" s="1175" t="s">
        <v>829</v>
      </c>
      <c r="E9" s="1176" t="s">
        <v>827</v>
      </c>
      <c r="F9" s="1177">
        <v>0</v>
      </c>
      <c r="G9" s="1177">
        <v>0</v>
      </c>
      <c r="H9" s="1177">
        <v>426.75335999999999</v>
      </c>
      <c r="I9" s="1177">
        <v>314.04383999999999</v>
      </c>
      <c r="J9" s="1177">
        <v>316.64791600000001</v>
      </c>
      <c r="K9" s="1177">
        <v>377.27540199999999</v>
      </c>
      <c r="L9" s="1177">
        <v>339.93937799999998</v>
      </c>
      <c r="M9" s="1177">
        <v>613.21908499999995</v>
      </c>
      <c r="N9" s="1177">
        <v>372.68747999999999</v>
      </c>
      <c r="O9" s="1177">
        <v>500.14404000000002</v>
      </c>
      <c r="P9" s="1177">
        <v>484.915728</v>
      </c>
      <c r="Q9" s="1178">
        <v>325.56348000000003</v>
      </c>
      <c r="R9" s="1179">
        <f t="shared" si="4"/>
        <v>339.26580908333335</v>
      </c>
      <c r="S9" s="1180">
        <v>339.423744</v>
      </c>
      <c r="T9" s="1177">
        <v>271.41840000000002</v>
      </c>
      <c r="U9" s="1177">
        <v>484.68288000000001</v>
      </c>
      <c r="V9" s="1177">
        <v>947.58528799999999</v>
      </c>
      <c r="W9" s="1177">
        <v>732.2506800000001</v>
      </c>
      <c r="X9" s="1177">
        <v>1259.908312</v>
      </c>
      <c r="Y9" s="1177">
        <v>706.50883999999996</v>
      </c>
      <c r="Z9" s="1177">
        <v>1228.5705700000001</v>
      </c>
      <c r="AA9" s="1177">
        <v>805.49770000000001</v>
      </c>
      <c r="AB9" s="1177">
        <v>568.12613599999997</v>
      </c>
      <c r="AC9" s="1177">
        <v>338.54038000000003</v>
      </c>
      <c r="AD9" s="1177">
        <v>685.16210000000001</v>
      </c>
      <c r="AE9" s="1232">
        <v>518.31517199999996</v>
      </c>
      <c r="AF9" s="1181">
        <f t="shared" si="5"/>
        <v>8885.9902020000009</v>
      </c>
      <c r="AG9" s="1179">
        <f t="shared" si="6"/>
        <v>740.49918350000007</v>
      </c>
      <c r="AH9" s="1180">
        <v>1156.6487239999999</v>
      </c>
      <c r="AI9" s="1177">
        <v>1395.98984</v>
      </c>
      <c r="AJ9" s="1177">
        <v>718.93884000000003</v>
      </c>
      <c r="AK9" s="1177">
        <v>873.72567000000004</v>
      </c>
      <c r="AL9" s="1177">
        <v>801.81133</v>
      </c>
      <c r="AM9" s="1177">
        <v>522.88598000000002</v>
      </c>
      <c r="AN9" s="1177">
        <v>827.00774000000001</v>
      </c>
      <c r="AO9" s="1177">
        <v>729.09578999999997</v>
      </c>
      <c r="AP9" s="1177">
        <v>673.07974899999999</v>
      </c>
      <c r="AQ9" s="1177">
        <v>529.61419999999998</v>
      </c>
      <c r="AR9" s="1177">
        <v>465.29880000000003</v>
      </c>
      <c r="AS9" s="1177">
        <v>721.77290000000005</v>
      </c>
      <c r="AT9" s="1177">
        <v>-258.43817999999999</v>
      </c>
      <c r="AU9" s="1179">
        <f t="shared" si="7"/>
        <v>763.11928191666675</v>
      </c>
      <c r="AV9" s="1180">
        <f>982.995182+301.22892</f>
        <v>1284.2241020000001</v>
      </c>
      <c r="AW9" s="1177">
        <v>828.22527300000002</v>
      </c>
      <c r="AX9" s="1177">
        <v>2221.2707989999999</v>
      </c>
      <c r="AY9" s="1177">
        <v>2175.5773250000002</v>
      </c>
      <c r="AZ9" s="1177">
        <v>2044.5937100000001</v>
      </c>
      <c r="BA9" s="1177"/>
      <c r="BB9" s="1177"/>
      <c r="BC9" s="1177"/>
      <c r="BD9" s="1177"/>
      <c r="BE9" s="1177"/>
      <c r="BF9" s="1177"/>
      <c r="BG9" s="1177"/>
      <c r="BH9" s="1177">
        <f t="shared" si="8"/>
        <v>1710.7782418000002</v>
      </c>
      <c r="BI9" s="1182" cm="1">
        <f t="array" ref="BI9">INDEX(BL9:BW9,$BL$1)</f>
        <v>581.51918000000001</v>
      </c>
      <c r="BJ9" s="1184"/>
      <c r="BK9" s="1503"/>
      <c r="BL9" s="1177">
        <v>570.50048000000004</v>
      </c>
      <c r="BM9" s="1177">
        <v>541.35047999999995</v>
      </c>
      <c r="BN9" s="1177">
        <v>570.50048000000004</v>
      </c>
      <c r="BO9" s="1177">
        <v>548.69628</v>
      </c>
      <c r="BP9" s="1177">
        <v>581.51918000000001</v>
      </c>
      <c r="BQ9" s="1177">
        <v>552.36918000000003</v>
      </c>
      <c r="BR9" s="1177">
        <v>581.51918000000001</v>
      </c>
      <c r="BS9" s="1177">
        <v>552.36918000000003</v>
      </c>
      <c r="BT9" s="1177">
        <v>581.51918000000001</v>
      </c>
      <c r="BU9" s="1177">
        <v>552.36918000000003</v>
      </c>
      <c r="BV9" s="1177">
        <v>582.52088000000003</v>
      </c>
      <c r="BW9" s="1177">
        <v>556.04208000000006</v>
      </c>
      <c r="BX9" s="797">
        <f>SUM(BL9:BW9)</f>
        <v>6771.2757599999995</v>
      </c>
      <c r="BY9" s="1491">
        <f t="shared" si="10"/>
        <v>0</v>
      </c>
      <c r="BZ9" s="1177"/>
      <c r="CA9" s="1177"/>
      <c r="CB9" s="1177"/>
      <c r="CC9" s="1177"/>
      <c r="CD9" s="1177"/>
      <c r="CE9" s="1177"/>
      <c r="CF9" s="1177"/>
      <c r="CG9" s="1177"/>
      <c r="CH9" s="1177"/>
      <c r="CI9" s="1177"/>
      <c r="CJ9" s="1177"/>
      <c r="CK9" s="1177"/>
      <c r="CL9" s="797">
        <f>SUM(BZ9:CK9)</f>
        <v>0</v>
      </c>
      <c r="CN9" s="1177"/>
      <c r="CO9" s="1177"/>
      <c r="CP9" s="1177"/>
      <c r="CQ9" s="1177"/>
      <c r="CR9" s="1177"/>
      <c r="CS9" s="1177"/>
      <c r="CT9" s="1177"/>
      <c r="CU9" s="1177"/>
      <c r="CV9" s="1177"/>
      <c r="CW9" s="1177"/>
      <c r="CX9" s="1177"/>
      <c r="CY9" s="1177"/>
      <c r="CZ9" s="797">
        <f>SUM(CN9:CY9)</f>
        <v>0</v>
      </c>
      <c r="DB9" s="1177">
        <v>0</v>
      </c>
      <c r="DC9" s="1177">
        <v>0</v>
      </c>
      <c r="DD9" s="1177">
        <v>0</v>
      </c>
      <c r="DE9" s="1177">
        <v>0</v>
      </c>
      <c r="DF9" s="1177">
        <v>0</v>
      </c>
      <c r="DG9" s="1177">
        <v>0</v>
      </c>
      <c r="DH9" s="1177">
        <v>0</v>
      </c>
      <c r="DI9" s="1177">
        <v>0</v>
      </c>
      <c r="DJ9" s="1177">
        <v>0</v>
      </c>
      <c r="DK9" s="1177">
        <v>0</v>
      </c>
      <c r="DL9" s="1177">
        <v>0</v>
      </c>
      <c r="DM9" s="1177">
        <v>0</v>
      </c>
      <c r="DN9" s="797">
        <f>SUM(DB9:DM9)</f>
        <v>0</v>
      </c>
      <c r="DP9" s="1177"/>
      <c r="DQ9" s="1177"/>
      <c r="DR9" s="1177"/>
      <c r="DS9" s="1177"/>
      <c r="DT9" s="1177"/>
      <c r="DU9" s="1177"/>
      <c r="DV9" s="1177"/>
      <c r="DW9" s="1177"/>
      <c r="DX9" s="1177"/>
      <c r="DY9" s="1177"/>
      <c r="DZ9" s="1177"/>
      <c r="EA9" s="1177"/>
      <c r="EB9" s="797">
        <f>SUM(DP9:EA9)</f>
        <v>0</v>
      </c>
      <c r="ED9" s="1177">
        <v>570.50048000000004</v>
      </c>
      <c r="EE9" s="1177">
        <v>541.35047999999995</v>
      </c>
      <c r="EF9" s="1177">
        <v>570.50048000000004</v>
      </c>
      <c r="EG9" s="1177">
        <v>548.69628</v>
      </c>
      <c r="EH9" s="1177">
        <v>581.51918000000001</v>
      </c>
      <c r="EI9" s="1177">
        <v>552.36918000000003</v>
      </c>
      <c r="EJ9" s="1177">
        <v>581.51918000000001</v>
      </c>
      <c r="EK9" s="1177">
        <v>552.36918000000003</v>
      </c>
      <c r="EL9" s="1177">
        <v>581.51918000000001</v>
      </c>
      <c r="EM9" s="1177">
        <v>552.36918000000003</v>
      </c>
      <c r="EN9" s="1177">
        <v>582.52088000000003</v>
      </c>
      <c r="EO9" s="1177">
        <v>556.04208000000006</v>
      </c>
      <c r="EP9" s="797">
        <f>SUM(ED9:EO9)</f>
        <v>6771.2757599999995</v>
      </c>
      <c r="ER9" s="1177">
        <v>0</v>
      </c>
      <c r="ES9" s="1177">
        <v>0</v>
      </c>
      <c r="ET9" s="1177">
        <v>0</v>
      </c>
      <c r="EU9" s="1177">
        <v>0</v>
      </c>
      <c r="EV9" s="1177">
        <v>0</v>
      </c>
      <c r="EW9" s="1177">
        <v>0</v>
      </c>
      <c r="EX9" s="1177">
        <v>0</v>
      </c>
      <c r="EY9" s="1177">
        <v>0</v>
      </c>
      <c r="EZ9" s="1177">
        <v>0</v>
      </c>
      <c r="FA9" s="1177">
        <v>0</v>
      </c>
      <c r="FB9" s="1177">
        <v>0</v>
      </c>
      <c r="FC9" s="1177">
        <v>0</v>
      </c>
      <c r="FD9" s="797">
        <f>SUM(ER9:FC9)</f>
        <v>0</v>
      </c>
      <c r="FF9" s="1177"/>
      <c r="FG9" s="1177"/>
      <c r="FH9" s="1177"/>
      <c r="FI9" s="1177"/>
      <c r="FJ9" s="1177"/>
      <c r="FK9" s="1177"/>
      <c r="FL9" s="1177"/>
      <c r="FM9" s="1177"/>
      <c r="FN9" s="1177"/>
      <c r="FO9" s="1177"/>
      <c r="FP9" s="1177"/>
      <c r="FQ9" s="1177"/>
      <c r="FR9" s="797">
        <f>SUM(FF9:FQ9)</f>
        <v>0</v>
      </c>
    </row>
    <row r="10" spans="1:174" ht="14.9" hidden="1" customHeight="1">
      <c r="A10" s="422">
        <f t="shared" si="3"/>
        <v>7</v>
      </c>
      <c r="B10" s="1360" t="s">
        <v>425</v>
      </c>
      <c r="C10" s="1360" t="s">
        <v>429</v>
      </c>
      <c r="D10" s="1361" t="s">
        <v>969</v>
      </c>
      <c r="E10" s="1362" t="s">
        <v>827</v>
      </c>
      <c r="F10" s="1177"/>
      <c r="G10" s="1177"/>
      <c r="H10" s="1177"/>
      <c r="I10" s="1177"/>
      <c r="J10" s="1177"/>
      <c r="K10" s="1177"/>
      <c r="L10" s="1177"/>
      <c r="M10" s="1177"/>
      <c r="N10" s="1177"/>
      <c r="O10" s="1177"/>
      <c r="P10" s="1177"/>
      <c r="Q10" s="1178"/>
      <c r="R10" s="1179"/>
      <c r="S10" s="1180"/>
      <c r="T10" s="1177"/>
      <c r="U10" s="1177"/>
      <c r="V10" s="1177"/>
      <c r="W10" s="1177"/>
      <c r="X10" s="1177"/>
      <c r="Y10" s="1177"/>
      <c r="Z10" s="1177"/>
      <c r="AA10" s="1177"/>
      <c r="AB10" s="1177"/>
      <c r="AC10" s="1177"/>
      <c r="AD10" s="1177"/>
      <c r="AE10" s="1232"/>
      <c r="AF10" s="1181"/>
      <c r="AG10" s="1179"/>
      <c r="AH10" s="1180">
        <v>0</v>
      </c>
      <c r="AI10" s="1180">
        <v>0</v>
      </c>
      <c r="AJ10" s="1180">
        <v>0</v>
      </c>
      <c r="AK10" s="1180">
        <v>0</v>
      </c>
      <c r="AL10" s="1180">
        <v>0</v>
      </c>
      <c r="AM10" s="1180">
        <v>0</v>
      </c>
      <c r="AN10" s="1180">
        <v>0</v>
      </c>
      <c r="AO10" s="1180">
        <v>0</v>
      </c>
      <c r="AP10" s="1180">
        <v>0</v>
      </c>
      <c r="AQ10" s="1177">
        <v>988.51324299999999</v>
      </c>
      <c r="AR10" s="1177">
        <v>536.59992299999999</v>
      </c>
      <c r="AS10" s="1177">
        <v>0</v>
      </c>
      <c r="AT10" s="1177"/>
      <c r="AU10" s="1179">
        <f t="shared" si="7"/>
        <v>127.09276383333334</v>
      </c>
      <c r="AV10" s="1180">
        <v>0</v>
      </c>
      <c r="AW10" s="1530">
        <v>114.905933</v>
      </c>
      <c r="AX10" s="1530">
        <v>381.94966399999998</v>
      </c>
      <c r="AY10" s="1530">
        <v>29.654150000000001</v>
      </c>
      <c r="AZ10" s="1180">
        <v>145.027728</v>
      </c>
      <c r="BA10" s="1180"/>
      <c r="BB10" s="1180"/>
      <c r="BC10" s="1180"/>
      <c r="BD10" s="1180"/>
      <c r="BE10" s="1177"/>
      <c r="BF10" s="1177"/>
      <c r="BG10" s="1177"/>
      <c r="BH10" s="1177">
        <f t="shared" si="8"/>
        <v>134.30749499999999</v>
      </c>
      <c r="BI10" s="1182" cm="1">
        <f t="array" ref="BI10">INDEX(BL10:BW10,$BL$1)</f>
        <v>2.0833333333333299</v>
      </c>
      <c r="BJ10" s="1184"/>
      <c r="BK10" s="1503"/>
      <c r="BL10" s="1531">
        <f>5+2.08333333333333</f>
        <v>7.0833333333333304</v>
      </c>
      <c r="BM10" s="1531">
        <v>2.0833333333333299</v>
      </c>
      <c r="BN10" s="1531">
        <v>2.0833333333333299</v>
      </c>
      <c r="BO10" s="1531">
        <f>5+2.08333333333333</f>
        <v>7.0833333333333304</v>
      </c>
      <c r="BP10" s="1531">
        <v>2.0833333333333299</v>
      </c>
      <c r="BQ10" s="1531">
        <v>2.0833333333333299</v>
      </c>
      <c r="BR10" s="1531">
        <f>5+2.08333333333333</f>
        <v>7.0833333333333304</v>
      </c>
      <c r="BS10" s="1531">
        <v>2.0833333333333299</v>
      </c>
      <c r="BT10" s="1531">
        <v>2.0833333333333299</v>
      </c>
      <c r="BU10" s="1531">
        <f>5+2.08333333333333</f>
        <v>7.0833333333333304</v>
      </c>
      <c r="BV10" s="1531">
        <v>2.0833333333333299</v>
      </c>
      <c r="BW10" s="1531">
        <f>5+2.08333333333333</f>
        <v>7.0833333333333304</v>
      </c>
      <c r="BX10" s="797">
        <f>SUM(BL10:BW10)</f>
        <v>49.99999999999995</v>
      </c>
      <c r="BY10" s="1491">
        <f t="shared" si="10"/>
        <v>49.99999999999995</v>
      </c>
      <c r="BZ10" s="1177"/>
      <c r="CA10" s="1177"/>
      <c r="CB10" s="1177"/>
      <c r="CC10" s="1177"/>
      <c r="CD10" s="1177"/>
      <c r="CE10" s="1177"/>
      <c r="CF10" s="1177"/>
      <c r="CG10" s="1177"/>
      <c r="CH10" s="1177"/>
      <c r="CI10" s="1177"/>
      <c r="CJ10" s="1177"/>
      <c r="CK10" s="1177"/>
      <c r="CL10" s="797">
        <f>SUM(BZ10:CK10)</f>
        <v>0</v>
      </c>
      <c r="CN10" s="1177"/>
      <c r="CO10" s="1177"/>
      <c r="CP10" s="1177"/>
      <c r="CQ10" s="1177"/>
      <c r="CR10" s="1177"/>
      <c r="CS10" s="1177"/>
      <c r="CT10" s="1177"/>
      <c r="CU10" s="1177"/>
      <c r="CV10" s="1177"/>
      <c r="CW10" s="1177"/>
      <c r="CX10" s="1177"/>
      <c r="CY10" s="1177"/>
      <c r="CZ10" s="797">
        <f>SUM(CN10:CY10)</f>
        <v>0</v>
      </c>
      <c r="DB10" s="1177">
        <v>0</v>
      </c>
      <c r="DC10" s="1177">
        <v>0</v>
      </c>
      <c r="DD10" s="1177">
        <v>0</v>
      </c>
      <c r="DE10" s="1177">
        <v>0</v>
      </c>
      <c r="DF10" s="1177">
        <v>0</v>
      </c>
      <c r="DG10" s="1177">
        <v>0</v>
      </c>
      <c r="DH10" s="1177">
        <v>0</v>
      </c>
      <c r="DI10" s="1177">
        <v>0</v>
      </c>
      <c r="DJ10" s="1177">
        <v>0</v>
      </c>
      <c r="DK10" s="1177">
        <v>0</v>
      </c>
      <c r="DL10" s="1177">
        <v>0</v>
      </c>
      <c r="DM10" s="1177">
        <v>0</v>
      </c>
      <c r="DN10" s="797">
        <f>SUM(DB10:DM10)</f>
        <v>0</v>
      </c>
      <c r="DP10" s="1177"/>
      <c r="DQ10" s="1177"/>
      <c r="DR10" s="1177"/>
      <c r="DS10" s="1177"/>
      <c r="DT10" s="1177"/>
      <c r="DU10" s="1177"/>
      <c r="DV10" s="1177"/>
      <c r="DW10" s="1177"/>
      <c r="DX10" s="1177"/>
      <c r="DY10" s="1177"/>
      <c r="DZ10" s="1177"/>
      <c r="EA10" s="1177"/>
      <c r="EB10" s="797">
        <f>SUM(DP10:EA10)</f>
        <v>0</v>
      </c>
      <c r="ED10" s="1177">
        <v>0</v>
      </c>
      <c r="EE10" s="1177">
        <v>0</v>
      </c>
      <c r="EF10" s="1177">
        <v>0</v>
      </c>
      <c r="EG10" s="1177">
        <v>0</v>
      </c>
      <c r="EH10" s="1177">
        <v>0</v>
      </c>
      <c r="EI10" s="1177">
        <v>0</v>
      </c>
      <c r="EJ10" s="1177">
        <v>0</v>
      </c>
      <c r="EK10" s="1177">
        <v>0</v>
      </c>
      <c r="EL10" s="1177">
        <v>0</v>
      </c>
      <c r="EM10" s="1177">
        <v>0</v>
      </c>
      <c r="EN10" s="1177">
        <v>0</v>
      </c>
      <c r="EO10" s="1177">
        <v>0</v>
      </c>
      <c r="EP10" s="797">
        <f>SUM(ED10:EO10)</f>
        <v>0</v>
      </c>
      <c r="ER10" s="1177">
        <v>0</v>
      </c>
      <c r="ES10" s="1177">
        <v>0</v>
      </c>
      <c r="ET10" s="1177">
        <v>0</v>
      </c>
      <c r="EU10" s="1177">
        <v>0</v>
      </c>
      <c r="EV10" s="1177">
        <v>0</v>
      </c>
      <c r="EW10" s="1177">
        <v>0</v>
      </c>
      <c r="EX10" s="1177">
        <v>0</v>
      </c>
      <c r="EY10" s="1177">
        <v>0</v>
      </c>
      <c r="EZ10" s="1177">
        <v>0</v>
      </c>
      <c r="FA10" s="1177">
        <v>0</v>
      </c>
      <c r="FB10" s="1177">
        <v>0</v>
      </c>
      <c r="FC10" s="1177">
        <v>0</v>
      </c>
      <c r="FD10" s="797">
        <f>SUM(ER10:FC10)</f>
        <v>0</v>
      </c>
      <c r="FF10" s="1177"/>
      <c r="FG10" s="1177"/>
      <c r="FH10" s="1177"/>
      <c r="FI10" s="1177"/>
      <c r="FJ10" s="1177"/>
      <c r="FK10" s="1177"/>
      <c r="FL10" s="1177"/>
      <c r="FM10" s="1177"/>
      <c r="FN10" s="1177"/>
      <c r="FO10" s="1177"/>
      <c r="FP10" s="1177"/>
      <c r="FQ10" s="1177"/>
      <c r="FR10" s="797">
        <f>SUM(FF10:FQ10)</f>
        <v>0</v>
      </c>
    </row>
    <row r="11" spans="1:174" hidden="1">
      <c r="A11" s="422">
        <f t="shared" si="3"/>
        <v>8</v>
      </c>
      <c r="B11" s="422" t="s">
        <v>425</v>
      </c>
      <c r="C11" s="422" t="s">
        <v>435</v>
      </c>
      <c r="D11" s="1175" t="s">
        <v>435</v>
      </c>
      <c r="E11" s="1176" t="s">
        <v>827</v>
      </c>
      <c r="F11" s="1177">
        <v>182.590125</v>
      </c>
      <c r="G11" s="1177">
        <v>256.21135399999997</v>
      </c>
      <c r="H11" s="1177">
        <v>301.69390099999998</v>
      </c>
      <c r="I11" s="1177">
        <v>299.17255299999999</v>
      </c>
      <c r="J11" s="1177">
        <v>189.954498</v>
      </c>
      <c r="K11" s="1177">
        <v>375.78277400000002</v>
      </c>
      <c r="L11" s="1177">
        <v>320.30577699999998</v>
      </c>
      <c r="M11" s="1177">
        <v>367.61022300000002</v>
      </c>
      <c r="N11" s="1177">
        <v>353.52910800000001</v>
      </c>
      <c r="O11" s="1177">
        <v>388.27704899999998</v>
      </c>
      <c r="P11" s="1177">
        <v>446.71388200000001</v>
      </c>
      <c r="Q11" s="1178">
        <v>393.87627199999997</v>
      </c>
      <c r="R11" s="1179">
        <f t="shared" ref="R11:R21" si="27">AVERAGE(F11:Q11)</f>
        <v>322.9764596666667</v>
      </c>
      <c r="S11" s="1180">
        <v>384.35845499999999</v>
      </c>
      <c r="T11" s="1177">
        <v>269.68292200000002</v>
      </c>
      <c r="U11" s="1177">
        <v>412.65767</v>
      </c>
      <c r="V11" s="1177">
        <v>390.64389699999998</v>
      </c>
      <c r="W11" s="1177">
        <v>392.92402099999998</v>
      </c>
      <c r="X11" s="1177">
        <v>355.37142</v>
      </c>
      <c r="Y11" s="1177">
        <v>315.85756800000001</v>
      </c>
      <c r="Z11" s="1177">
        <v>267.82147500000002</v>
      </c>
      <c r="AA11" s="1177">
        <v>264.09719999999999</v>
      </c>
      <c r="AB11" s="1177">
        <v>311.196507</v>
      </c>
      <c r="AC11" s="1177">
        <v>316.83887600000003</v>
      </c>
      <c r="AD11" s="1177">
        <v>291.81857300000001</v>
      </c>
      <c r="AE11" s="1232">
        <v>-0.72727299999999995</v>
      </c>
      <c r="AF11" s="1181">
        <f t="shared" ref="AF11:AF21" si="28">SUM(S11:AE11)</f>
        <v>3972.5413110000009</v>
      </c>
      <c r="AG11" s="1179">
        <f t="shared" ref="AG11:AG21" si="29">SUM(S11:AE11)/12</f>
        <v>331.04510925000005</v>
      </c>
      <c r="AH11" s="1180">
        <v>173.80477400000001</v>
      </c>
      <c r="AI11" s="1177">
        <v>221.54872700000001</v>
      </c>
      <c r="AJ11" s="1177">
        <v>282.94844999999998</v>
      </c>
      <c r="AK11" s="1177">
        <v>237.639893</v>
      </c>
      <c r="AL11" s="1177">
        <v>248.403773</v>
      </c>
      <c r="AM11" s="1177">
        <v>230.558333</v>
      </c>
      <c r="AN11" s="1177">
        <v>259.28506900000002</v>
      </c>
      <c r="AO11" s="1177">
        <v>187.38511500000001</v>
      </c>
      <c r="AP11" s="1177">
        <v>275.35231099999999</v>
      </c>
      <c r="AQ11" s="1177">
        <v>215.80422200000001</v>
      </c>
      <c r="AR11" s="1177">
        <v>191.98058</v>
      </c>
      <c r="AS11" s="1177">
        <v>190.675433</v>
      </c>
      <c r="AT11" s="1177"/>
      <c r="AU11" s="1179">
        <f t="shared" si="7"/>
        <v>226.28222333333335</v>
      </c>
      <c r="AV11" s="1180">
        <v>161.39285799999999</v>
      </c>
      <c r="AW11" s="1177">
        <v>107.566253</v>
      </c>
      <c r="AX11" s="1177">
        <v>342.43532299999998</v>
      </c>
      <c r="AY11" s="1177">
        <v>395.56823600000001</v>
      </c>
      <c r="AZ11" s="1177">
        <v>356.91601600000001</v>
      </c>
      <c r="BA11" s="1177"/>
      <c r="BB11" s="1177"/>
      <c r="BC11" s="1177"/>
      <c r="BD11" s="1177"/>
      <c r="BE11" s="1177"/>
      <c r="BF11" s="1177"/>
      <c r="BG11" s="1177"/>
      <c r="BH11" s="1177">
        <f t="shared" si="8"/>
        <v>272.77573719999998</v>
      </c>
      <c r="BI11" s="1182" cm="1">
        <f t="array" ref="BI11">INDEX(BL11:BW11,$BL$1)</f>
        <v>231.92</v>
      </c>
      <c r="BJ11" s="1184"/>
      <c r="BK11" s="1503"/>
      <c r="BL11" s="1177">
        <v>231.92</v>
      </c>
      <c r="BM11" s="1177">
        <v>231.92</v>
      </c>
      <c r="BN11" s="1177">
        <v>231.92</v>
      </c>
      <c r="BO11" s="1177">
        <v>231.92</v>
      </c>
      <c r="BP11" s="1177">
        <v>231.92</v>
      </c>
      <c r="BQ11" s="1177">
        <v>231.92</v>
      </c>
      <c r="BR11" s="1177">
        <v>231.92</v>
      </c>
      <c r="BS11" s="1177">
        <v>231.92</v>
      </c>
      <c r="BT11" s="1177">
        <v>231.92</v>
      </c>
      <c r="BU11" s="1177">
        <v>231.92</v>
      </c>
      <c r="BV11" s="1177">
        <v>231.92</v>
      </c>
      <c r="BW11" s="1177">
        <v>231.92</v>
      </c>
      <c r="BX11" s="797">
        <f t="shared" ref="BX11:BX16" si="30">SUM(BL11:BW11)</f>
        <v>2783.0400000000004</v>
      </c>
      <c r="BY11" s="1491">
        <f t="shared" si="10"/>
        <v>0</v>
      </c>
      <c r="BZ11" s="1177"/>
      <c r="CA11" s="1177"/>
      <c r="CB11" s="1177"/>
      <c r="CC11" s="1177"/>
      <c r="CD11" s="1177"/>
      <c r="CE11" s="1177"/>
      <c r="CF11" s="1177"/>
      <c r="CG11" s="1177"/>
      <c r="CH11" s="1177"/>
      <c r="CI11" s="1177"/>
      <c r="CJ11" s="1177"/>
      <c r="CK11" s="1177"/>
      <c r="CL11" s="797">
        <f t="shared" ref="CL11:CL16" si="31">SUM(BZ11:CK11)</f>
        <v>0</v>
      </c>
      <c r="CN11" s="1177"/>
      <c r="CO11" s="1177"/>
      <c r="CP11" s="1177"/>
      <c r="CQ11" s="1177"/>
      <c r="CR11" s="1177"/>
      <c r="CS11" s="1177"/>
      <c r="CT11" s="1177"/>
      <c r="CU11" s="1177"/>
      <c r="CV11" s="1177"/>
      <c r="CW11" s="1177"/>
      <c r="CX11" s="1177"/>
      <c r="CY11" s="1177"/>
      <c r="CZ11" s="797">
        <f t="shared" ref="CZ11:CZ16" si="32">SUM(CN11:CY11)</f>
        <v>0</v>
      </c>
      <c r="DB11" s="1177">
        <v>214.12</v>
      </c>
      <c r="DC11" s="1177">
        <v>214.12</v>
      </c>
      <c r="DD11" s="1177">
        <v>214.12</v>
      </c>
      <c r="DE11" s="1177">
        <v>214.12</v>
      </c>
      <c r="DF11" s="1177">
        <v>214.12</v>
      </c>
      <c r="DG11" s="1177">
        <v>214.12</v>
      </c>
      <c r="DH11" s="1177">
        <v>214.12</v>
      </c>
      <c r="DI11" s="1177">
        <v>214.12</v>
      </c>
      <c r="DJ11" s="1177">
        <v>214.12</v>
      </c>
      <c r="DK11" s="1177">
        <v>214.12</v>
      </c>
      <c r="DL11" s="1177">
        <v>214.12</v>
      </c>
      <c r="DM11" s="1177">
        <v>214.12</v>
      </c>
      <c r="DN11" s="797">
        <f t="shared" ref="DN11:DN16" si="33">SUM(DB11:DM11)</f>
        <v>2569.4399999999991</v>
      </c>
      <c r="DP11" s="1177"/>
      <c r="DQ11" s="1177"/>
      <c r="DR11" s="1177"/>
      <c r="DS11" s="1177"/>
      <c r="DT11" s="1177"/>
      <c r="DU11" s="1177"/>
      <c r="DV11" s="1177"/>
      <c r="DW11" s="1177"/>
      <c r="DX11" s="1177"/>
      <c r="DY11" s="1177"/>
      <c r="DZ11" s="1177"/>
      <c r="EA11" s="1177"/>
      <c r="EB11" s="797">
        <f t="shared" ref="EB11:EB16" si="34">SUM(DP11:EA11)</f>
        <v>0</v>
      </c>
      <c r="ED11" s="1177">
        <v>12</v>
      </c>
      <c r="EE11" s="1177">
        <v>12</v>
      </c>
      <c r="EF11" s="1177">
        <v>12</v>
      </c>
      <c r="EG11" s="1177">
        <v>12</v>
      </c>
      <c r="EH11" s="1177">
        <v>12</v>
      </c>
      <c r="EI11" s="1177">
        <v>12</v>
      </c>
      <c r="EJ11" s="1177">
        <v>12</v>
      </c>
      <c r="EK11" s="1177">
        <v>12</v>
      </c>
      <c r="EL11" s="1177">
        <v>12</v>
      </c>
      <c r="EM11" s="1177">
        <v>12</v>
      </c>
      <c r="EN11" s="1177">
        <v>12</v>
      </c>
      <c r="EO11" s="1177">
        <v>12</v>
      </c>
      <c r="EP11" s="797">
        <f t="shared" ref="EP11:EP16" si="35">SUM(ED11:EO11)</f>
        <v>144</v>
      </c>
      <c r="ER11" s="1177">
        <v>5.8</v>
      </c>
      <c r="ES11" s="1177">
        <v>5.8</v>
      </c>
      <c r="ET11" s="1177">
        <v>5.8</v>
      </c>
      <c r="EU11" s="1177">
        <v>5.8</v>
      </c>
      <c r="EV11" s="1177">
        <v>5.8</v>
      </c>
      <c r="EW11" s="1177">
        <v>5.8</v>
      </c>
      <c r="EX11" s="1177">
        <v>5.8</v>
      </c>
      <c r="EY11" s="1177">
        <v>5.8</v>
      </c>
      <c r="EZ11" s="1177">
        <v>5.8</v>
      </c>
      <c r="FA11" s="1177">
        <v>5.8</v>
      </c>
      <c r="FB11" s="1177">
        <v>5.8</v>
      </c>
      <c r="FC11" s="1177">
        <v>5.8</v>
      </c>
      <c r="FD11" s="797">
        <f t="shared" ref="FD11:FD16" si="36">SUM(ER11:FC11)</f>
        <v>69.59999999999998</v>
      </c>
      <c r="FF11" s="1177"/>
      <c r="FG11" s="1177"/>
      <c r="FH11" s="1177"/>
      <c r="FI11" s="1177"/>
      <c r="FJ11" s="1177"/>
      <c r="FK11" s="1177"/>
      <c r="FL11" s="1177"/>
      <c r="FM11" s="1177"/>
      <c r="FN11" s="1177"/>
      <c r="FO11" s="1177"/>
      <c r="FP11" s="1177"/>
      <c r="FQ11" s="1177"/>
      <c r="FR11" s="797">
        <f t="shared" ref="FR11:FR16" si="37">SUM(FF11:FQ11)</f>
        <v>0</v>
      </c>
    </row>
    <row r="12" spans="1:174" ht="14.15" hidden="1" customHeight="1">
      <c r="A12" s="422">
        <f t="shared" si="3"/>
        <v>9</v>
      </c>
      <c r="B12" s="422" t="s">
        <v>425</v>
      </c>
      <c r="C12" s="422" t="s">
        <v>433</v>
      </c>
      <c r="D12" s="1175" t="s">
        <v>830</v>
      </c>
      <c r="E12" s="1176" t="s">
        <v>827</v>
      </c>
      <c r="F12" s="1177">
        <v>257.72536071428573</v>
      </c>
      <c r="G12" s="1177">
        <v>257.72536071428573</v>
      </c>
      <c r="H12" s="1177">
        <v>257.72536071428573</v>
      </c>
      <c r="I12" s="1177">
        <v>257.72536071428573</v>
      </c>
      <c r="J12" s="1177">
        <v>257.72536071428573</v>
      </c>
      <c r="K12" s="1177">
        <v>257.72536071428573</v>
      </c>
      <c r="L12" s="1177">
        <v>257.72536071428573</v>
      </c>
      <c r="M12" s="1177">
        <v>285.47946899999999</v>
      </c>
      <c r="N12" s="1177">
        <v>11.845178000000001</v>
      </c>
      <c r="O12" s="1177">
        <v>153.89010300000001</v>
      </c>
      <c r="P12" s="1177">
        <v>16.845178000000001</v>
      </c>
      <c r="Q12" s="1178">
        <v>24.688371</v>
      </c>
      <c r="R12" s="1179">
        <f t="shared" si="27"/>
        <v>191.40215200000003</v>
      </c>
      <c r="S12" s="1180">
        <f>507.191117+109.71</f>
        <v>616.901117</v>
      </c>
      <c r="T12" s="1177">
        <v>232.69113300000001</v>
      </c>
      <c r="U12" s="1177">
        <v>520.28488100000004</v>
      </c>
      <c r="V12" s="1177">
        <v>1076.524588</v>
      </c>
      <c r="W12" s="1177">
        <v>371.48800699999998</v>
      </c>
      <c r="X12" s="1177">
        <v>620.00057100000004</v>
      </c>
      <c r="Y12" s="1177">
        <v>143.796875</v>
      </c>
      <c r="Z12" s="1177">
        <v>143.796874</v>
      </c>
      <c r="AA12" s="1177">
        <v>158.897941</v>
      </c>
      <c r="AB12" s="1177">
        <v>192.37397799999999</v>
      </c>
      <c r="AC12" s="1177">
        <v>0</v>
      </c>
      <c r="AD12" s="1177">
        <v>240.846161</v>
      </c>
      <c r="AE12" s="1177">
        <v>0</v>
      </c>
      <c r="AF12" s="1181">
        <f t="shared" si="28"/>
        <v>4317.6021260000007</v>
      </c>
      <c r="AG12" s="1179">
        <f t="shared" si="29"/>
        <v>359.80017716666674</v>
      </c>
      <c r="AH12" s="1180">
        <v>314.13016800000003</v>
      </c>
      <c r="AI12" s="1177">
        <v>225.87098399999999</v>
      </c>
      <c r="AJ12" s="1177">
        <v>157.06508400000001</v>
      </c>
      <c r="AK12" s="1177">
        <v>456.408635</v>
      </c>
      <c r="AL12" s="1177">
        <v>230.53765100000001</v>
      </c>
      <c r="AM12" s="1177">
        <v>227.88798800000001</v>
      </c>
      <c r="AN12" s="1177">
        <v>197.89666500000001</v>
      </c>
      <c r="AO12" s="1177">
        <v>297.99266999999998</v>
      </c>
      <c r="AP12" s="1177">
        <v>300.84171400000002</v>
      </c>
      <c r="AQ12" s="1177">
        <v>78.758262000000002</v>
      </c>
      <c r="AR12" s="1177">
        <v>145.85</v>
      </c>
      <c r="AS12" s="1177">
        <v>173.49562</v>
      </c>
      <c r="AT12" s="1177"/>
      <c r="AU12" s="1179">
        <f t="shared" si="7"/>
        <v>233.89462008333336</v>
      </c>
      <c r="AV12" s="1180">
        <v>243.27062000000001</v>
      </c>
      <c r="AW12" s="1177">
        <v>0</v>
      </c>
      <c r="AX12" s="1177">
        <v>243.27062000000001</v>
      </c>
      <c r="AY12" s="1177">
        <v>242.695684</v>
      </c>
      <c r="AZ12" s="1177">
        <v>209.40041400000001</v>
      </c>
      <c r="BA12" s="1177"/>
      <c r="BB12" s="1177"/>
      <c r="BC12" s="1177"/>
      <c r="BD12" s="1177"/>
      <c r="BE12" s="1177"/>
      <c r="BF12" s="1177"/>
      <c r="BG12" s="1177"/>
      <c r="BH12" s="1177">
        <f t="shared" si="8"/>
        <v>187.72746760000001</v>
      </c>
      <c r="BI12" s="1182" cm="1">
        <f t="array" ref="BI12">INDEX(BL12:BW12,$BL$1)</f>
        <v>278.59974234394264</v>
      </c>
      <c r="BJ12" s="1183"/>
      <c r="BK12" s="1503"/>
      <c r="BL12" s="1177">
        <v>258.93196914501794</v>
      </c>
      <c r="BM12" s="1177">
        <v>247.38705701015874</v>
      </c>
      <c r="BN12" s="1177">
        <v>278.59974234394264</v>
      </c>
      <c r="BO12" s="1177">
        <v>285.01968658874074</v>
      </c>
      <c r="BP12" s="1177">
        <v>278.59974234394264</v>
      </c>
      <c r="BQ12" s="1177">
        <v>285.01968658874074</v>
      </c>
      <c r="BR12" s="1177">
        <v>285.0132728098925</v>
      </c>
      <c r="BS12" s="1177">
        <v>285.0132728098925</v>
      </c>
      <c r="BT12" s="1177">
        <v>291.64700140355558</v>
      </c>
      <c r="BU12" s="1177">
        <v>285.0132728098925</v>
      </c>
      <c r="BV12" s="1177">
        <v>291.64700140355558</v>
      </c>
      <c r="BW12" s="1177">
        <v>285.0132728098925</v>
      </c>
      <c r="BX12" s="797">
        <f t="shared" si="30"/>
        <v>3356.9049780672249</v>
      </c>
      <c r="BY12" s="1491">
        <f t="shared" si="10"/>
        <v>0</v>
      </c>
      <c r="BZ12" s="1177"/>
      <c r="CA12" s="1177"/>
      <c r="CB12" s="1177"/>
      <c r="CC12" s="1177"/>
      <c r="CD12" s="1177"/>
      <c r="CE12" s="1177"/>
      <c r="CF12" s="1177"/>
      <c r="CG12" s="1177"/>
      <c r="CH12" s="1177"/>
      <c r="CI12" s="1177"/>
      <c r="CJ12" s="1177"/>
      <c r="CK12" s="1177"/>
      <c r="CL12" s="797">
        <f t="shared" si="31"/>
        <v>0</v>
      </c>
      <c r="CN12" s="1177"/>
      <c r="CO12" s="1177"/>
      <c r="CP12" s="1177"/>
      <c r="CQ12" s="1177"/>
      <c r="CR12" s="1177"/>
      <c r="CS12" s="1177"/>
      <c r="CT12" s="1177"/>
      <c r="CU12" s="1177"/>
      <c r="CV12" s="1177"/>
      <c r="CW12" s="1177"/>
      <c r="CX12" s="1177"/>
      <c r="CY12" s="1177"/>
      <c r="CZ12" s="797">
        <f t="shared" si="32"/>
        <v>0</v>
      </c>
      <c r="DB12" s="1177">
        <v>258.93196914501794</v>
      </c>
      <c r="DC12" s="1177">
        <v>247.38705701015874</v>
      </c>
      <c r="DD12" s="1177">
        <v>278.59974234394264</v>
      </c>
      <c r="DE12" s="1177">
        <v>285.01968658874074</v>
      </c>
      <c r="DF12" s="1177">
        <v>278.59974234394264</v>
      </c>
      <c r="DG12" s="1177">
        <v>285.01968658874074</v>
      </c>
      <c r="DH12" s="1177">
        <v>285.0132728098925</v>
      </c>
      <c r="DI12" s="1177">
        <v>285.0132728098925</v>
      </c>
      <c r="DJ12" s="1177">
        <v>291.64700140355558</v>
      </c>
      <c r="DK12" s="1177">
        <v>285.0132728098925</v>
      </c>
      <c r="DL12" s="1177">
        <v>291.64700140355558</v>
      </c>
      <c r="DM12" s="1177">
        <v>285.0132728098925</v>
      </c>
      <c r="DN12" s="797">
        <f t="shared" si="33"/>
        <v>3356.9049780672249</v>
      </c>
      <c r="DP12" s="1177"/>
      <c r="DQ12" s="1177"/>
      <c r="DR12" s="1177"/>
      <c r="DS12" s="1177"/>
      <c r="DT12" s="1177"/>
      <c r="DU12" s="1177"/>
      <c r="DV12" s="1177"/>
      <c r="DW12" s="1177"/>
      <c r="DX12" s="1177"/>
      <c r="DY12" s="1177"/>
      <c r="DZ12" s="1177"/>
      <c r="EA12" s="1177"/>
      <c r="EB12" s="797">
        <f t="shared" si="34"/>
        <v>0</v>
      </c>
      <c r="ED12" s="1177">
        <v>0</v>
      </c>
      <c r="EE12" s="1177">
        <v>0</v>
      </c>
      <c r="EF12" s="1177">
        <v>0</v>
      </c>
      <c r="EG12" s="1177">
        <v>0</v>
      </c>
      <c r="EH12" s="1177">
        <v>0</v>
      </c>
      <c r="EI12" s="1177">
        <v>0</v>
      </c>
      <c r="EJ12" s="1177">
        <v>0</v>
      </c>
      <c r="EK12" s="1177">
        <v>0</v>
      </c>
      <c r="EL12" s="1177">
        <v>0</v>
      </c>
      <c r="EM12" s="1177">
        <v>0</v>
      </c>
      <c r="EN12" s="1177">
        <v>0</v>
      </c>
      <c r="EO12" s="1177">
        <v>0</v>
      </c>
      <c r="EP12" s="797">
        <f t="shared" si="35"/>
        <v>0</v>
      </c>
      <c r="ER12" s="1177">
        <v>0</v>
      </c>
      <c r="ES12" s="1177">
        <v>0</v>
      </c>
      <c r="ET12" s="1177">
        <v>0</v>
      </c>
      <c r="EU12" s="1177">
        <v>0</v>
      </c>
      <c r="EV12" s="1177">
        <v>0</v>
      </c>
      <c r="EW12" s="1177">
        <v>0</v>
      </c>
      <c r="EX12" s="1177">
        <v>0</v>
      </c>
      <c r="EY12" s="1177">
        <v>0</v>
      </c>
      <c r="EZ12" s="1177">
        <v>0</v>
      </c>
      <c r="FA12" s="1177">
        <v>0</v>
      </c>
      <c r="FB12" s="1177">
        <v>0</v>
      </c>
      <c r="FC12" s="1177">
        <v>0</v>
      </c>
      <c r="FD12" s="797">
        <f t="shared" si="36"/>
        <v>0</v>
      </c>
      <c r="FF12" s="1177"/>
      <c r="FG12" s="1177"/>
      <c r="FH12" s="1177"/>
      <c r="FI12" s="1177"/>
      <c r="FJ12" s="1177"/>
      <c r="FK12" s="1177"/>
      <c r="FL12" s="1177"/>
      <c r="FM12" s="1177"/>
      <c r="FN12" s="1177"/>
      <c r="FO12" s="1177"/>
      <c r="FP12" s="1177"/>
      <c r="FQ12" s="1177"/>
      <c r="FR12" s="797">
        <f t="shared" si="37"/>
        <v>0</v>
      </c>
    </row>
    <row r="13" spans="1:174" ht="14.15" hidden="1" customHeight="1">
      <c r="A13" s="422">
        <f t="shared" si="3"/>
        <v>10</v>
      </c>
      <c r="B13" s="422" t="s">
        <v>425</v>
      </c>
      <c r="C13" s="1175" t="s">
        <v>436</v>
      </c>
      <c r="D13" s="1175" t="s">
        <v>436</v>
      </c>
      <c r="E13" s="1176" t="s">
        <v>827</v>
      </c>
      <c r="F13" s="1177">
        <v>188.62547899999998</v>
      </c>
      <c r="G13" s="1177">
        <v>196.28916999999998</v>
      </c>
      <c r="H13" s="1177">
        <v>460.43097999999998</v>
      </c>
      <c r="I13" s="1177">
        <v>381.88881900000001</v>
      </c>
      <c r="J13" s="1177">
        <v>279.47783400000003</v>
      </c>
      <c r="K13" s="1177">
        <v>269.28564700000004</v>
      </c>
      <c r="L13" s="1177">
        <v>204.96910300000002</v>
      </c>
      <c r="M13" s="1177">
        <v>144.59650099999999</v>
      </c>
      <c r="N13" s="1177">
        <v>209.92933399999998</v>
      </c>
      <c r="O13" s="1177">
        <v>179.10958100000002</v>
      </c>
      <c r="P13" s="1177">
        <v>139.36256900000001</v>
      </c>
      <c r="Q13" s="1178">
        <v>234.21601099999998</v>
      </c>
      <c r="R13" s="1179">
        <f t="shared" si="27"/>
        <v>240.68175233333332</v>
      </c>
      <c r="S13" s="1180">
        <v>168.93012999999999</v>
      </c>
      <c r="T13" s="1177">
        <v>139.05925400000001</v>
      </c>
      <c r="U13" s="1177">
        <v>130.98270099999999</v>
      </c>
      <c r="V13" s="1177">
        <v>216.14341000000002</v>
      </c>
      <c r="W13" s="1177">
        <v>304.87664899999999</v>
      </c>
      <c r="X13" s="1177">
        <v>295.18419499999999</v>
      </c>
      <c r="Y13" s="1177">
        <v>186.81335799999999</v>
      </c>
      <c r="Z13" s="1177">
        <v>232.26438400000001</v>
      </c>
      <c r="AA13" s="1177">
        <v>145.066621</v>
      </c>
      <c r="AB13" s="1177">
        <v>272.26879300000002</v>
      </c>
      <c r="AC13" s="1177">
        <v>272.19795499999998</v>
      </c>
      <c r="AD13" s="1177">
        <v>306.84791300000001</v>
      </c>
      <c r="AE13" s="1177">
        <v>0</v>
      </c>
      <c r="AF13" s="1181">
        <f t="shared" si="28"/>
        <v>2670.6353630000003</v>
      </c>
      <c r="AG13" s="1179">
        <f t="shared" si="29"/>
        <v>222.55294691666668</v>
      </c>
      <c r="AH13" s="1180">
        <v>210.76331500000001</v>
      </c>
      <c r="AI13" s="1177">
        <v>188.40178499999999</v>
      </c>
      <c r="AJ13" s="1177">
        <v>282.89573000000001</v>
      </c>
      <c r="AK13" s="1177">
        <v>195.67146099999999</v>
      </c>
      <c r="AL13" s="1177">
        <v>294.51892900000001</v>
      </c>
      <c r="AM13" s="1177">
        <v>310.99886800000002</v>
      </c>
      <c r="AN13" s="1177">
        <v>473.82858199999998</v>
      </c>
      <c r="AO13" s="1177">
        <v>440.19381600000003</v>
      </c>
      <c r="AP13" s="1177">
        <v>448.54735499999998</v>
      </c>
      <c r="AQ13" s="1177">
        <v>466.49071500000002</v>
      </c>
      <c r="AR13" s="1177">
        <v>176.16390100000001</v>
      </c>
      <c r="AS13" s="1177">
        <v>280.28190499999999</v>
      </c>
      <c r="AT13" s="1177"/>
      <c r="AU13" s="1179">
        <f t="shared" si="7"/>
        <v>314.06303016666669</v>
      </c>
      <c r="AV13" s="1180">
        <v>252.349603</v>
      </c>
      <c r="AW13" s="1177">
        <v>80.021953999999994</v>
      </c>
      <c r="AX13" s="1177">
        <v>348.78599300000002</v>
      </c>
      <c r="AY13" s="1177">
        <v>458.30997000000002</v>
      </c>
      <c r="AZ13" s="1177">
        <v>385.67558700000001</v>
      </c>
      <c r="BA13" s="1177"/>
      <c r="BB13" s="1177"/>
      <c r="BC13" s="1177"/>
      <c r="BD13" s="1177"/>
      <c r="BE13" s="1177"/>
      <c r="BF13" s="1177"/>
      <c r="BG13" s="1177"/>
      <c r="BH13" s="1177">
        <f t="shared" si="8"/>
        <v>305.02862140000002</v>
      </c>
      <c r="BI13" s="1182" cm="1">
        <f t="array" ref="BI13">INDEX(BL13:BW13,$BL$1)</f>
        <v>471.88270318415442</v>
      </c>
      <c r="BJ13" s="1185"/>
      <c r="BK13" s="1503"/>
      <c r="BL13" s="1177">
        <v>452.49026332727141</v>
      </c>
      <c r="BM13" s="1177">
        <v>361.99221066181713</v>
      </c>
      <c r="BN13" s="1177">
        <v>471.88270318415442</v>
      </c>
      <c r="BO13" s="1177">
        <v>471.88270318415442</v>
      </c>
      <c r="BP13" s="1177">
        <v>471.88270318415442</v>
      </c>
      <c r="BQ13" s="1177">
        <v>471.88270318415442</v>
      </c>
      <c r="BR13" s="1177">
        <v>496.89225642207646</v>
      </c>
      <c r="BS13" s="1177">
        <v>496.89225642207646</v>
      </c>
      <c r="BT13" s="1177">
        <v>496.89225642207646</v>
      </c>
      <c r="BU13" s="1177">
        <v>496.89225642207646</v>
      </c>
      <c r="BV13" s="1177">
        <v>496.89225642207646</v>
      </c>
      <c r="BW13" s="1177">
        <v>496.89225642207646</v>
      </c>
      <c r="BX13" s="797">
        <f t="shared" si="30"/>
        <v>5683.3668252581656</v>
      </c>
      <c r="BY13" s="1491">
        <f t="shared" si="10"/>
        <v>0</v>
      </c>
      <c r="BZ13" s="1177">
        <f>BL13</f>
        <v>452.49026332727141</v>
      </c>
      <c r="CA13" s="1177">
        <f t="shared" ref="CA13:CK13" si="38">BM13</f>
        <v>361.99221066181713</v>
      </c>
      <c r="CB13" s="1177">
        <f t="shared" si="38"/>
        <v>471.88270318415442</v>
      </c>
      <c r="CC13" s="1177">
        <f t="shared" si="38"/>
        <v>471.88270318415442</v>
      </c>
      <c r="CD13" s="1177">
        <f t="shared" si="38"/>
        <v>471.88270318415442</v>
      </c>
      <c r="CE13" s="1177">
        <f t="shared" si="38"/>
        <v>471.88270318415442</v>
      </c>
      <c r="CF13" s="1177">
        <f t="shared" si="38"/>
        <v>496.89225642207646</v>
      </c>
      <c r="CG13" s="1177">
        <f t="shared" si="38"/>
        <v>496.89225642207646</v>
      </c>
      <c r="CH13" s="1177">
        <f t="shared" si="38"/>
        <v>496.89225642207646</v>
      </c>
      <c r="CI13" s="1177">
        <f t="shared" si="38"/>
        <v>496.89225642207646</v>
      </c>
      <c r="CJ13" s="1177">
        <f t="shared" si="38"/>
        <v>496.89225642207646</v>
      </c>
      <c r="CK13" s="1177">
        <f t="shared" si="38"/>
        <v>496.89225642207646</v>
      </c>
      <c r="CL13" s="797">
        <f t="shared" si="31"/>
        <v>5683.3668252581656</v>
      </c>
      <c r="CN13" s="1177"/>
      <c r="CO13" s="1177"/>
      <c r="CP13" s="1177"/>
      <c r="CQ13" s="1177"/>
      <c r="CR13" s="1177"/>
      <c r="CS13" s="1177"/>
      <c r="CT13" s="1177"/>
      <c r="CU13" s="1177"/>
      <c r="CV13" s="1177"/>
      <c r="CW13" s="1177"/>
      <c r="CX13" s="1177"/>
      <c r="CY13" s="1177"/>
      <c r="CZ13" s="797">
        <f t="shared" si="32"/>
        <v>0</v>
      </c>
      <c r="DB13" s="1177">
        <v>0</v>
      </c>
      <c r="DC13" s="1177">
        <v>0</v>
      </c>
      <c r="DD13" s="1177">
        <v>0</v>
      </c>
      <c r="DE13" s="1177">
        <v>0</v>
      </c>
      <c r="DF13" s="1177">
        <v>0</v>
      </c>
      <c r="DG13" s="1177">
        <v>0</v>
      </c>
      <c r="DH13" s="1177">
        <v>0</v>
      </c>
      <c r="DI13" s="1177">
        <v>0</v>
      </c>
      <c r="DJ13" s="1177">
        <v>0</v>
      </c>
      <c r="DK13" s="1177">
        <v>0</v>
      </c>
      <c r="DL13" s="1177">
        <v>0</v>
      </c>
      <c r="DM13" s="1177">
        <v>0</v>
      </c>
      <c r="DN13" s="797">
        <f t="shared" si="33"/>
        <v>0</v>
      </c>
      <c r="DP13" s="1177"/>
      <c r="DQ13" s="1177"/>
      <c r="DR13" s="1177"/>
      <c r="DS13" s="1177"/>
      <c r="DT13" s="1177"/>
      <c r="DU13" s="1177"/>
      <c r="DV13" s="1177"/>
      <c r="DW13" s="1177"/>
      <c r="DX13" s="1177"/>
      <c r="DY13" s="1177"/>
      <c r="DZ13" s="1177"/>
      <c r="EA13" s="1177"/>
      <c r="EB13" s="797">
        <f t="shared" si="34"/>
        <v>0</v>
      </c>
      <c r="ED13" s="1177">
        <v>0</v>
      </c>
      <c r="EE13" s="1177">
        <v>0</v>
      </c>
      <c r="EF13" s="1177">
        <v>0</v>
      </c>
      <c r="EG13" s="1177">
        <v>0</v>
      </c>
      <c r="EH13" s="1177">
        <v>0</v>
      </c>
      <c r="EI13" s="1177">
        <v>0</v>
      </c>
      <c r="EJ13" s="1177">
        <v>0</v>
      </c>
      <c r="EK13" s="1177">
        <v>0</v>
      </c>
      <c r="EL13" s="1177">
        <v>0</v>
      </c>
      <c r="EM13" s="1177">
        <v>0</v>
      </c>
      <c r="EN13" s="1177">
        <v>0</v>
      </c>
      <c r="EO13" s="1177">
        <v>0</v>
      </c>
      <c r="EP13" s="797">
        <f t="shared" si="35"/>
        <v>0</v>
      </c>
      <c r="ER13" s="1177">
        <v>0</v>
      </c>
      <c r="ES13" s="1177">
        <v>0</v>
      </c>
      <c r="ET13" s="1177">
        <v>0</v>
      </c>
      <c r="EU13" s="1177">
        <v>0</v>
      </c>
      <c r="EV13" s="1177">
        <v>0</v>
      </c>
      <c r="EW13" s="1177">
        <v>0</v>
      </c>
      <c r="EX13" s="1177">
        <v>0</v>
      </c>
      <c r="EY13" s="1177">
        <v>0</v>
      </c>
      <c r="EZ13" s="1177">
        <v>0</v>
      </c>
      <c r="FA13" s="1177">
        <v>0</v>
      </c>
      <c r="FB13" s="1177">
        <v>0</v>
      </c>
      <c r="FC13" s="1177">
        <v>0</v>
      </c>
      <c r="FD13" s="797">
        <f t="shared" si="36"/>
        <v>0</v>
      </c>
      <c r="FF13" s="1177"/>
      <c r="FG13" s="1177"/>
      <c r="FH13" s="1177"/>
      <c r="FI13" s="1177"/>
      <c r="FJ13" s="1177"/>
      <c r="FK13" s="1177"/>
      <c r="FL13" s="1177"/>
      <c r="FM13" s="1177"/>
      <c r="FN13" s="1177"/>
      <c r="FO13" s="1177"/>
      <c r="FP13" s="1177"/>
      <c r="FQ13" s="1177"/>
      <c r="FR13" s="797">
        <f t="shared" si="37"/>
        <v>0</v>
      </c>
    </row>
    <row r="14" spans="1:174" ht="14.15" hidden="1" customHeight="1">
      <c r="A14" s="422">
        <f t="shared" si="3"/>
        <v>11</v>
      </c>
      <c r="B14" s="422" t="s">
        <v>425</v>
      </c>
      <c r="C14" s="422" t="s">
        <v>433</v>
      </c>
      <c r="D14" s="1175" t="s">
        <v>831</v>
      </c>
      <c r="E14" s="1176" t="s">
        <v>827</v>
      </c>
      <c r="F14" s="1177">
        <v>59.905610000000003</v>
      </c>
      <c r="G14" s="1177">
        <v>187.22741600000001</v>
      </c>
      <c r="H14" s="1177">
        <v>177.07536300000001</v>
      </c>
      <c r="I14" s="1177">
        <v>25.791183</v>
      </c>
      <c r="J14" s="1177">
        <v>258.34515099999999</v>
      </c>
      <c r="K14" s="1177">
        <v>353.55610799999999</v>
      </c>
      <c r="L14" s="1177">
        <v>242.862548</v>
      </c>
      <c r="M14" s="1177">
        <v>157.31050099999999</v>
      </c>
      <c r="N14" s="1177">
        <v>142.576457</v>
      </c>
      <c r="O14" s="1177">
        <v>242.58994000000001</v>
      </c>
      <c r="P14" s="1177">
        <v>81.511026000000001</v>
      </c>
      <c r="Q14" s="1178">
        <f>303.462906+6.954717</f>
        <v>310.41762299999999</v>
      </c>
      <c r="R14" s="1179">
        <f t="shared" si="27"/>
        <v>186.5974105</v>
      </c>
      <c r="S14" s="1180">
        <v>170.17253500000001</v>
      </c>
      <c r="T14" s="1177">
        <v>98.645677000000006</v>
      </c>
      <c r="U14" s="1177">
        <v>152.282105</v>
      </c>
      <c r="V14" s="1177">
        <v>70.730341999999993</v>
      </c>
      <c r="W14" s="1177">
        <v>331.45537100000001</v>
      </c>
      <c r="X14" s="1177">
        <v>137.75444899999999</v>
      </c>
      <c r="Y14" s="1177">
        <v>130.50222199999999</v>
      </c>
      <c r="Z14" s="1177">
        <v>226.962827</v>
      </c>
      <c r="AA14" s="1177">
        <v>211.62888100000001</v>
      </c>
      <c r="AB14" s="1177">
        <v>169.15491900000001</v>
      </c>
      <c r="AC14" s="1177">
        <v>159.268833</v>
      </c>
      <c r="AD14" s="1177">
        <v>115.910696</v>
      </c>
      <c r="AE14" s="1177">
        <v>0</v>
      </c>
      <c r="AF14" s="1181">
        <f t="shared" si="28"/>
        <v>1974.4688570000003</v>
      </c>
      <c r="AG14" s="1179">
        <f t="shared" si="29"/>
        <v>164.5390714166667</v>
      </c>
      <c r="AH14" s="1180">
        <v>54.276730000000001</v>
      </c>
      <c r="AI14" s="1177">
        <v>93.605473000000003</v>
      </c>
      <c r="AJ14" s="1177">
        <f>211.598967-10</f>
        <v>201.59896699999999</v>
      </c>
      <c r="AK14" s="1177">
        <v>221.38745499999999</v>
      </c>
      <c r="AL14" s="1177">
        <v>185.026994</v>
      </c>
      <c r="AM14" s="1177">
        <v>164.58467999999999</v>
      </c>
      <c r="AN14" s="1177">
        <v>195.22985</v>
      </c>
      <c r="AO14" s="1177">
        <v>202.723263</v>
      </c>
      <c r="AP14" s="1177">
        <v>160.963538</v>
      </c>
      <c r="AQ14" s="1177">
        <v>135.79445200000001</v>
      </c>
      <c r="AR14" s="1177">
        <v>119.64827699999999</v>
      </c>
      <c r="AS14" s="1177">
        <v>140.69752399999999</v>
      </c>
      <c r="AT14" s="1177"/>
      <c r="AU14" s="1179">
        <f t="shared" si="7"/>
        <v>156.29476691666667</v>
      </c>
      <c r="AV14" s="1180">
        <v>144.36025699999999</v>
      </c>
      <c r="AW14" s="1177">
        <v>72.766227999999998</v>
      </c>
      <c r="AX14" s="1177">
        <v>204.661135</v>
      </c>
      <c r="AY14" s="1177">
        <v>181.14100400000001</v>
      </c>
      <c r="AZ14" s="1177">
        <v>132.13597100000001</v>
      </c>
      <c r="BA14" s="1177"/>
      <c r="BB14" s="1177"/>
      <c r="BC14" s="1177"/>
      <c r="BD14" s="1177"/>
      <c r="BE14" s="1177"/>
      <c r="BF14" s="1177"/>
      <c r="BG14" s="1177"/>
      <c r="BH14" s="1177">
        <f t="shared" si="8"/>
        <v>147.01291900000001</v>
      </c>
      <c r="BI14" s="1182" cm="1">
        <f t="array" ref="BI14">INDEX(BL14:BW14,$BL$1)</f>
        <v>199.59164858494626</v>
      </c>
      <c r="BJ14" s="1183"/>
      <c r="BK14" s="1503"/>
      <c r="BL14" s="1177">
        <v>195.62886148817205</v>
      </c>
      <c r="BM14" s="1177">
        <v>182.41068327619047</v>
      </c>
      <c r="BN14" s="1177">
        <v>199.59164858494626</v>
      </c>
      <c r="BO14" s="1177">
        <v>205.12247626666664</v>
      </c>
      <c r="BP14" s="1177">
        <v>199.59164858494626</v>
      </c>
      <c r="BQ14" s="1177">
        <v>207.45927626666665</v>
      </c>
      <c r="BR14" s="1177">
        <v>205.03168406881724</v>
      </c>
      <c r="BS14" s="1177">
        <v>204.12711632688178</v>
      </c>
      <c r="BT14" s="1177">
        <v>212.14592626666669</v>
      </c>
      <c r="BU14" s="1177">
        <v>205.03168406881724</v>
      </c>
      <c r="BV14" s="1177">
        <v>208.87440626666668</v>
      </c>
      <c r="BW14" s="1177">
        <v>204.12711632688178</v>
      </c>
      <c r="BX14" s="797">
        <f t="shared" si="30"/>
        <v>2429.1425277923195</v>
      </c>
      <c r="BY14" s="1491">
        <f t="shared" si="10"/>
        <v>0</v>
      </c>
      <c r="BZ14" s="1177"/>
      <c r="CA14" s="1177"/>
      <c r="CB14" s="1177"/>
      <c r="CC14" s="1177"/>
      <c r="CD14" s="1177"/>
      <c r="CE14" s="1177"/>
      <c r="CF14" s="1177"/>
      <c r="CG14" s="1177"/>
      <c r="CH14" s="1177"/>
      <c r="CI14" s="1177"/>
      <c r="CJ14" s="1177"/>
      <c r="CK14" s="1177"/>
      <c r="CL14" s="797">
        <f t="shared" si="31"/>
        <v>0</v>
      </c>
      <c r="CN14" s="1177"/>
      <c r="CO14" s="1177"/>
      <c r="CP14" s="1177"/>
      <c r="CQ14" s="1177"/>
      <c r="CR14" s="1177"/>
      <c r="CS14" s="1177"/>
      <c r="CT14" s="1177"/>
      <c r="CU14" s="1177"/>
      <c r="CV14" s="1177"/>
      <c r="CW14" s="1177"/>
      <c r="CX14" s="1177"/>
      <c r="CY14" s="1177"/>
      <c r="CZ14" s="797">
        <f t="shared" si="32"/>
        <v>0</v>
      </c>
      <c r="DB14" s="1177">
        <v>195.62886148817205</v>
      </c>
      <c r="DC14" s="1177">
        <v>182.41068327619047</v>
      </c>
      <c r="DD14" s="1177">
        <v>199.59164858494626</v>
      </c>
      <c r="DE14" s="1177">
        <v>205.12247626666664</v>
      </c>
      <c r="DF14" s="1177">
        <v>199.59164858494626</v>
      </c>
      <c r="DG14" s="1177">
        <v>207.45927626666665</v>
      </c>
      <c r="DH14" s="1177">
        <v>205.03168406881724</v>
      </c>
      <c r="DI14" s="1177">
        <v>204.12711632688178</v>
      </c>
      <c r="DJ14" s="1177">
        <v>212.14592626666669</v>
      </c>
      <c r="DK14" s="1177">
        <v>205.03168406881724</v>
      </c>
      <c r="DL14" s="1177">
        <v>208.87440626666668</v>
      </c>
      <c r="DM14" s="1177">
        <v>204.12711632688178</v>
      </c>
      <c r="DN14" s="797">
        <f t="shared" si="33"/>
        <v>2429.1425277923195</v>
      </c>
      <c r="DP14" s="1177"/>
      <c r="DQ14" s="1177"/>
      <c r="DR14" s="1177"/>
      <c r="DS14" s="1177"/>
      <c r="DT14" s="1177"/>
      <c r="DU14" s="1177"/>
      <c r="DV14" s="1177"/>
      <c r="DW14" s="1177"/>
      <c r="DX14" s="1177"/>
      <c r="DY14" s="1177"/>
      <c r="DZ14" s="1177"/>
      <c r="EA14" s="1177"/>
      <c r="EB14" s="797">
        <f t="shared" si="34"/>
        <v>0</v>
      </c>
      <c r="ED14" s="1177">
        <v>0</v>
      </c>
      <c r="EE14" s="1177">
        <v>0</v>
      </c>
      <c r="EF14" s="1177">
        <v>0</v>
      </c>
      <c r="EG14" s="1177">
        <v>0</v>
      </c>
      <c r="EH14" s="1177">
        <v>0</v>
      </c>
      <c r="EI14" s="1177">
        <v>0</v>
      </c>
      <c r="EJ14" s="1177">
        <v>0</v>
      </c>
      <c r="EK14" s="1177">
        <v>0</v>
      </c>
      <c r="EL14" s="1177">
        <v>0</v>
      </c>
      <c r="EM14" s="1177">
        <v>0</v>
      </c>
      <c r="EN14" s="1177">
        <v>0</v>
      </c>
      <c r="EO14" s="1177">
        <v>0</v>
      </c>
      <c r="EP14" s="797">
        <f t="shared" si="35"/>
        <v>0</v>
      </c>
      <c r="ER14" s="1177">
        <v>0</v>
      </c>
      <c r="ES14" s="1177">
        <v>0</v>
      </c>
      <c r="ET14" s="1177">
        <v>0</v>
      </c>
      <c r="EU14" s="1177">
        <v>0</v>
      </c>
      <c r="EV14" s="1177">
        <v>0</v>
      </c>
      <c r="EW14" s="1177">
        <v>0</v>
      </c>
      <c r="EX14" s="1177">
        <v>0</v>
      </c>
      <c r="EY14" s="1177">
        <v>0</v>
      </c>
      <c r="EZ14" s="1177">
        <v>0</v>
      </c>
      <c r="FA14" s="1177">
        <v>0</v>
      </c>
      <c r="FB14" s="1177">
        <v>0</v>
      </c>
      <c r="FC14" s="1177">
        <v>0</v>
      </c>
      <c r="FD14" s="797">
        <f t="shared" si="36"/>
        <v>0</v>
      </c>
      <c r="FF14" s="1177"/>
      <c r="FG14" s="1177"/>
      <c r="FH14" s="1177"/>
      <c r="FI14" s="1177"/>
      <c r="FJ14" s="1177"/>
      <c r="FK14" s="1177"/>
      <c r="FL14" s="1177"/>
      <c r="FM14" s="1177"/>
      <c r="FN14" s="1177"/>
      <c r="FO14" s="1177"/>
      <c r="FP14" s="1177"/>
      <c r="FQ14" s="1177"/>
      <c r="FR14" s="797">
        <f t="shared" si="37"/>
        <v>0</v>
      </c>
    </row>
    <row r="15" spans="1:174" ht="14.15" hidden="1" customHeight="1">
      <c r="A15" s="422">
        <f t="shared" si="3"/>
        <v>12</v>
      </c>
      <c r="B15" s="422" t="s">
        <v>425</v>
      </c>
      <c r="C15" s="422" t="s">
        <v>438</v>
      </c>
      <c r="D15" s="1175" t="s">
        <v>832</v>
      </c>
      <c r="E15" s="1176" t="s">
        <v>827</v>
      </c>
      <c r="F15" s="1177">
        <v>148.21799999999999</v>
      </c>
      <c r="G15" s="1177">
        <v>141.316</v>
      </c>
      <c r="H15" s="1177">
        <v>135.04400000000001</v>
      </c>
      <c r="I15" s="1177">
        <v>119.938</v>
      </c>
      <c r="J15" s="1177">
        <v>155.708</v>
      </c>
      <c r="K15" s="1177">
        <v>100.15600000000001</v>
      </c>
      <c r="L15" s="1177">
        <v>110.04</v>
      </c>
      <c r="M15" s="1177">
        <v>130.928</v>
      </c>
      <c r="N15" s="1177">
        <v>129.892</v>
      </c>
      <c r="O15" s="1177">
        <v>122.262</v>
      </c>
      <c r="P15" s="1177">
        <v>113.988</v>
      </c>
      <c r="Q15" s="1178">
        <v>133.602</v>
      </c>
      <c r="R15" s="1179">
        <f t="shared" si="27"/>
        <v>128.42433333333335</v>
      </c>
      <c r="S15" s="1180">
        <v>128.69919999999999</v>
      </c>
      <c r="T15" s="1177">
        <v>113.8494</v>
      </c>
      <c r="U15" s="1177">
        <v>139.7774</v>
      </c>
      <c r="V15" s="1177">
        <v>145.8912</v>
      </c>
      <c r="W15" s="1177">
        <v>130.57939999999999</v>
      </c>
      <c r="X15" s="1177">
        <v>132.87960000000001</v>
      </c>
      <c r="Y15" s="1177">
        <v>102.1832</v>
      </c>
      <c r="Z15" s="1177">
        <v>108.79819999999999</v>
      </c>
      <c r="AA15" s="1177">
        <v>99.789199999999994</v>
      </c>
      <c r="AB15" s="1177">
        <v>126.86799999999999</v>
      </c>
      <c r="AC15" s="1177">
        <v>141.09059999999999</v>
      </c>
      <c r="AD15" s="1177">
        <v>125.4876</v>
      </c>
      <c r="AE15" s="1177">
        <v>0</v>
      </c>
      <c r="AF15" s="1181">
        <f t="shared" si="28"/>
        <v>1495.8929999999998</v>
      </c>
      <c r="AG15" s="1179">
        <f t="shared" si="29"/>
        <v>124.65774999999998</v>
      </c>
      <c r="AH15" s="1180">
        <v>91.748999999999995</v>
      </c>
      <c r="AI15" s="1177">
        <v>140.29400000000001</v>
      </c>
      <c r="AJ15" s="1177">
        <v>121.0202</v>
      </c>
      <c r="AK15" s="1177">
        <v>123.6284</v>
      </c>
      <c r="AL15" s="1177">
        <v>165.9742</v>
      </c>
      <c r="AM15" s="1177">
        <v>159.23320000000001</v>
      </c>
      <c r="AN15" s="1177">
        <v>167.01859999999999</v>
      </c>
      <c r="AO15" s="1177">
        <v>211.38460000000001</v>
      </c>
      <c r="AP15" s="1177">
        <v>180.1884</v>
      </c>
      <c r="AQ15" s="1177">
        <v>189.19880000000001</v>
      </c>
      <c r="AR15" s="1177">
        <v>140.45779999999999</v>
      </c>
      <c r="AS15" s="1177">
        <v>136.7604</v>
      </c>
      <c r="AT15" s="1177"/>
      <c r="AU15" s="1179">
        <f t="shared" si="7"/>
        <v>152.2423</v>
      </c>
      <c r="AV15" s="1180">
        <v>111.7718</v>
      </c>
      <c r="AW15" s="1177">
        <v>79.503200000000007</v>
      </c>
      <c r="AX15" s="1177">
        <v>105.9534</v>
      </c>
      <c r="AY15" s="1177">
        <v>124.4894</v>
      </c>
      <c r="AZ15" s="1177">
        <v>125.0844</v>
      </c>
      <c r="BA15" s="1177"/>
      <c r="BB15" s="1177"/>
      <c r="BC15" s="1177"/>
      <c r="BD15" s="1177"/>
      <c r="BE15" s="1177"/>
      <c r="BF15" s="1177"/>
      <c r="BG15" s="1177"/>
      <c r="BH15" s="1177">
        <f t="shared" si="8"/>
        <v>109.36044</v>
      </c>
      <c r="BI15" s="1182" cm="1">
        <f t="array" ref="BI15">INDEX(BL15:BW15,$BL$1)</f>
        <v>221.48736581720004</v>
      </c>
      <c r="BJ15" s="1183"/>
      <c r="BK15" s="1503"/>
      <c r="BL15" s="1177">
        <v>220.10199959720003</v>
      </c>
      <c r="BM15" s="1177">
        <v>170.77461960160005</v>
      </c>
      <c r="BN15" s="1177">
        <v>220.10199959720003</v>
      </c>
      <c r="BO15" s="1177">
        <v>220.42946855720001</v>
      </c>
      <c r="BP15" s="1177">
        <v>221.48736581720004</v>
      </c>
      <c r="BQ15" s="1177">
        <v>221.2636200572</v>
      </c>
      <c r="BR15" s="1177">
        <v>225.44506739720009</v>
      </c>
      <c r="BS15" s="1177">
        <v>225.44506739720009</v>
      </c>
      <c r="BT15" s="1177">
        <v>225.83180675720004</v>
      </c>
      <c r="BU15" s="1177">
        <v>225.36052769720007</v>
      </c>
      <c r="BV15" s="1177">
        <v>227.02158065720002</v>
      </c>
      <c r="BW15" s="1177">
        <v>225.36052769720007</v>
      </c>
      <c r="BX15" s="797">
        <f t="shared" si="30"/>
        <v>2628.6236508308011</v>
      </c>
      <c r="BY15" s="1491">
        <f t="shared" si="10"/>
        <v>0</v>
      </c>
      <c r="BZ15" s="1177"/>
      <c r="CA15" s="1177"/>
      <c r="CB15" s="1177"/>
      <c r="CC15" s="1177"/>
      <c r="CD15" s="1177"/>
      <c r="CE15" s="1177"/>
      <c r="CF15" s="1177"/>
      <c r="CG15" s="1177"/>
      <c r="CH15" s="1177"/>
      <c r="CI15" s="1177"/>
      <c r="CJ15" s="1177"/>
      <c r="CK15" s="1177"/>
      <c r="CL15" s="797">
        <f t="shared" si="31"/>
        <v>0</v>
      </c>
      <c r="CN15" s="1177"/>
      <c r="CO15" s="1177"/>
      <c r="CP15" s="1177"/>
      <c r="CQ15" s="1177"/>
      <c r="CR15" s="1177"/>
      <c r="CS15" s="1177"/>
      <c r="CT15" s="1177"/>
      <c r="CU15" s="1177"/>
      <c r="CV15" s="1177"/>
      <c r="CW15" s="1177"/>
      <c r="CX15" s="1177"/>
      <c r="CY15" s="1177"/>
      <c r="CZ15" s="797">
        <f t="shared" si="32"/>
        <v>0</v>
      </c>
      <c r="DB15" s="1177">
        <v>184.84066944000003</v>
      </c>
      <c r="DC15" s="1177">
        <v>143.01354816000003</v>
      </c>
      <c r="DD15" s="1177">
        <v>184.84066944000003</v>
      </c>
      <c r="DE15" s="1177">
        <v>185.1681384</v>
      </c>
      <c r="DF15" s="1177">
        <v>185.39188416000002</v>
      </c>
      <c r="DG15" s="1177">
        <v>185.1681384</v>
      </c>
      <c r="DH15" s="1177">
        <v>188.51543424000008</v>
      </c>
      <c r="DI15" s="1177">
        <v>188.51543424000008</v>
      </c>
      <c r="DJ15" s="1177">
        <v>188.90217360000003</v>
      </c>
      <c r="DK15" s="1177">
        <v>187.59674304000006</v>
      </c>
      <c r="DL15" s="1177">
        <v>189.25779600000001</v>
      </c>
      <c r="DM15" s="1177">
        <v>187.59674304000006</v>
      </c>
      <c r="DN15" s="797">
        <f t="shared" si="33"/>
        <v>2198.8073721600003</v>
      </c>
      <c r="DP15" s="1177"/>
      <c r="DQ15" s="1177"/>
      <c r="DR15" s="1177"/>
      <c r="DS15" s="1177"/>
      <c r="DT15" s="1177"/>
      <c r="DU15" s="1177"/>
      <c r="DV15" s="1177"/>
      <c r="DW15" s="1177"/>
      <c r="DX15" s="1177"/>
      <c r="DY15" s="1177"/>
      <c r="DZ15" s="1177"/>
      <c r="EA15" s="1177"/>
      <c r="EB15" s="797">
        <f t="shared" si="34"/>
        <v>0</v>
      </c>
      <c r="ED15" s="1177">
        <v>0</v>
      </c>
      <c r="EE15" s="1177">
        <v>0</v>
      </c>
      <c r="EF15" s="1177">
        <v>0</v>
      </c>
      <c r="EG15" s="1177">
        <v>0</v>
      </c>
      <c r="EH15" s="1177">
        <v>0</v>
      </c>
      <c r="EI15" s="1177">
        <v>0</v>
      </c>
      <c r="EJ15" s="1177">
        <v>0</v>
      </c>
      <c r="EK15" s="1177">
        <v>0</v>
      </c>
      <c r="EL15" s="1177">
        <v>0</v>
      </c>
      <c r="EM15" s="1177">
        <v>0</v>
      </c>
      <c r="EN15" s="1177">
        <v>0</v>
      </c>
      <c r="EO15" s="1177">
        <v>0</v>
      </c>
      <c r="EP15" s="797">
        <f t="shared" si="35"/>
        <v>0</v>
      </c>
      <c r="ER15" s="1177">
        <v>35.261330157200014</v>
      </c>
      <c r="ES15" s="1177">
        <v>27.761071441600009</v>
      </c>
      <c r="ET15" s="1177">
        <v>35.261330157200014</v>
      </c>
      <c r="EU15" s="1177">
        <v>35.261330157200014</v>
      </c>
      <c r="EV15" s="1177">
        <v>36.095481657200018</v>
      </c>
      <c r="EW15" s="1177">
        <v>36.095481657200018</v>
      </c>
      <c r="EX15" s="1177">
        <v>36.929633157200016</v>
      </c>
      <c r="EY15" s="1177">
        <v>36.929633157200016</v>
      </c>
      <c r="EZ15" s="1177">
        <v>36.929633157200016</v>
      </c>
      <c r="FA15" s="1177">
        <v>37.763784657200006</v>
      </c>
      <c r="FB15" s="1177">
        <v>37.763784657200006</v>
      </c>
      <c r="FC15" s="1177">
        <v>37.763784657200006</v>
      </c>
      <c r="FD15" s="797">
        <f t="shared" si="36"/>
        <v>429.81627867080016</v>
      </c>
      <c r="FF15" s="1177"/>
      <c r="FG15" s="1177"/>
      <c r="FH15" s="1177"/>
      <c r="FI15" s="1177"/>
      <c r="FJ15" s="1177"/>
      <c r="FK15" s="1177"/>
      <c r="FL15" s="1177"/>
      <c r="FM15" s="1177"/>
      <c r="FN15" s="1177"/>
      <c r="FO15" s="1177"/>
      <c r="FP15" s="1177"/>
      <c r="FQ15" s="1177"/>
      <c r="FR15" s="797">
        <f t="shared" si="37"/>
        <v>0</v>
      </c>
    </row>
    <row r="16" spans="1:174" ht="14.15" hidden="1" customHeight="1">
      <c r="A16" s="422">
        <f t="shared" si="3"/>
        <v>13</v>
      </c>
      <c r="B16" s="422" t="s">
        <v>425</v>
      </c>
      <c r="C16" s="422" t="s">
        <v>433</v>
      </c>
      <c r="D16" s="1186" t="s">
        <v>833</v>
      </c>
      <c r="E16" s="1176" t="s">
        <v>827</v>
      </c>
      <c r="F16" s="1177">
        <v>77.756324000000006</v>
      </c>
      <c r="G16" s="1177">
        <v>86.656323999999998</v>
      </c>
      <c r="H16" s="1177">
        <v>96.348770999999999</v>
      </c>
      <c r="I16" s="1177">
        <v>121.488354</v>
      </c>
      <c r="J16" s="1177">
        <v>105.11398800000001</v>
      </c>
      <c r="K16" s="1177">
        <v>149.60844800000001</v>
      </c>
      <c r="L16" s="1177">
        <v>133.14721700000001</v>
      </c>
      <c r="M16" s="1177">
        <v>126.687878</v>
      </c>
      <c r="N16" s="1177">
        <v>116.520274</v>
      </c>
      <c r="O16" s="1177">
        <v>119.69473499999999</v>
      </c>
      <c r="P16" s="1177">
        <v>133.28872100000001</v>
      </c>
      <c r="Q16" s="1178">
        <v>139.639126</v>
      </c>
      <c r="R16" s="1179">
        <f t="shared" si="27"/>
        <v>117.16251333333332</v>
      </c>
      <c r="S16" s="1180">
        <v>141.09458900000001</v>
      </c>
      <c r="T16" s="1177">
        <v>134.933345</v>
      </c>
      <c r="U16" s="1177">
        <v>138.53165799999999</v>
      </c>
      <c r="V16" s="1177">
        <v>124.11779900000001</v>
      </c>
      <c r="W16" s="1177">
        <v>119.77466200000001</v>
      </c>
      <c r="X16" s="1177">
        <v>109.54861200000001</v>
      </c>
      <c r="Y16" s="1177">
        <v>99.025947000000002</v>
      </c>
      <c r="Z16" s="1177">
        <v>117.751276</v>
      </c>
      <c r="AA16" s="1177">
        <v>135.853973</v>
      </c>
      <c r="AB16" s="1177">
        <v>161.36879300000001</v>
      </c>
      <c r="AC16" s="1177">
        <v>155.12281200000001</v>
      </c>
      <c r="AD16" s="1177">
        <v>164.211412</v>
      </c>
      <c r="AE16" s="1177">
        <v>0</v>
      </c>
      <c r="AF16" s="1181">
        <f t="shared" si="28"/>
        <v>1601.3348780000001</v>
      </c>
      <c r="AG16" s="1179">
        <f t="shared" si="29"/>
        <v>133.44457316666669</v>
      </c>
      <c r="AH16" s="1180">
        <v>186.80962</v>
      </c>
      <c r="AI16" s="1177">
        <v>205.223758</v>
      </c>
      <c r="AJ16" s="1177">
        <v>212.42631900000001</v>
      </c>
      <c r="AK16" s="1177">
        <v>211.27502799999999</v>
      </c>
      <c r="AL16" s="1177">
        <v>219.63126800000001</v>
      </c>
      <c r="AM16" s="1177">
        <v>234.35812999999999</v>
      </c>
      <c r="AN16" s="1177">
        <v>228.682311</v>
      </c>
      <c r="AO16" s="1177">
        <v>241.44515000000001</v>
      </c>
      <c r="AP16" s="1177">
        <v>230.85844399999999</v>
      </c>
      <c r="AQ16" s="1177">
        <v>203.993593</v>
      </c>
      <c r="AR16" s="1177">
        <v>195.982675</v>
      </c>
      <c r="AS16" s="1177">
        <v>185.77301399999999</v>
      </c>
      <c r="AT16" s="1177"/>
      <c r="AU16" s="1179">
        <f t="shared" si="7"/>
        <v>213.03827583333336</v>
      </c>
      <c r="AV16" s="1180">
        <v>165.94377800000001</v>
      </c>
      <c r="AW16" s="1177">
        <v>145.793384</v>
      </c>
      <c r="AX16" s="1177">
        <v>161.32664199999999</v>
      </c>
      <c r="AY16" s="1177">
        <v>148.295143</v>
      </c>
      <c r="AZ16" s="1177">
        <v>144.11939699999999</v>
      </c>
      <c r="BA16" s="1177"/>
      <c r="BB16" s="1177"/>
      <c r="BC16" s="1177"/>
      <c r="BD16" s="1177"/>
      <c r="BE16" s="1177"/>
      <c r="BF16" s="1177"/>
      <c r="BG16" s="1177"/>
      <c r="BH16" s="1177">
        <f t="shared" si="8"/>
        <v>153.09566879999997</v>
      </c>
      <c r="BI16" s="1182" cm="1">
        <f t="array" ref="BI16">INDEX(BL16:BW16,$BL$1)</f>
        <v>173.37826738297431</v>
      </c>
      <c r="BJ16" s="1187"/>
      <c r="BK16" s="1503"/>
      <c r="BL16" s="1177">
        <v>159.64027909069745</v>
      </c>
      <c r="BM16" s="1177">
        <v>167.39207049549739</v>
      </c>
      <c r="BN16" s="1177">
        <v>172.02539865029743</v>
      </c>
      <c r="BO16" s="1177">
        <v>179.32544605509739</v>
      </c>
      <c r="BP16" s="1177">
        <v>173.37826738297431</v>
      </c>
      <c r="BQ16" s="1177">
        <v>162.77463992879999</v>
      </c>
      <c r="BR16" s="1177">
        <v>166.54278575026663</v>
      </c>
      <c r="BS16" s="1177">
        <v>158.84286957173333</v>
      </c>
      <c r="BT16" s="1177">
        <v>159.92789464320001</v>
      </c>
      <c r="BU16" s="1177">
        <v>160.55650871466671</v>
      </c>
      <c r="BV16" s="1177">
        <v>161.51952778613338</v>
      </c>
      <c r="BW16" s="1177">
        <v>154.72149685760002</v>
      </c>
      <c r="BX16" s="797">
        <f t="shared" si="30"/>
        <v>1976.6471849269637</v>
      </c>
      <c r="BY16" s="1491">
        <f t="shared" si="10"/>
        <v>0</v>
      </c>
      <c r="BZ16" s="1177"/>
      <c r="CA16" s="1177"/>
      <c r="CB16" s="1177"/>
      <c r="CC16" s="1177"/>
      <c r="CD16" s="1177"/>
      <c r="CE16" s="1177"/>
      <c r="CF16" s="1177"/>
      <c r="CG16" s="1177"/>
      <c r="CH16" s="1177"/>
      <c r="CI16" s="1177"/>
      <c r="CJ16" s="1177"/>
      <c r="CK16" s="1177"/>
      <c r="CL16" s="797">
        <f t="shared" si="31"/>
        <v>0</v>
      </c>
      <c r="CN16" s="1177"/>
      <c r="CO16" s="1177"/>
      <c r="CP16" s="1177"/>
      <c r="CQ16" s="1177"/>
      <c r="CR16" s="1177"/>
      <c r="CS16" s="1177"/>
      <c r="CT16" s="1177"/>
      <c r="CU16" s="1177"/>
      <c r="CV16" s="1177"/>
      <c r="CW16" s="1177"/>
      <c r="CX16" s="1177"/>
      <c r="CY16" s="1177"/>
      <c r="CZ16" s="797">
        <f t="shared" si="32"/>
        <v>0</v>
      </c>
      <c r="DB16" s="1177">
        <v>159.64027909069745</v>
      </c>
      <c r="DC16" s="1177">
        <v>167.39207049549748</v>
      </c>
      <c r="DD16" s="1177">
        <v>172.02539865029743</v>
      </c>
      <c r="DE16" s="1177">
        <v>179.32544605509744</v>
      </c>
      <c r="DF16" s="1177">
        <v>173.37826738297431</v>
      </c>
      <c r="DG16" s="1177">
        <v>162.77463992879999</v>
      </c>
      <c r="DH16" s="1177">
        <v>166.54278575026666</v>
      </c>
      <c r="DI16" s="1177">
        <v>158.84286957173333</v>
      </c>
      <c r="DJ16" s="1177">
        <v>159.92789464320001</v>
      </c>
      <c r="DK16" s="1177">
        <v>160.55650871466668</v>
      </c>
      <c r="DL16" s="1177">
        <v>161.51952778613335</v>
      </c>
      <c r="DM16" s="1177">
        <v>154.72149685760002</v>
      </c>
      <c r="DN16" s="797">
        <f t="shared" si="33"/>
        <v>1976.6471849269642</v>
      </c>
      <c r="DP16" s="1177"/>
      <c r="DQ16" s="1177"/>
      <c r="DR16" s="1177"/>
      <c r="DS16" s="1177"/>
      <c r="DT16" s="1177"/>
      <c r="DU16" s="1177"/>
      <c r="DV16" s="1177"/>
      <c r="DW16" s="1177"/>
      <c r="DX16" s="1177"/>
      <c r="DY16" s="1177"/>
      <c r="DZ16" s="1177"/>
      <c r="EA16" s="1177"/>
      <c r="EB16" s="797">
        <f t="shared" si="34"/>
        <v>0</v>
      </c>
      <c r="ED16" s="1177">
        <v>0</v>
      </c>
      <c r="EE16" s="1177">
        <v>0</v>
      </c>
      <c r="EF16" s="1177">
        <v>0</v>
      </c>
      <c r="EG16" s="1177">
        <v>0</v>
      </c>
      <c r="EH16" s="1177">
        <v>0</v>
      </c>
      <c r="EI16" s="1177">
        <v>0</v>
      </c>
      <c r="EJ16" s="1177">
        <v>0</v>
      </c>
      <c r="EK16" s="1177">
        <v>0</v>
      </c>
      <c r="EL16" s="1177">
        <v>0</v>
      </c>
      <c r="EM16" s="1177">
        <v>0</v>
      </c>
      <c r="EN16" s="1177">
        <v>0</v>
      </c>
      <c r="EO16" s="1177">
        <v>0</v>
      </c>
      <c r="EP16" s="797">
        <f t="shared" si="35"/>
        <v>0</v>
      </c>
      <c r="ER16" s="1177">
        <v>0</v>
      </c>
      <c r="ES16" s="1177">
        <v>0</v>
      </c>
      <c r="ET16" s="1177">
        <v>0</v>
      </c>
      <c r="EU16" s="1177">
        <v>0</v>
      </c>
      <c r="EV16" s="1177">
        <v>0</v>
      </c>
      <c r="EW16" s="1177">
        <v>0</v>
      </c>
      <c r="EX16" s="1177">
        <v>0</v>
      </c>
      <c r="EY16" s="1177">
        <v>0</v>
      </c>
      <c r="EZ16" s="1177">
        <v>0</v>
      </c>
      <c r="FA16" s="1177">
        <v>0</v>
      </c>
      <c r="FB16" s="1177">
        <v>0</v>
      </c>
      <c r="FC16" s="1177">
        <v>0</v>
      </c>
      <c r="FD16" s="797">
        <f t="shared" si="36"/>
        <v>0</v>
      </c>
      <c r="FF16" s="1177"/>
      <c r="FG16" s="1177"/>
      <c r="FH16" s="1177"/>
      <c r="FI16" s="1177"/>
      <c r="FJ16" s="1177"/>
      <c r="FK16" s="1177"/>
      <c r="FL16" s="1177"/>
      <c r="FM16" s="1177"/>
      <c r="FN16" s="1177"/>
      <c r="FO16" s="1177"/>
      <c r="FP16" s="1177"/>
      <c r="FQ16" s="1177"/>
      <c r="FR16" s="797">
        <f t="shared" si="37"/>
        <v>0</v>
      </c>
    </row>
    <row r="17" spans="1:174" ht="13.5" hidden="1" customHeight="1">
      <c r="A17" s="422">
        <f t="shared" si="3"/>
        <v>14</v>
      </c>
      <c r="B17" s="422" t="s">
        <v>425</v>
      </c>
      <c r="C17" s="422" t="s">
        <v>429</v>
      </c>
      <c r="D17" s="1175" t="s">
        <v>834</v>
      </c>
      <c r="E17" s="1176" t="s">
        <v>827</v>
      </c>
      <c r="F17" s="1188">
        <v>0</v>
      </c>
      <c r="G17" s="1188">
        <v>0</v>
      </c>
      <c r="H17" s="1188">
        <v>78.751999999999995</v>
      </c>
      <c r="I17" s="1188">
        <v>70.222354999999993</v>
      </c>
      <c r="J17" s="1188">
        <v>56.949300000000001</v>
      </c>
      <c r="K17" s="1177">
        <v>269.59059999999999</v>
      </c>
      <c r="L17" s="1177">
        <v>121.9</v>
      </c>
      <c r="M17" s="1177">
        <v>99.602000000000004</v>
      </c>
      <c r="N17" s="1177">
        <v>0</v>
      </c>
      <c r="O17" s="1177">
        <v>246.25559999999999</v>
      </c>
      <c r="P17" s="1177">
        <v>141.42070000000001</v>
      </c>
      <c r="Q17" s="1178">
        <v>208.09110000000001</v>
      </c>
      <c r="R17" s="1179">
        <f t="shared" si="27"/>
        <v>107.73197125000002</v>
      </c>
      <c r="S17" s="1180">
        <v>186.869</v>
      </c>
      <c r="T17" s="1177">
        <v>98.405100000000004</v>
      </c>
      <c r="U17" s="1177">
        <v>104.04</v>
      </c>
      <c r="V17" s="1177">
        <v>105.87407399999999</v>
      </c>
      <c r="W17" s="1177">
        <v>100.08</v>
      </c>
      <c r="X17" s="1177">
        <v>196.593648</v>
      </c>
      <c r="Y17" s="1177">
        <v>93.037899999999993</v>
      </c>
      <c r="Z17" s="1177">
        <v>632.19703600000003</v>
      </c>
      <c r="AA17" s="1177">
        <v>479.52148099999999</v>
      </c>
      <c r="AB17" s="1177">
        <v>399.19967200000002</v>
      </c>
      <c r="AC17" s="1177">
        <v>415.50302199999999</v>
      </c>
      <c r="AD17" s="1177">
        <v>478.47733299999999</v>
      </c>
      <c r="AE17" s="1177">
        <v>0</v>
      </c>
      <c r="AF17" s="1181">
        <f t="shared" si="28"/>
        <v>3289.7982659999998</v>
      </c>
      <c r="AG17" s="1179">
        <f t="shared" si="29"/>
        <v>274.1498555</v>
      </c>
      <c r="AH17" s="1180">
        <v>249.728148</v>
      </c>
      <c r="AI17" s="1177">
        <v>500.50518599999998</v>
      </c>
      <c r="AJ17" s="1177">
        <v>292.39881400000002</v>
      </c>
      <c r="AK17" s="1177">
        <v>318.37555700000001</v>
      </c>
      <c r="AL17" s="1177">
        <v>269.69703600000003</v>
      </c>
      <c r="AM17" s="1177">
        <v>488.977036</v>
      </c>
      <c r="AN17" s="1177">
        <v>351.79370699999998</v>
      </c>
      <c r="AO17" s="1177">
        <v>1015.741347</v>
      </c>
      <c r="AP17" s="1177">
        <v>589.17118400000004</v>
      </c>
      <c r="AQ17" s="1177">
        <v>654.22222299999999</v>
      </c>
      <c r="AR17" s="1177">
        <v>526.74670600000002</v>
      </c>
      <c r="AS17" s="1177">
        <v>543.17791199999999</v>
      </c>
      <c r="AT17" s="1177"/>
      <c r="AU17" s="1179">
        <f t="shared" si="7"/>
        <v>483.37790466666667</v>
      </c>
      <c r="AV17" s="1180">
        <v>345.08014800000001</v>
      </c>
      <c r="AW17" s="1177">
        <v>240.106741</v>
      </c>
      <c r="AX17" s="1177">
        <v>556.12083199999995</v>
      </c>
      <c r="AY17" s="1177">
        <v>814.09770000000003</v>
      </c>
      <c r="AZ17" s="1177">
        <v>580.22825</v>
      </c>
      <c r="BA17" s="1177"/>
      <c r="BB17" s="1177"/>
      <c r="BC17" s="1177"/>
      <c r="BD17" s="1177"/>
      <c r="BE17" s="1177"/>
      <c r="BF17" s="1177"/>
      <c r="BG17" s="1177"/>
      <c r="BH17" s="1177">
        <f t="shared" si="8"/>
        <v>507.12673419999999</v>
      </c>
      <c r="BI17" s="1182" cm="1">
        <f t="array" ref="BI17">INDEX(BL17:BW17,$BL$1)</f>
        <v>167.77815575757575</v>
      </c>
      <c r="BJ17" s="1189"/>
      <c r="BK17" s="1503"/>
      <c r="BL17" s="1177">
        <v>147.75223075757575</v>
      </c>
      <c r="BM17" s="1177">
        <v>147.75223075757575</v>
      </c>
      <c r="BN17" s="1177">
        <v>147.75223075757575</v>
      </c>
      <c r="BO17" s="1177">
        <v>202.75223075757575</v>
      </c>
      <c r="BP17" s="1177">
        <v>167.77815575757575</v>
      </c>
      <c r="BQ17" s="1177">
        <v>216.17815575757575</v>
      </c>
      <c r="BR17" s="1177">
        <v>167.77815575757575</v>
      </c>
      <c r="BS17" s="1177">
        <v>216.17815575757575</v>
      </c>
      <c r="BT17" s="1177">
        <v>167.77815575757575</v>
      </c>
      <c r="BU17" s="1177">
        <v>216.17815575757575</v>
      </c>
      <c r="BV17" s="1177">
        <v>168.73815575757575</v>
      </c>
      <c r="BW17" s="1177">
        <v>171.07815575757576</v>
      </c>
      <c r="BX17" s="797">
        <f>SUM(BL17:BW17)</f>
        <v>2137.6941690909084</v>
      </c>
      <c r="BY17" s="1491">
        <f t="shared" si="10"/>
        <v>0</v>
      </c>
      <c r="BZ17" s="1177"/>
      <c r="CA17" s="1177"/>
      <c r="CB17" s="1177"/>
      <c r="CC17" s="1177"/>
      <c r="CD17" s="1177"/>
      <c r="CE17" s="1177"/>
      <c r="CF17" s="1177"/>
      <c r="CG17" s="1177"/>
      <c r="CH17" s="1177"/>
      <c r="CI17" s="1177"/>
      <c r="CJ17" s="1177"/>
      <c r="CK17" s="1177"/>
      <c r="CL17" s="797">
        <f>SUM(BZ17:CK17)</f>
        <v>0</v>
      </c>
      <c r="CN17" s="1177"/>
      <c r="CO17" s="1177"/>
      <c r="CP17" s="1177"/>
      <c r="CQ17" s="1177"/>
      <c r="CR17" s="1177"/>
      <c r="CS17" s="1177"/>
      <c r="CT17" s="1177"/>
      <c r="CU17" s="1177"/>
      <c r="CV17" s="1177"/>
      <c r="CW17" s="1177"/>
      <c r="CX17" s="1177"/>
      <c r="CY17" s="1177"/>
      <c r="CZ17" s="797">
        <f>SUM(CN17:CY17)</f>
        <v>0</v>
      </c>
      <c r="DB17" s="1177">
        <v>0</v>
      </c>
      <c r="DC17" s="1177">
        <v>0</v>
      </c>
      <c r="DD17" s="1177">
        <v>0</v>
      </c>
      <c r="DE17" s="1177">
        <v>0</v>
      </c>
      <c r="DF17" s="1177">
        <v>0</v>
      </c>
      <c r="DG17" s="1177">
        <v>0</v>
      </c>
      <c r="DH17" s="1177">
        <v>0</v>
      </c>
      <c r="DI17" s="1177">
        <v>0</v>
      </c>
      <c r="DJ17" s="1177">
        <v>0</v>
      </c>
      <c r="DK17" s="1177">
        <v>0</v>
      </c>
      <c r="DL17" s="1177">
        <v>0</v>
      </c>
      <c r="DM17" s="1177">
        <v>0</v>
      </c>
      <c r="DN17" s="797">
        <f>SUM(DB17:DM17)</f>
        <v>0</v>
      </c>
      <c r="DP17" s="1177"/>
      <c r="DQ17" s="1177"/>
      <c r="DR17" s="1177"/>
      <c r="DS17" s="1177"/>
      <c r="DT17" s="1177"/>
      <c r="DU17" s="1177"/>
      <c r="DV17" s="1177"/>
      <c r="DW17" s="1177"/>
      <c r="DX17" s="1177"/>
      <c r="DY17" s="1177"/>
      <c r="DZ17" s="1177"/>
      <c r="EA17" s="1177"/>
      <c r="EB17" s="797">
        <f>SUM(DP17:EA17)</f>
        <v>0</v>
      </c>
      <c r="ED17" s="1177">
        <v>147.75223075757575</v>
      </c>
      <c r="EE17" s="1177">
        <v>147.75223075757575</v>
      </c>
      <c r="EF17" s="1177">
        <v>147.75223075757575</v>
      </c>
      <c r="EG17" s="1177">
        <v>202.75223075757575</v>
      </c>
      <c r="EH17" s="1177">
        <v>167.77815575757575</v>
      </c>
      <c r="EI17" s="1177">
        <v>216.17815575757575</v>
      </c>
      <c r="EJ17" s="1177">
        <v>167.77815575757575</v>
      </c>
      <c r="EK17" s="1177">
        <v>216.17815575757575</v>
      </c>
      <c r="EL17" s="1177">
        <v>167.77815575757575</v>
      </c>
      <c r="EM17" s="1177">
        <v>216.17815575757575</v>
      </c>
      <c r="EN17" s="1177">
        <v>168.73815575757575</v>
      </c>
      <c r="EO17" s="1177">
        <v>171.07815575757576</v>
      </c>
      <c r="EP17" s="797">
        <f>SUM(ED17:EO17)</f>
        <v>2137.6941690909084</v>
      </c>
      <c r="ER17" s="1177">
        <v>0</v>
      </c>
      <c r="ES17" s="1177">
        <v>0</v>
      </c>
      <c r="ET17" s="1177">
        <v>0</v>
      </c>
      <c r="EU17" s="1177">
        <v>0</v>
      </c>
      <c r="EV17" s="1177">
        <v>0</v>
      </c>
      <c r="EW17" s="1177">
        <v>0</v>
      </c>
      <c r="EX17" s="1177">
        <v>0</v>
      </c>
      <c r="EY17" s="1177">
        <v>0</v>
      </c>
      <c r="EZ17" s="1177">
        <v>0</v>
      </c>
      <c r="FA17" s="1177">
        <v>0</v>
      </c>
      <c r="FB17" s="1177">
        <v>0</v>
      </c>
      <c r="FC17" s="1177">
        <v>0</v>
      </c>
      <c r="FD17" s="797">
        <f>SUM(ER17:FC17)</f>
        <v>0</v>
      </c>
      <c r="FF17" s="1177"/>
      <c r="FG17" s="1177"/>
      <c r="FH17" s="1177"/>
      <c r="FI17" s="1177"/>
      <c r="FJ17" s="1177"/>
      <c r="FK17" s="1177"/>
      <c r="FL17" s="1177"/>
      <c r="FM17" s="1177"/>
      <c r="FN17" s="1177"/>
      <c r="FO17" s="1177"/>
      <c r="FP17" s="1177"/>
      <c r="FQ17" s="1177"/>
      <c r="FR17" s="797">
        <f>SUM(FF17:FQ17)</f>
        <v>0</v>
      </c>
    </row>
    <row r="18" spans="1:174" ht="14.15" hidden="1" customHeight="1">
      <c r="A18" s="422">
        <f t="shared" si="3"/>
        <v>15</v>
      </c>
      <c r="B18" s="422" t="s">
        <v>425</v>
      </c>
      <c r="C18" s="1175" t="s">
        <v>437</v>
      </c>
      <c r="D18" s="1175" t="s">
        <v>835</v>
      </c>
      <c r="E18" s="1176" t="s">
        <v>827</v>
      </c>
      <c r="F18" s="1177">
        <v>92.851895999999996</v>
      </c>
      <c r="G18" s="1177">
        <v>113.22258100000001</v>
      </c>
      <c r="H18" s="1177">
        <v>159.68341899999999</v>
      </c>
      <c r="I18" s="1177">
        <v>108.30909699999999</v>
      </c>
      <c r="J18" s="1177">
        <v>162.76302200000001</v>
      </c>
      <c r="K18" s="1177">
        <v>193.360625</v>
      </c>
      <c r="L18" s="1177">
        <v>135.11064500000001</v>
      </c>
      <c r="M18" s="1177">
        <v>93.960159000000004</v>
      </c>
      <c r="N18" s="1177">
        <v>59.163989999999998</v>
      </c>
      <c r="O18" s="1177">
        <v>55.902678999999999</v>
      </c>
      <c r="P18" s="1177">
        <v>50.242654999999999</v>
      </c>
      <c r="Q18" s="1178">
        <v>118.635864</v>
      </c>
      <c r="R18" s="1179">
        <f t="shared" si="27"/>
        <v>111.93388600000002</v>
      </c>
      <c r="S18" s="1180">
        <v>69.344239000000002</v>
      </c>
      <c r="T18" s="1177">
        <v>65.696956</v>
      </c>
      <c r="U18" s="1177">
        <v>71.977480999999997</v>
      </c>
      <c r="V18" s="1177">
        <v>87.504536000000002</v>
      </c>
      <c r="W18" s="1177">
        <v>181.65412699999999</v>
      </c>
      <c r="X18" s="1177">
        <v>81.847181000000006</v>
      </c>
      <c r="Y18" s="1177">
        <v>73.038004000000001</v>
      </c>
      <c r="Z18" s="1177">
        <v>79.525662999999994</v>
      </c>
      <c r="AA18" s="1177">
        <v>60.357999999999997</v>
      </c>
      <c r="AB18" s="1177">
        <v>87.399765000000002</v>
      </c>
      <c r="AC18" s="1177">
        <v>74.767274</v>
      </c>
      <c r="AD18" s="1177">
        <v>71.777555000000007</v>
      </c>
      <c r="AE18" s="1177">
        <v>0</v>
      </c>
      <c r="AF18" s="1181">
        <f t="shared" si="28"/>
        <v>1004.8907810000001</v>
      </c>
      <c r="AG18" s="1179">
        <f t="shared" si="29"/>
        <v>83.740898416666667</v>
      </c>
      <c r="AH18" s="1180">
        <v>45.727381999999999</v>
      </c>
      <c r="AI18" s="1177">
        <v>53.042850000000001</v>
      </c>
      <c r="AJ18" s="1177">
        <v>68.456312999999994</v>
      </c>
      <c r="AK18" s="1177">
        <v>99.335018000000005</v>
      </c>
      <c r="AL18" s="1177">
        <v>84.974800999999999</v>
      </c>
      <c r="AM18" s="1177">
        <v>72.702527000000003</v>
      </c>
      <c r="AN18" s="1177">
        <v>138.852576</v>
      </c>
      <c r="AO18" s="1177">
        <v>95.803742</v>
      </c>
      <c r="AP18" s="1177">
        <v>141.52082899999999</v>
      </c>
      <c r="AQ18" s="1177">
        <v>136.74355199999999</v>
      </c>
      <c r="AR18" s="1177">
        <v>54.052813</v>
      </c>
      <c r="AS18" s="1177">
        <v>79.987669999999994</v>
      </c>
      <c r="AT18" s="1177"/>
      <c r="AU18" s="1179">
        <f t="shared" si="7"/>
        <v>89.266672750000012</v>
      </c>
      <c r="AV18" s="1180">
        <v>70.029363000000004</v>
      </c>
      <c r="AW18" s="1177">
        <v>41.454301999999998</v>
      </c>
      <c r="AX18" s="1177">
        <v>99.310658000000004</v>
      </c>
      <c r="AY18" s="1177">
        <v>109.596222</v>
      </c>
      <c r="AZ18" s="1177">
        <v>84.135278</v>
      </c>
      <c r="BA18" s="1177"/>
      <c r="BB18" s="1177"/>
      <c r="BC18" s="1177"/>
      <c r="BD18" s="1177"/>
      <c r="BE18" s="1177"/>
      <c r="BF18" s="1177"/>
      <c r="BG18" s="1177"/>
      <c r="BH18" s="1177">
        <f t="shared" si="8"/>
        <v>80.905164600000006</v>
      </c>
      <c r="BI18" s="1182" cm="1">
        <f t="array" ref="BI18">INDEX(BL18:BW18,$BL$1)</f>
        <v>122.35857906666668</v>
      </c>
      <c r="BJ18" s="1184"/>
      <c r="BK18" s="1503"/>
      <c r="BL18" s="1177">
        <v>117.85857906666668</v>
      </c>
      <c r="BM18" s="1177">
        <v>130.10857906666666</v>
      </c>
      <c r="BN18" s="1177">
        <v>125.92056526666669</v>
      </c>
      <c r="BO18" s="1177">
        <v>121.27056526666668</v>
      </c>
      <c r="BP18" s="1177">
        <v>122.35857906666668</v>
      </c>
      <c r="BQ18" s="1177">
        <v>133.31656526666669</v>
      </c>
      <c r="BR18" s="1177">
        <v>125.77056526666668</v>
      </c>
      <c r="BS18" s="1177">
        <v>133.52056526666669</v>
      </c>
      <c r="BT18" s="1177">
        <v>122.50857906666668</v>
      </c>
      <c r="BU18" s="1177">
        <v>133.52056526666669</v>
      </c>
      <c r="BV18" s="1177">
        <v>121.27056526666668</v>
      </c>
      <c r="BW18" s="1177">
        <v>117.85857906666668</v>
      </c>
      <c r="BX18" s="797">
        <f t="shared" ref="BX18:BX21" si="39">SUM(BL18:BW18)</f>
        <v>1505.2828522</v>
      </c>
      <c r="BY18" s="1491">
        <f t="shared" si="10"/>
        <v>0</v>
      </c>
      <c r="BZ18" s="1177"/>
      <c r="CA18" s="1177"/>
      <c r="CB18" s="1177"/>
      <c r="CC18" s="1177"/>
      <c r="CD18" s="1177"/>
      <c r="CE18" s="1177"/>
      <c r="CF18" s="1177"/>
      <c r="CG18" s="1177"/>
      <c r="CH18" s="1177"/>
      <c r="CI18" s="1177"/>
      <c r="CJ18" s="1177"/>
      <c r="CK18" s="1177"/>
      <c r="CL18" s="797">
        <f t="shared" ref="CL18:CL21" si="40">SUM(BZ18:CK18)</f>
        <v>0</v>
      </c>
      <c r="CN18" s="1177"/>
      <c r="CO18" s="1177"/>
      <c r="CP18" s="1177"/>
      <c r="CQ18" s="1177"/>
      <c r="CR18" s="1177"/>
      <c r="CS18" s="1177"/>
      <c r="CT18" s="1177"/>
      <c r="CU18" s="1177"/>
      <c r="CV18" s="1177"/>
      <c r="CW18" s="1177"/>
      <c r="CX18" s="1177"/>
      <c r="CY18" s="1177"/>
      <c r="CZ18" s="797">
        <f t="shared" ref="CZ18:CZ21" si="41">SUM(CN18:CY18)</f>
        <v>0</v>
      </c>
      <c r="DB18" s="1177">
        <v>117.85857906666668</v>
      </c>
      <c r="DC18" s="1177">
        <v>130.10857906666666</v>
      </c>
      <c r="DD18" s="1177">
        <v>125.92056526666669</v>
      </c>
      <c r="DE18" s="1177">
        <v>121.27056526666668</v>
      </c>
      <c r="DF18" s="1177">
        <v>122.35857906666668</v>
      </c>
      <c r="DG18" s="1177">
        <v>133.31656526666669</v>
      </c>
      <c r="DH18" s="1177">
        <v>125.77056526666668</v>
      </c>
      <c r="DI18" s="1177">
        <v>133.52056526666669</v>
      </c>
      <c r="DJ18" s="1177">
        <v>122.50857906666668</v>
      </c>
      <c r="DK18" s="1177">
        <v>133.52056526666669</v>
      </c>
      <c r="DL18" s="1177">
        <v>121.27056526666668</v>
      </c>
      <c r="DM18" s="1177">
        <v>117.85857906666668</v>
      </c>
      <c r="DN18" s="797">
        <f t="shared" ref="DN18:DN21" si="42">SUM(DB18:DM18)</f>
        <v>1505.2828522</v>
      </c>
      <c r="DP18" s="1177"/>
      <c r="DQ18" s="1177"/>
      <c r="DR18" s="1177"/>
      <c r="DS18" s="1177"/>
      <c r="DT18" s="1177"/>
      <c r="DU18" s="1177"/>
      <c r="DV18" s="1177"/>
      <c r="DW18" s="1177"/>
      <c r="DX18" s="1177"/>
      <c r="DY18" s="1177"/>
      <c r="DZ18" s="1177"/>
      <c r="EA18" s="1177"/>
      <c r="EB18" s="797">
        <f t="shared" ref="EB18:EB21" si="43">SUM(DP18:EA18)</f>
        <v>0</v>
      </c>
      <c r="ED18" s="1177">
        <v>0</v>
      </c>
      <c r="EE18" s="1177">
        <v>0</v>
      </c>
      <c r="EF18" s="1177">
        <v>0</v>
      </c>
      <c r="EG18" s="1177">
        <v>0</v>
      </c>
      <c r="EH18" s="1177">
        <v>0</v>
      </c>
      <c r="EI18" s="1177">
        <v>0</v>
      </c>
      <c r="EJ18" s="1177">
        <v>0</v>
      </c>
      <c r="EK18" s="1177">
        <v>0</v>
      </c>
      <c r="EL18" s="1177">
        <v>0</v>
      </c>
      <c r="EM18" s="1177">
        <v>0</v>
      </c>
      <c r="EN18" s="1177">
        <v>0</v>
      </c>
      <c r="EO18" s="1177">
        <v>0</v>
      </c>
      <c r="EP18" s="797">
        <f t="shared" ref="EP18:EP21" si="44">SUM(ED18:EO18)</f>
        <v>0</v>
      </c>
      <c r="ER18" s="1177">
        <v>0</v>
      </c>
      <c r="ES18" s="1177">
        <v>0</v>
      </c>
      <c r="ET18" s="1177">
        <v>0</v>
      </c>
      <c r="EU18" s="1177">
        <v>0</v>
      </c>
      <c r="EV18" s="1177">
        <v>0</v>
      </c>
      <c r="EW18" s="1177">
        <v>0</v>
      </c>
      <c r="EX18" s="1177">
        <v>0</v>
      </c>
      <c r="EY18" s="1177">
        <v>0</v>
      </c>
      <c r="EZ18" s="1177">
        <v>0</v>
      </c>
      <c r="FA18" s="1177">
        <v>0</v>
      </c>
      <c r="FB18" s="1177">
        <v>0</v>
      </c>
      <c r="FC18" s="1177">
        <v>0</v>
      </c>
      <c r="FD18" s="797">
        <f t="shared" ref="FD18:FD21" si="45">SUM(ER18:FC18)</f>
        <v>0</v>
      </c>
      <c r="FF18" s="1177"/>
      <c r="FG18" s="1177"/>
      <c r="FH18" s="1177"/>
      <c r="FI18" s="1177"/>
      <c r="FJ18" s="1177"/>
      <c r="FK18" s="1177"/>
      <c r="FL18" s="1177"/>
      <c r="FM18" s="1177"/>
      <c r="FN18" s="1177"/>
      <c r="FO18" s="1177"/>
      <c r="FP18" s="1177"/>
      <c r="FQ18" s="1177"/>
      <c r="FR18" s="797">
        <f t="shared" ref="FR18:FR21" si="46">SUM(FF18:FQ18)</f>
        <v>0</v>
      </c>
    </row>
    <row r="19" spans="1:174" ht="14.15" hidden="1" customHeight="1">
      <c r="A19" s="422">
        <f t="shared" si="3"/>
        <v>16</v>
      </c>
      <c r="B19" s="422" t="s">
        <v>425</v>
      </c>
      <c r="C19" s="422" t="s">
        <v>433</v>
      </c>
      <c r="D19" s="1175" t="s">
        <v>836</v>
      </c>
      <c r="E19" s="1176" t="s">
        <v>827</v>
      </c>
      <c r="F19" s="1177">
        <v>39.315077000000002</v>
      </c>
      <c r="G19" s="1177">
        <v>118.38605</v>
      </c>
      <c r="H19" s="1177">
        <v>28.943300000000001</v>
      </c>
      <c r="I19" s="1177">
        <v>155.44122300000001</v>
      </c>
      <c r="J19" s="1177">
        <v>101.04413700000001</v>
      </c>
      <c r="K19" s="1177">
        <v>43.475189</v>
      </c>
      <c r="L19" s="1177">
        <v>82.915527999999995</v>
      </c>
      <c r="M19" s="1177">
        <v>39.278489</v>
      </c>
      <c r="N19" s="1177">
        <v>50.490042000000003</v>
      </c>
      <c r="O19" s="1177">
        <v>12.929349999999999</v>
      </c>
      <c r="P19" s="1177">
        <v>17.69772</v>
      </c>
      <c r="Q19" s="1178">
        <v>41.241410999999999</v>
      </c>
      <c r="R19" s="1179">
        <f t="shared" si="27"/>
        <v>60.929792999999997</v>
      </c>
      <c r="S19" s="1180">
        <v>39.932242000000002</v>
      </c>
      <c r="T19" s="1177">
        <v>17.638089999999998</v>
      </c>
      <c r="U19" s="1177">
        <v>26.732105000000001</v>
      </c>
      <c r="V19" s="1177">
        <v>51.36788</v>
      </c>
      <c r="W19" s="1177">
        <v>112.855974</v>
      </c>
      <c r="X19" s="1177">
        <v>37.292253000000002</v>
      </c>
      <c r="Y19" s="1177">
        <v>129.19365400000001</v>
      </c>
      <c r="Z19" s="1177">
        <v>53.966382000000003</v>
      </c>
      <c r="AA19" s="1177">
        <v>77.179580000000001</v>
      </c>
      <c r="AB19" s="1177">
        <v>70.416405999999995</v>
      </c>
      <c r="AC19" s="1177">
        <v>37.993709000000003</v>
      </c>
      <c r="AD19" s="1177">
        <v>168.98879199999999</v>
      </c>
      <c r="AE19" s="1177">
        <v>0</v>
      </c>
      <c r="AF19" s="1181">
        <f t="shared" si="28"/>
        <v>823.55706699999996</v>
      </c>
      <c r="AG19" s="1179">
        <f t="shared" si="29"/>
        <v>68.629755583333335</v>
      </c>
      <c r="AH19" s="1180">
        <v>84.282499999999999</v>
      </c>
      <c r="AI19" s="1177">
        <v>101.295947</v>
      </c>
      <c r="AJ19" s="1177">
        <v>84.542195000000007</v>
      </c>
      <c r="AK19" s="1177">
        <v>73.205596</v>
      </c>
      <c r="AL19" s="1177">
        <v>83.843356</v>
      </c>
      <c r="AM19" s="1177">
        <v>53.143155</v>
      </c>
      <c r="AN19" s="1177">
        <v>65.933961999999994</v>
      </c>
      <c r="AO19" s="1177">
        <v>69.936926</v>
      </c>
      <c r="AP19" s="1177">
        <v>103.960145</v>
      </c>
      <c r="AQ19" s="1177">
        <v>129.51427799999999</v>
      </c>
      <c r="AR19" s="1177">
        <v>205.85413199999999</v>
      </c>
      <c r="AS19" s="1177">
        <v>155.018348</v>
      </c>
      <c r="AT19" s="1177"/>
      <c r="AU19" s="1179">
        <f t="shared" si="7"/>
        <v>100.877545</v>
      </c>
      <c r="AV19" s="1180">
        <v>49.062382999999997</v>
      </c>
      <c r="AW19" s="1531">
        <f>170.99023-114.905933</f>
        <v>56.084296999999992</v>
      </c>
      <c r="AX19" s="1531">
        <f>416.115796-381.949664</f>
        <v>34.166132000000005</v>
      </c>
      <c r="AY19" s="1531">
        <f>163.830768-29.65415</f>
        <v>134.17661800000002</v>
      </c>
      <c r="AZ19" s="1177">
        <v>36.569830000000003</v>
      </c>
      <c r="BA19" s="1177"/>
      <c r="BB19" s="1177"/>
      <c r="BC19" s="1177"/>
      <c r="BD19" s="1177"/>
      <c r="BE19" s="1177"/>
      <c r="BF19" s="1177"/>
      <c r="BG19" s="1177"/>
      <c r="BH19" s="1177">
        <f t="shared" si="8"/>
        <v>62.011852000000012</v>
      </c>
      <c r="BI19" s="1182" cm="1">
        <f t="array" ref="BI19">INDEX(BL19:BW19,$BL$1)</f>
        <v>44.377777777777773</v>
      </c>
      <c r="BJ19" s="1184"/>
      <c r="BK19" s="1503"/>
      <c r="BL19" s="1531">
        <f>51.4544926944444-2.08333333333333</f>
        <v>49.371159361111069</v>
      </c>
      <c r="BM19" s="1531">
        <f>70.3594926944444-2.08333333333333</f>
        <v>68.27615936111107</v>
      </c>
      <c r="BN19" s="1531">
        <f>58.9844926944444-2.08333333333333</f>
        <v>56.90115936111107</v>
      </c>
      <c r="BO19" s="1531">
        <f>37.4111111111111-2.08333333333333</f>
        <v>35.327777777777769</v>
      </c>
      <c r="BP19" s="1531">
        <f>46.4611111111111-2.08333333333333</f>
        <v>44.377777777777773</v>
      </c>
      <c r="BQ19" s="1531">
        <f>50.5361111111111-2.08333333333333</f>
        <v>48.452777777777769</v>
      </c>
      <c r="BR19" s="1531">
        <f>41.1611111111111-2.08333333333333</f>
        <v>39.077777777777769</v>
      </c>
      <c r="BS19" s="1531">
        <f>32.6611111111111-2.08333333333333</f>
        <v>30.577777777777769</v>
      </c>
      <c r="BT19" s="1531">
        <f>29.3811111111111-2.08333333333333</f>
        <v>27.297777777777771</v>
      </c>
      <c r="BU19" s="1531">
        <f>73.3383333333333-2.08333333333333</f>
        <v>71.254999999999967</v>
      </c>
      <c r="BV19" s="1531">
        <f>29.8833333333333-2.08333333333333</f>
        <v>27.799999999999972</v>
      </c>
      <c r="BW19" s="1531">
        <f>26.6333333333333-2.08333333333333</f>
        <v>24.549999999999972</v>
      </c>
      <c r="BX19" s="797">
        <f t="shared" si="39"/>
        <v>523.26514474999965</v>
      </c>
      <c r="BY19" s="1491">
        <f t="shared" si="10"/>
        <v>-25.000000000000455</v>
      </c>
      <c r="BZ19" s="1177"/>
      <c r="CA19" s="1177"/>
      <c r="CB19" s="1177"/>
      <c r="CC19" s="1177"/>
      <c r="CD19" s="1177"/>
      <c r="CE19" s="1177"/>
      <c r="CF19" s="1177"/>
      <c r="CG19" s="1177"/>
      <c r="CH19" s="1177"/>
      <c r="CI19" s="1177"/>
      <c r="CJ19" s="1177"/>
      <c r="CK19" s="1177"/>
      <c r="CL19" s="797">
        <f t="shared" si="40"/>
        <v>0</v>
      </c>
      <c r="CN19" s="1177"/>
      <c r="CO19" s="1177"/>
      <c r="CP19" s="1177"/>
      <c r="CQ19" s="1177"/>
      <c r="CR19" s="1177"/>
      <c r="CS19" s="1177"/>
      <c r="CT19" s="1177"/>
      <c r="CU19" s="1177"/>
      <c r="CV19" s="1177"/>
      <c r="CW19" s="1177"/>
      <c r="CX19" s="1177"/>
      <c r="CY19" s="1177"/>
      <c r="CZ19" s="797">
        <f t="shared" si="41"/>
        <v>0</v>
      </c>
      <c r="DB19" s="1177">
        <v>26.593381583333336</v>
      </c>
      <c r="DC19" s="1177">
        <v>45.498381583333334</v>
      </c>
      <c r="DD19" s="1177">
        <v>32.123381583333334</v>
      </c>
      <c r="DE19" s="1177">
        <v>12.55</v>
      </c>
      <c r="DF19" s="1177">
        <v>21.6</v>
      </c>
      <c r="DG19" s="1177">
        <v>23.675000000000001</v>
      </c>
      <c r="DH19" s="1177">
        <v>16.3</v>
      </c>
      <c r="DI19" s="1177">
        <v>7.8</v>
      </c>
      <c r="DJ19" s="1177">
        <v>2.52</v>
      </c>
      <c r="DK19" s="1177">
        <v>51.255000000000003</v>
      </c>
      <c r="DL19" s="1177">
        <v>7.8</v>
      </c>
      <c r="DM19" s="1177">
        <v>2.5499999999999998</v>
      </c>
      <c r="DN19" s="797">
        <f t="shared" si="42"/>
        <v>250.26514475000008</v>
      </c>
      <c r="DP19" s="1177"/>
      <c r="DQ19" s="1177"/>
      <c r="DR19" s="1177"/>
      <c r="DS19" s="1177"/>
      <c r="DT19" s="1177"/>
      <c r="DU19" s="1177"/>
      <c r="DV19" s="1177"/>
      <c r="DW19" s="1177"/>
      <c r="DX19" s="1177"/>
      <c r="DY19" s="1177"/>
      <c r="DZ19" s="1177"/>
      <c r="EA19" s="1177"/>
      <c r="EB19" s="797">
        <f t="shared" si="43"/>
        <v>0</v>
      </c>
      <c r="ED19" s="1177">
        <v>24.861111111111111</v>
      </c>
      <c r="EE19" s="1177">
        <v>24.861111111111111</v>
      </c>
      <c r="EF19" s="1177">
        <v>26.861111111111111</v>
      </c>
      <c r="EG19" s="1177">
        <v>24.861111111111111</v>
      </c>
      <c r="EH19" s="1177">
        <v>24.861111111111111</v>
      </c>
      <c r="EI19" s="1177">
        <v>26.861111111111111</v>
      </c>
      <c r="EJ19" s="1177">
        <v>24.861111111111111</v>
      </c>
      <c r="EK19" s="1177">
        <v>24.861111111111111</v>
      </c>
      <c r="EL19" s="1177">
        <v>26.861111111111104</v>
      </c>
      <c r="EM19" s="1177">
        <v>22.083333333333332</v>
      </c>
      <c r="EN19" s="1177">
        <v>22.083333333333332</v>
      </c>
      <c r="EO19" s="1177">
        <v>24.083333333333332</v>
      </c>
      <c r="EP19" s="797">
        <f t="shared" si="44"/>
        <v>298</v>
      </c>
      <c r="ER19" s="1177">
        <v>0</v>
      </c>
      <c r="ES19" s="1177">
        <v>0</v>
      </c>
      <c r="ET19" s="1177">
        <v>0</v>
      </c>
      <c r="EU19" s="1177">
        <v>0</v>
      </c>
      <c r="EV19" s="1177">
        <v>0</v>
      </c>
      <c r="EW19" s="1177">
        <v>0</v>
      </c>
      <c r="EX19" s="1177">
        <v>0</v>
      </c>
      <c r="EY19" s="1177">
        <v>0</v>
      </c>
      <c r="EZ19" s="1177">
        <v>0</v>
      </c>
      <c r="FA19" s="1177">
        <v>0</v>
      </c>
      <c r="FB19" s="1177">
        <v>0</v>
      </c>
      <c r="FC19" s="1177">
        <v>0</v>
      </c>
      <c r="FD19" s="797">
        <f t="shared" si="45"/>
        <v>0</v>
      </c>
      <c r="FF19" s="1177"/>
      <c r="FG19" s="1177"/>
      <c r="FH19" s="1177"/>
      <c r="FI19" s="1177"/>
      <c r="FJ19" s="1177"/>
      <c r="FK19" s="1177"/>
      <c r="FL19" s="1177"/>
      <c r="FM19" s="1177"/>
      <c r="FN19" s="1177"/>
      <c r="FO19" s="1177"/>
      <c r="FP19" s="1177"/>
      <c r="FQ19" s="1177"/>
      <c r="FR19" s="797">
        <f t="shared" si="46"/>
        <v>0</v>
      </c>
    </row>
    <row r="20" spans="1:174" ht="14.15" hidden="1" customHeight="1">
      <c r="A20" s="422">
        <f t="shared" si="3"/>
        <v>17</v>
      </c>
      <c r="B20" s="422" t="s">
        <v>425</v>
      </c>
      <c r="C20" s="422" t="s">
        <v>433</v>
      </c>
      <c r="D20" s="1175" t="s">
        <v>837</v>
      </c>
      <c r="E20" s="1176" t="s">
        <v>827</v>
      </c>
      <c r="F20" s="1177">
        <v>71.4876</v>
      </c>
      <c r="G20" s="1177">
        <v>22.832809000000001</v>
      </c>
      <c r="H20" s="1177">
        <v>0</v>
      </c>
      <c r="I20" s="1177">
        <v>0</v>
      </c>
      <c r="J20" s="1177">
        <v>76.912172999999996</v>
      </c>
      <c r="K20" s="1177">
        <v>68.92</v>
      </c>
      <c r="L20" s="1177">
        <v>45.181908</v>
      </c>
      <c r="M20" s="1177">
        <v>36.72</v>
      </c>
      <c r="N20" s="1177">
        <v>28.744698</v>
      </c>
      <c r="O20" s="1177">
        <f>62.7196+38.361535</f>
        <v>101.081135</v>
      </c>
      <c r="P20" s="1177">
        <f>54.763819+39.8</f>
        <v>94.563818999999995</v>
      </c>
      <c r="Q20" s="1178">
        <v>143.74413699999999</v>
      </c>
      <c r="R20" s="1179">
        <f t="shared" si="27"/>
        <v>57.515689916666666</v>
      </c>
      <c r="S20" s="1180">
        <v>81.483200999999994</v>
      </c>
      <c r="T20" s="1177">
        <v>25.707972999999999</v>
      </c>
      <c r="U20" s="1177">
        <v>16.005742000000001</v>
      </c>
      <c r="V20" s="1177">
        <v>13.073878000000001</v>
      </c>
      <c r="W20" s="1177">
        <v>30.752351999999998</v>
      </c>
      <c r="X20" s="1177">
        <v>8.2593219999999992</v>
      </c>
      <c r="Y20" s="1177">
        <v>18.239467000000001</v>
      </c>
      <c r="Z20" s="1177">
        <v>22.414930999999999</v>
      </c>
      <c r="AA20" s="1177">
        <v>11.566565000000001</v>
      </c>
      <c r="AB20" s="1177">
        <v>24.152785000000002</v>
      </c>
      <c r="AC20" s="1177">
        <v>39.165312999999998</v>
      </c>
      <c r="AD20" s="1177">
        <v>23.007807</v>
      </c>
      <c r="AE20" s="1177">
        <v>0</v>
      </c>
      <c r="AF20" s="1181">
        <f t="shared" si="28"/>
        <v>313.82933599999996</v>
      </c>
      <c r="AG20" s="1179">
        <f t="shared" si="29"/>
        <v>26.152444666666664</v>
      </c>
      <c r="AH20" s="1180">
        <v>12.427568000000001</v>
      </c>
      <c r="AI20" s="1177">
        <v>24.043178999999999</v>
      </c>
      <c r="AJ20" s="1177">
        <v>35.059730999999999</v>
      </c>
      <c r="AK20" s="1177">
        <v>38.844907999999997</v>
      </c>
      <c r="AL20" s="1177">
        <v>22.092518999999999</v>
      </c>
      <c r="AM20" s="1177">
        <v>50.022796</v>
      </c>
      <c r="AN20" s="1177">
        <v>52.826458000000002</v>
      </c>
      <c r="AO20" s="1177">
        <v>31.120740000000001</v>
      </c>
      <c r="AP20" s="1177">
        <v>39.038530999999999</v>
      </c>
      <c r="AQ20" s="1177">
        <v>35.154823999999998</v>
      </c>
      <c r="AR20" s="1177">
        <v>30.469470000000001</v>
      </c>
      <c r="AS20" s="1177">
        <v>46.667845</v>
      </c>
      <c r="AT20" s="1177"/>
      <c r="AU20" s="1179">
        <f t="shared" si="7"/>
        <v>34.814047416666668</v>
      </c>
      <c r="AV20" s="1180">
        <v>121.00608</v>
      </c>
      <c r="AW20" s="1177">
        <v>110.621227</v>
      </c>
      <c r="AX20" s="1177">
        <v>170.42600400000001</v>
      </c>
      <c r="AY20" s="1177">
        <v>167.40077199999999</v>
      </c>
      <c r="AZ20" s="1177">
        <v>162.800105</v>
      </c>
      <c r="BA20" s="1177"/>
      <c r="BB20" s="1177"/>
      <c r="BC20" s="1177"/>
      <c r="BD20" s="1177"/>
      <c r="BE20" s="1177"/>
      <c r="BF20" s="1177"/>
      <c r="BG20" s="1177"/>
      <c r="BH20" s="1177">
        <f t="shared" si="8"/>
        <v>146.4508376</v>
      </c>
      <c r="BI20" s="1182" cm="1">
        <f t="array" ref="BI20">INDEX(BL20:BW20,$BL$1)</f>
        <v>196.52577506880664</v>
      </c>
      <c r="BJ20" s="1183"/>
      <c r="BK20" s="1503"/>
      <c r="BL20" s="1177">
        <v>189.77688996419838</v>
      </c>
      <c r="BM20" s="1177">
        <v>178.75622123590563</v>
      </c>
      <c r="BN20" s="1177">
        <v>205.72918706880665</v>
      </c>
      <c r="BO20" s="1177">
        <v>203.32607365130562</v>
      </c>
      <c r="BP20" s="1177">
        <v>196.52577506880664</v>
      </c>
      <c r="BQ20" s="1177">
        <v>216.81684463940087</v>
      </c>
      <c r="BR20" s="1177">
        <v>211.68600093731663</v>
      </c>
      <c r="BS20" s="1177">
        <v>207.72992439353783</v>
      </c>
      <c r="BT20" s="1177">
        <v>218.77089113606755</v>
      </c>
      <c r="BU20" s="1177">
        <v>211.13265601796178</v>
      </c>
      <c r="BV20" s="1177">
        <v>212.74902705273422</v>
      </c>
      <c r="BW20" s="1177">
        <v>216.31432615160233</v>
      </c>
      <c r="BX20" s="797">
        <f t="shared" si="39"/>
        <v>2469.3138173176444</v>
      </c>
      <c r="BY20" s="1491">
        <f t="shared" si="10"/>
        <v>0</v>
      </c>
      <c r="BZ20" s="1177"/>
      <c r="CA20" s="1177"/>
      <c r="CB20" s="1177"/>
      <c r="CC20" s="1177"/>
      <c r="CD20" s="1177"/>
      <c r="CE20" s="1177"/>
      <c r="CF20" s="1177"/>
      <c r="CG20" s="1177"/>
      <c r="CH20" s="1177"/>
      <c r="CI20" s="1177"/>
      <c r="CJ20" s="1177"/>
      <c r="CK20" s="1177"/>
      <c r="CL20" s="797">
        <f t="shared" si="40"/>
        <v>0</v>
      </c>
      <c r="CN20" s="1177"/>
      <c r="CO20" s="1177"/>
      <c r="CP20" s="1177"/>
      <c r="CQ20" s="1177"/>
      <c r="CR20" s="1177"/>
      <c r="CS20" s="1177"/>
      <c r="CT20" s="1177"/>
      <c r="CU20" s="1177"/>
      <c r="CV20" s="1177"/>
      <c r="CW20" s="1177"/>
      <c r="CX20" s="1177"/>
      <c r="CY20" s="1177"/>
      <c r="CZ20" s="797">
        <f t="shared" si="41"/>
        <v>0</v>
      </c>
      <c r="DB20" s="1177">
        <v>189.77688996419838</v>
      </c>
      <c r="DC20" s="1177">
        <v>178.75622123590563</v>
      </c>
      <c r="DD20" s="1177">
        <v>205.72918706880665</v>
      </c>
      <c r="DE20" s="1177">
        <v>203.32607365130562</v>
      </c>
      <c r="DF20" s="1177">
        <v>196.52577506880664</v>
      </c>
      <c r="DG20" s="1177">
        <v>216.81684463940087</v>
      </c>
      <c r="DH20" s="1177">
        <v>211.68600093731663</v>
      </c>
      <c r="DI20" s="1177">
        <v>207.72992439353783</v>
      </c>
      <c r="DJ20" s="1177">
        <v>218.77089113606755</v>
      </c>
      <c r="DK20" s="1177">
        <v>211.13265601796178</v>
      </c>
      <c r="DL20" s="1177">
        <v>212.74902705273422</v>
      </c>
      <c r="DM20" s="1177">
        <v>216.31432615160233</v>
      </c>
      <c r="DN20" s="797">
        <f t="shared" si="42"/>
        <v>2469.3138173176444</v>
      </c>
      <c r="DP20" s="1177"/>
      <c r="DQ20" s="1177"/>
      <c r="DR20" s="1177"/>
      <c r="DS20" s="1177"/>
      <c r="DT20" s="1177"/>
      <c r="DU20" s="1177"/>
      <c r="DV20" s="1177"/>
      <c r="DW20" s="1177"/>
      <c r="DX20" s="1177"/>
      <c r="DY20" s="1177"/>
      <c r="DZ20" s="1177"/>
      <c r="EA20" s="1177"/>
      <c r="EB20" s="797">
        <f t="shared" si="43"/>
        <v>0</v>
      </c>
      <c r="ED20" s="1177">
        <v>0</v>
      </c>
      <c r="EE20" s="1177">
        <v>0</v>
      </c>
      <c r="EF20" s="1177">
        <v>0</v>
      </c>
      <c r="EG20" s="1177">
        <v>0</v>
      </c>
      <c r="EH20" s="1177">
        <v>0</v>
      </c>
      <c r="EI20" s="1177">
        <v>0</v>
      </c>
      <c r="EJ20" s="1177">
        <v>0</v>
      </c>
      <c r="EK20" s="1177">
        <v>0</v>
      </c>
      <c r="EL20" s="1177">
        <v>0</v>
      </c>
      <c r="EM20" s="1177">
        <v>0</v>
      </c>
      <c r="EN20" s="1177">
        <v>0</v>
      </c>
      <c r="EO20" s="1177">
        <v>0</v>
      </c>
      <c r="EP20" s="797">
        <f t="shared" si="44"/>
        <v>0</v>
      </c>
      <c r="ER20" s="1177">
        <v>0</v>
      </c>
      <c r="ES20" s="1177">
        <v>0</v>
      </c>
      <c r="ET20" s="1177">
        <v>0</v>
      </c>
      <c r="EU20" s="1177">
        <v>0</v>
      </c>
      <c r="EV20" s="1177">
        <v>0</v>
      </c>
      <c r="EW20" s="1177">
        <v>0</v>
      </c>
      <c r="EX20" s="1177">
        <v>0</v>
      </c>
      <c r="EY20" s="1177">
        <v>0</v>
      </c>
      <c r="EZ20" s="1177">
        <v>0</v>
      </c>
      <c r="FA20" s="1177">
        <v>0</v>
      </c>
      <c r="FB20" s="1177">
        <v>0</v>
      </c>
      <c r="FC20" s="1177">
        <v>0</v>
      </c>
      <c r="FD20" s="797">
        <f t="shared" si="45"/>
        <v>0</v>
      </c>
      <c r="FF20" s="1177"/>
      <c r="FG20" s="1177"/>
      <c r="FH20" s="1177"/>
      <c r="FI20" s="1177"/>
      <c r="FJ20" s="1177"/>
      <c r="FK20" s="1177"/>
      <c r="FL20" s="1177"/>
      <c r="FM20" s="1177"/>
      <c r="FN20" s="1177"/>
      <c r="FO20" s="1177"/>
      <c r="FP20" s="1177"/>
      <c r="FQ20" s="1177"/>
      <c r="FR20" s="797">
        <f t="shared" si="46"/>
        <v>0</v>
      </c>
    </row>
    <row r="21" spans="1:174" ht="14.15" hidden="1" customHeight="1">
      <c r="A21" s="422">
        <f t="shared" si="3"/>
        <v>18</v>
      </c>
      <c r="B21" s="422" t="s">
        <v>425</v>
      </c>
      <c r="C21" s="422" t="s">
        <v>439</v>
      </c>
      <c r="D21" s="1175" t="s">
        <v>439</v>
      </c>
      <c r="E21" s="1176" t="s">
        <v>827</v>
      </c>
      <c r="F21" s="1177">
        <v>0</v>
      </c>
      <c r="G21" s="1177">
        <v>0</v>
      </c>
      <c r="H21" s="1177">
        <v>0</v>
      </c>
      <c r="I21" s="1177">
        <v>81.42</v>
      </c>
      <c r="J21" s="1177">
        <v>54.022096999999995</v>
      </c>
      <c r="K21" s="1177">
        <v>61.597110999999998</v>
      </c>
      <c r="L21" s="1177">
        <v>33.630000000000003</v>
      </c>
      <c r="M21" s="1177">
        <v>68.504600000000011</v>
      </c>
      <c r="N21" s="1177">
        <v>44.922600000000003</v>
      </c>
      <c r="O21" s="1177">
        <v>0</v>
      </c>
      <c r="P21" s="1177">
        <v>22.420062999999999</v>
      </c>
      <c r="Q21" s="1178">
        <v>0.13513700000000001</v>
      </c>
      <c r="R21" s="1179">
        <f t="shared" si="27"/>
        <v>30.554300666666666</v>
      </c>
      <c r="S21" s="1180">
        <v>22.973268999999998</v>
      </c>
      <c r="T21" s="1177">
        <v>0</v>
      </c>
      <c r="U21" s="1177">
        <v>23.045940000000002</v>
      </c>
      <c r="V21" s="1177">
        <v>0</v>
      </c>
      <c r="W21" s="1177">
        <v>0</v>
      </c>
      <c r="X21" s="1177">
        <v>10.511874000000001</v>
      </c>
      <c r="Y21" s="1177">
        <v>20.243397999999999</v>
      </c>
      <c r="Z21" s="1177">
        <v>29.591062000000001</v>
      </c>
      <c r="AA21" s="1177">
        <v>0.11293499999999999</v>
      </c>
      <c r="AB21" s="1177">
        <v>40.229782999999998</v>
      </c>
      <c r="AC21" s="1177">
        <v>11.25</v>
      </c>
      <c r="AD21" s="1177">
        <v>7.5</v>
      </c>
      <c r="AE21" s="1177">
        <v>0</v>
      </c>
      <c r="AF21" s="1181">
        <f t="shared" si="28"/>
        <v>165.45826099999999</v>
      </c>
      <c r="AG21" s="1179">
        <f t="shared" si="29"/>
        <v>13.788188416666666</v>
      </c>
      <c r="AH21" s="1180">
        <v>69.350499999999997</v>
      </c>
      <c r="AI21" s="1177">
        <v>24.741620000000001</v>
      </c>
      <c r="AJ21" s="1177">
        <v>27.060865</v>
      </c>
      <c r="AK21" s="1177">
        <v>59.404617999999999</v>
      </c>
      <c r="AL21" s="1177">
        <v>64.824844999999996</v>
      </c>
      <c r="AM21" s="1177">
        <v>51.009450999999999</v>
      </c>
      <c r="AN21" s="1177">
        <v>0.13318199999999999</v>
      </c>
      <c r="AO21" s="1177">
        <v>22.427802</v>
      </c>
      <c r="AP21" s="1177">
        <v>103.48003300000001</v>
      </c>
      <c r="AQ21" s="1177">
        <v>147.881586</v>
      </c>
      <c r="AR21" s="1177">
        <v>106.00182599999999</v>
      </c>
      <c r="AS21" s="1177">
        <v>124.927651</v>
      </c>
      <c r="AT21" s="1177"/>
      <c r="AU21" s="1179">
        <f t="shared" si="7"/>
        <v>66.770331583333316</v>
      </c>
      <c r="AV21" s="1180">
        <v>120.08</v>
      </c>
      <c r="AW21" s="1177">
        <v>39.67</v>
      </c>
      <c r="AX21" s="1177">
        <v>199.763631</v>
      </c>
      <c r="AY21" s="1177">
        <v>40.458143</v>
      </c>
      <c r="AZ21" s="1177">
        <v>2.6549999999999998</v>
      </c>
      <c r="BA21" s="1177"/>
      <c r="BB21" s="1177"/>
      <c r="BC21" s="1177"/>
      <c r="BD21" s="1177"/>
      <c r="BE21" s="1177"/>
      <c r="BF21" s="1177"/>
      <c r="BG21" s="1177"/>
      <c r="BH21" s="1177">
        <f t="shared" si="8"/>
        <v>80.525354800000002</v>
      </c>
      <c r="BI21" s="1182" cm="1">
        <f t="array" ref="BI21">INDEX(BL21:BW21,$BL$1)</f>
        <v>49.856552724992397</v>
      </c>
      <c r="BJ21" s="1183"/>
      <c r="BK21" s="1503"/>
      <c r="BL21" s="1177">
        <v>55.069493307236243</v>
      </c>
      <c r="BM21" s="1177">
        <v>47.074623377166319</v>
      </c>
      <c r="BN21" s="1177">
        <v>49.856552724992397</v>
      </c>
      <c r="BO21" s="1177">
        <v>57.851422655062336</v>
      </c>
      <c r="BP21" s="1177">
        <v>49.856552724992397</v>
      </c>
      <c r="BQ21" s="1177">
        <v>80.620526828063248</v>
      </c>
      <c r="BR21" s="1177">
        <v>59.242387328975376</v>
      </c>
      <c r="BS21" s="1177">
        <v>54.02944674673153</v>
      </c>
      <c r="BT21" s="1177">
        <v>79.229562154150202</v>
      </c>
      <c r="BU21" s="1177">
        <v>62.024316676801462</v>
      </c>
      <c r="BV21" s="1177">
        <v>51.247517398905444</v>
      </c>
      <c r="BW21" s="1177">
        <v>54.02944674673153</v>
      </c>
      <c r="BX21" s="797">
        <f t="shared" si="39"/>
        <v>700.13184866980851</v>
      </c>
      <c r="BY21" s="1491">
        <f t="shared" si="10"/>
        <v>0</v>
      </c>
      <c r="BZ21" s="1177">
        <f>BL21</f>
        <v>55.069493307236243</v>
      </c>
      <c r="CA21" s="1177">
        <f t="shared" ref="CA21:CK21" si="47">BM21</f>
        <v>47.074623377166319</v>
      </c>
      <c r="CB21" s="1177">
        <f t="shared" si="47"/>
        <v>49.856552724992397</v>
      </c>
      <c r="CC21" s="1177">
        <f t="shared" si="47"/>
        <v>57.851422655062336</v>
      </c>
      <c r="CD21" s="1177">
        <f t="shared" si="47"/>
        <v>49.856552724992397</v>
      </c>
      <c r="CE21" s="1177">
        <f t="shared" si="47"/>
        <v>80.620526828063248</v>
      </c>
      <c r="CF21" s="1177">
        <f t="shared" si="47"/>
        <v>59.242387328975376</v>
      </c>
      <c r="CG21" s="1177">
        <f t="shared" si="47"/>
        <v>54.02944674673153</v>
      </c>
      <c r="CH21" s="1177">
        <f t="shared" si="47"/>
        <v>79.229562154150202</v>
      </c>
      <c r="CI21" s="1177">
        <f t="shared" si="47"/>
        <v>62.024316676801462</v>
      </c>
      <c r="CJ21" s="1177">
        <f t="shared" si="47"/>
        <v>51.247517398905444</v>
      </c>
      <c r="CK21" s="1177">
        <f t="shared" si="47"/>
        <v>54.02944674673153</v>
      </c>
      <c r="CL21" s="797">
        <f t="shared" si="40"/>
        <v>700.13184866980851</v>
      </c>
      <c r="CN21" s="1177"/>
      <c r="CO21" s="1177"/>
      <c r="CP21" s="1177"/>
      <c r="CQ21" s="1177"/>
      <c r="CR21" s="1177"/>
      <c r="CS21" s="1177"/>
      <c r="CT21" s="1177"/>
      <c r="CU21" s="1177"/>
      <c r="CV21" s="1177"/>
      <c r="CW21" s="1177"/>
      <c r="CX21" s="1177"/>
      <c r="CY21" s="1177"/>
      <c r="CZ21" s="797">
        <f t="shared" si="41"/>
        <v>0</v>
      </c>
      <c r="DB21" s="1177">
        <v>0</v>
      </c>
      <c r="DC21" s="1177">
        <v>0</v>
      </c>
      <c r="DD21" s="1177">
        <v>0</v>
      </c>
      <c r="DE21" s="1177">
        <v>0</v>
      </c>
      <c r="DF21" s="1177">
        <v>0</v>
      </c>
      <c r="DG21" s="1177">
        <v>0</v>
      </c>
      <c r="DH21" s="1177">
        <v>0</v>
      </c>
      <c r="DI21" s="1177">
        <v>0</v>
      </c>
      <c r="DJ21" s="1177">
        <v>0</v>
      </c>
      <c r="DK21" s="1177">
        <v>0</v>
      </c>
      <c r="DL21" s="1177">
        <v>0</v>
      </c>
      <c r="DM21" s="1177">
        <v>0</v>
      </c>
      <c r="DN21" s="797">
        <f t="shared" si="42"/>
        <v>0</v>
      </c>
      <c r="DP21" s="1177"/>
      <c r="DQ21" s="1177"/>
      <c r="DR21" s="1177"/>
      <c r="DS21" s="1177"/>
      <c r="DT21" s="1177"/>
      <c r="DU21" s="1177"/>
      <c r="DV21" s="1177"/>
      <c r="DW21" s="1177"/>
      <c r="DX21" s="1177"/>
      <c r="DY21" s="1177"/>
      <c r="DZ21" s="1177"/>
      <c r="EA21" s="1177"/>
      <c r="EB21" s="797">
        <f t="shared" si="43"/>
        <v>0</v>
      </c>
      <c r="ED21" s="1177">
        <v>0</v>
      </c>
      <c r="EE21" s="1177">
        <v>0</v>
      </c>
      <c r="EF21" s="1177">
        <v>0</v>
      </c>
      <c r="EG21" s="1177">
        <v>0</v>
      </c>
      <c r="EH21" s="1177">
        <v>0</v>
      </c>
      <c r="EI21" s="1177">
        <v>0</v>
      </c>
      <c r="EJ21" s="1177">
        <v>0</v>
      </c>
      <c r="EK21" s="1177">
        <v>0</v>
      </c>
      <c r="EL21" s="1177">
        <v>0</v>
      </c>
      <c r="EM21" s="1177">
        <v>0</v>
      </c>
      <c r="EN21" s="1177">
        <v>0</v>
      </c>
      <c r="EO21" s="1177">
        <v>0</v>
      </c>
      <c r="EP21" s="797">
        <f t="shared" si="44"/>
        <v>0</v>
      </c>
      <c r="ER21" s="1177">
        <v>0</v>
      </c>
      <c r="ES21" s="1177">
        <v>0</v>
      </c>
      <c r="ET21" s="1177">
        <v>0</v>
      </c>
      <c r="EU21" s="1177">
        <v>0</v>
      </c>
      <c r="EV21" s="1177">
        <v>0</v>
      </c>
      <c r="EW21" s="1177">
        <v>0</v>
      </c>
      <c r="EX21" s="1177">
        <v>0</v>
      </c>
      <c r="EY21" s="1177">
        <v>0</v>
      </c>
      <c r="EZ21" s="1177">
        <v>0</v>
      </c>
      <c r="FA21" s="1177">
        <v>0</v>
      </c>
      <c r="FB21" s="1177">
        <v>0</v>
      </c>
      <c r="FC21" s="1177">
        <v>0</v>
      </c>
      <c r="FD21" s="797">
        <f t="shared" si="45"/>
        <v>0</v>
      </c>
      <c r="FF21" s="1177"/>
      <c r="FG21" s="1177"/>
      <c r="FH21" s="1177"/>
      <c r="FI21" s="1177"/>
      <c r="FJ21" s="1177"/>
      <c r="FK21" s="1177"/>
      <c r="FL21" s="1177"/>
      <c r="FM21" s="1177"/>
      <c r="FN21" s="1177"/>
      <c r="FO21" s="1177"/>
      <c r="FP21" s="1177"/>
      <c r="FQ21" s="1177"/>
      <c r="FR21" s="797">
        <f t="shared" si="46"/>
        <v>0</v>
      </c>
    </row>
    <row r="22" spans="1:174" s="1171" customFormat="1" hidden="1">
      <c r="A22" s="416" t="s">
        <v>522</v>
      </c>
      <c r="B22" s="417" t="s">
        <v>523</v>
      </c>
      <c r="C22" s="417"/>
      <c r="D22" s="417"/>
      <c r="E22" s="417"/>
      <c r="F22" s="417"/>
      <c r="G22" s="417"/>
      <c r="H22" s="417"/>
      <c r="I22" s="417"/>
      <c r="J22" s="417"/>
      <c r="K22" s="417"/>
      <c r="L22" s="417"/>
      <c r="M22" s="417"/>
      <c r="N22" s="1190"/>
      <c r="O22" s="417"/>
      <c r="P22" s="417"/>
      <c r="Q22" s="1172"/>
      <c r="R22" s="1173"/>
      <c r="S22" s="1174"/>
      <c r="T22" s="417"/>
      <c r="U22" s="417"/>
      <c r="V22" s="417"/>
      <c r="W22" s="417"/>
      <c r="X22" s="417"/>
      <c r="Y22" s="417"/>
      <c r="Z22" s="417"/>
      <c r="AA22" s="417"/>
      <c r="AB22" s="417"/>
      <c r="AC22" s="417"/>
      <c r="AD22" s="417"/>
      <c r="AE22" s="417"/>
      <c r="AF22" s="1172"/>
      <c r="AG22" s="1173"/>
      <c r="AH22" s="1174"/>
      <c r="AI22" s="417"/>
      <c r="AJ22" s="1191"/>
      <c r="AK22" s="417"/>
      <c r="AL22" s="417"/>
      <c r="AM22" s="417"/>
      <c r="AN22" s="417"/>
      <c r="AO22" s="417"/>
      <c r="AP22" s="417"/>
      <c r="AQ22" s="417"/>
      <c r="AR22" s="417"/>
      <c r="AS22" s="417"/>
      <c r="AT22" s="417"/>
      <c r="AU22" s="1173"/>
      <c r="AV22" s="1174"/>
      <c r="AW22" s="417"/>
      <c r="AX22" s="1191"/>
      <c r="AY22" s="417"/>
      <c r="AZ22" s="417"/>
      <c r="BA22" s="417"/>
      <c r="BB22" s="417"/>
      <c r="BC22" s="417"/>
      <c r="BD22" s="417"/>
      <c r="BE22" s="417"/>
      <c r="BF22" s="417"/>
      <c r="BG22" s="417"/>
      <c r="BH22" s="417"/>
      <c r="BI22" s="417"/>
      <c r="BJ22" s="417"/>
      <c r="BK22" s="1503"/>
      <c r="BL22" s="414"/>
      <c r="BM22" s="414"/>
      <c r="BN22" s="414"/>
      <c r="BO22" s="414"/>
      <c r="BP22" s="414"/>
      <c r="BQ22" s="414"/>
      <c r="BR22" s="414"/>
      <c r="BS22" s="414"/>
      <c r="BT22" s="414"/>
      <c r="BU22" s="414"/>
      <c r="BV22" s="414"/>
      <c r="BW22" s="414"/>
      <c r="BX22" s="414"/>
      <c r="BZ22" s="414"/>
      <c r="CA22" s="414"/>
      <c r="CB22" s="414"/>
      <c r="CC22" s="414"/>
      <c r="CD22" s="414"/>
      <c r="CE22" s="414"/>
      <c r="CF22" s="414"/>
      <c r="CG22" s="414"/>
      <c r="CH22" s="414"/>
      <c r="CI22" s="414"/>
      <c r="CJ22" s="414"/>
      <c r="CK22" s="414"/>
      <c r="CL22" s="414"/>
      <c r="CN22" s="414"/>
      <c r="CO22" s="414"/>
      <c r="CP22" s="414"/>
      <c r="CQ22" s="414"/>
      <c r="CR22" s="414"/>
      <c r="CS22" s="414"/>
      <c r="CT22" s="414"/>
      <c r="CU22" s="414"/>
      <c r="CV22" s="414"/>
      <c r="CW22" s="414"/>
      <c r="CX22" s="414"/>
      <c r="CY22" s="414"/>
      <c r="CZ22" s="414"/>
      <c r="DB22" s="414"/>
      <c r="DC22" s="414"/>
      <c r="DD22" s="414"/>
      <c r="DE22" s="414"/>
      <c r="DF22" s="414"/>
      <c r="DG22" s="414"/>
      <c r="DH22" s="414"/>
      <c r="DI22" s="414"/>
      <c r="DJ22" s="414"/>
      <c r="DK22" s="414"/>
      <c r="DL22" s="414"/>
      <c r="DM22" s="414"/>
      <c r="DN22" s="414"/>
      <c r="DP22" s="414"/>
      <c r="DQ22" s="414"/>
      <c r="DR22" s="414"/>
      <c r="DS22" s="414"/>
      <c r="DT22" s="414"/>
      <c r="DU22" s="414"/>
      <c r="DV22" s="414"/>
      <c r="DW22" s="414"/>
      <c r="DX22" s="414"/>
      <c r="DY22" s="414"/>
      <c r="DZ22" s="414"/>
      <c r="EA22" s="414"/>
      <c r="EB22" s="414"/>
      <c r="ED22" s="414"/>
      <c r="EE22" s="414"/>
      <c r="EF22" s="414"/>
      <c r="EG22" s="414"/>
      <c r="EH22" s="414"/>
      <c r="EI22" s="414"/>
      <c r="EJ22" s="414"/>
      <c r="EK22" s="414"/>
      <c r="EL22" s="414"/>
      <c r="EM22" s="414"/>
      <c r="EN22" s="414"/>
      <c r="EO22" s="414"/>
      <c r="EP22" s="414"/>
      <c r="ER22" s="414"/>
      <c r="ES22" s="414"/>
      <c r="ET22" s="414"/>
      <c r="EU22" s="414"/>
      <c r="EV22" s="414"/>
      <c r="EW22" s="414"/>
      <c r="EX22" s="414"/>
      <c r="EY22" s="414"/>
      <c r="EZ22" s="414"/>
      <c r="FA22" s="414"/>
      <c r="FB22" s="414"/>
      <c r="FC22" s="414"/>
      <c r="FD22" s="414"/>
      <c r="FF22" s="414"/>
      <c r="FG22" s="414"/>
      <c r="FH22" s="414"/>
      <c r="FI22" s="414"/>
      <c r="FJ22" s="414"/>
      <c r="FK22" s="414"/>
      <c r="FL22" s="414"/>
      <c r="FM22" s="414"/>
      <c r="FN22" s="414"/>
      <c r="FO22" s="414"/>
      <c r="FP22" s="414"/>
      <c r="FQ22" s="414"/>
      <c r="FR22" s="414"/>
    </row>
    <row r="23" spans="1:174" hidden="1">
      <c r="A23" s="422">
        <v>1</v>
      </c>
      <c r="B23" s="422" t="s">
        <v>440</v>
      </c>
      <c r="C23" s="1175" t="s">
        <v>441</v>
      </c>
      <c r="D23" s="1175" t="s">
        <v>441</v>
      </c>
      <c r="E23" s="1176" t="s">
        <v>827</v>
      </c>
      <c r="F23" s="1188">
        <f>5700-N1</f>
        <v>3029.1393939999998</v>
      </c>
      <c r="G23" s="1188">
        <f>5700-N1</f>
        <v>3029.1393939999998</v>
      </c>
      <c r="H23" s="1188">
        <f>5700-N1</f>
        <v>3029.1393939999998</v>
      </c>
      <c r="I23" s="1188">
        <v>1200</v>
      </c>
      <c r="J23" s="1188">
        <v>1381.636364</v>
      </c>
      <c r="K23" s="1177">
        <v>1317.818182</v>
      </c>
      <c r="L23" s="1177">
        <v>1317.818182</v>
      </c>
      <c r="M23" s="1177">
        <v>1179.4181819999999</v>
      </c>
      <c r="N23" s="1177">
        <v>0</v>
      </c>
      <c r="O23" s="1177">
        <v>79.418182000000002</v>
      </c>
      <c r="P23" s="1177">
        <v>79.418182000000002</v>
      </c>
      <c r="Q23" s="1178">
        <v>79.418182000000002</v>
      </c>
      <c r="R23" s="1179">
        <f>AVERAGE(F23:Q23)</f>
        <v>1310.196969833333</v>
      </c>
      <c r="S23" s="1492">
        <v>4260.0456516666673</v>
      </c>
      <c r="T23" s="1493">
        <v>4568.0456516666673</v>
      </c>
      <c r="U23" s="1493">
        <v>7664.0456316666678</v>
      </c>
      <c r="V23" s="1493">
        <v>5950.2274696666673</v>
      </c>
      <c r="W23" s="1493">
        <v>6176.2274696666673</v>
      </c>
      <c r="X23" s="1493">
        <v>6026.2274696666673</v>
      </c>
      <c r="Y23" s="1493">
        <v>6026.2274696666673</v>
      </c>
      <c r="Z23" s="1493">
        <v>6026.2274696666673</v>
      </c>
      <c r="AA23" s="1493">
        <v>6026.2274696666673</v>
      </c>
      <c r="AB23" s="1493">
        <v>5426.2274696666673</v>
      </c>
      <c r="AC23" s="1493">
        <v>5276.2274696666673</v>
      </c>
      <c r="AD23" s="1493">
        <v>1449.1666666666697</v>
      </c>
      <c r="AE23" s="1493">
        <v>0</v>
      </c>
      <c r="AF23" s="1494">
        <f t="shared" ref="AF23:AF38" si="48">SUM(S23:AE23)</f>
        <v>64875.123358999997</v>
      </c>
      <c r="AG23" s="1179">
        <f t="shared" ref="AG23:AG49" si="49">SUM(S23:AE23)/12</f>
        <v>5406.2602799166661</v>
      </c>
      <c r="AH23" s="1492">
        <v>5417.0608030000003</v>
      </c>
      <c r="AI23" s="1493">
        <v>5297.0608030000003</v>
      </c>
      <c r="AJ23" s="1493">
        <v>5411.0608030000003</v>
      </c>
      <c r="AK23" s="1493">
        <v>5411.0608030000003</v>
      </c>
      <c r="AL23" s="1493">
        <v>5437.0608030000003</v>
      </c>
      <c r="AM23" s="1493">
        <v>5498.7525150000001</v>
      </c>
      <c r="AN23" s="1493">
        <v>5498.7525150000001</v>
      </c>
      <c r="AO23" s="1493">
        <v>5498.7525150000001</v>
      </c>
      <c r="AP23" s="1493">
        <v>5505.5525150000003</v>
      </c>
      <c r="AQ23" s="1493">
        <v>5515.7525150000001</v>
      </c>
      <c r="AR23" s="1493">
        <v>5515.7525150000001</v>
      </c>
      <c r="AS23" s="1493">
        <v>5460.7525150000001</v>
      </c>
      <c r="AT23" s="1177">
        <v>840</v>
      </c>
      <c r="AU23" s="1179">
        <f t="shared" ref="AU23:AU49" si="50">SUM(AH23:AT23)/12</f>
        <v>5525.6143016666674</v>
      </c>
      <c r="AV23" s="1180">
        <v>9336.6666700000005</v>
      </c>
      <c r="AW23" s="1177">
        <v>9336.6666700000005</v>
      </c>
      <c r="AX23" s="1177">
        <v>9336.6666700000005</v>
      </c>
      <c r="AY23" s="1177">
        <v>9336.6666700000005</v>
      </c>
      <c r="AZ23" s="1177">
        <v>9336.666663</v>
      </c>
      <c r="BA23" s="1177"/>
      <c r="BB23" s="1177"/>
      <c r="BC23" s="1177"/>
      <c r="BD23" s="1177"/>
      <c r="BE23" s="1177"/>
      <c r="BF23" s="1177"/>
      <c r="BG23" s="1177"/>
      <c r="BH23" s="1177">
        <f t="shared" ref="BH23:BH49" si="51">AVERAGE(AV23:BG23)</f>
        <v>9336.6666686000008</v>
      </c>
      <c r="BI23" s="1182" cm="1">
        <f t="array" ref="BI23">INDEX(BL23:BW23,$BL$1)</f>
        <v>5820</v>
      </c>
      <c r="BJ23" s="1189"/>
      <c r="BK23" s="1503"/>
      <c r="BL23" s="1177">
        <v>5820</v>
      </c>
      <c r="BM23" s="1177">
        <v>5820</v>
      </c>
      <c r="BN23" s="1177">
        <v>5820</v>
      </c>
      <c r="BO23" s="1177">
        <v>5820</v>
      </c>
      <c r="BP23" s="1177">
        <v>5820</v>
      </c>
      <c r="BQ23" s="1177">
        <v>5820</v>
      </c>
      <c r="BR23" s="1177">
        <v>5820</v>
      </c>
      <c r="BS23" s="1177">
        <v>5820</v>
      </c>
      <c r="BT23" s="1177">
        <v>5820</v>
      </c>
      <c r="BU23" s="1177">
        <v>5820</v>
      </c>
      <c r="BV23" s="1177">
        <v>5820</v>
      </c>
      <c r="BW23" s="1177">
        <v>5820</v>
      </c>
      <c r="BX23" s="797">
        <f>SUM(BL23:BW23)</f>
        <v>69840</v>
      </c>
      <c r="BY23" s="1491">
        <f t="shared" ref="BY23:BY50" si="52">BX23-(CL23+CZ23+DN23+EB23+EP23+FD23+FR23)</f>
        <v>0</v>
      </c>
      <c r="BZ23" s="1177"/>
      <c r="CA23" s="1177"/>
      <c r="CB23" s="1177"/>
      <c r="CC23" s="1177"/>
      <c r="CD23" s="1177"/>
      <c r="CE23" s="1177"/>
      <c r="CF23" s="1177"/>
      <c r="CG23" s="1177"/>
      <c r="CH23" s="1177"/>
      <c r="CI23" s="1177"/>
      <c r="CJ23" s="1177"/>
      <c r="CK23" s="1177"/>
      <c r="CL23" s="797">
        <f>SUM(BZ23:CK23)</f>
        <v>0</v>
      </c>
      <c r="CN23" s="1177"/>
      <c r="CO23" s="1177"/>
      <c r="CP23" s="1177"/>
      <c r="CQ23" s="1177"/>
      <c r="CR23" s="1177"/>
      <c r="CS23" s="1177"/>
      <c r="CT23" s="1177"/>
      <c r="CU23" s="1177"/>
      <c r="CV23" s="1177"/>
      <c r="CW23" s="1177"/>
      <c r="CX23" s="1177"/>
      <c r="CY23" s="1177"/>
      <c r="CZ23" s="797">
        <f>SUM(CN23:CY23)</f>
        <v>0</v>
      </c>
      <c r="DB23" s="1177">
        <v>5750</v>
      </c>
      <c r="DC23" s="1177">
        <v>5750</v>
      </c>
      <c r="DD23" s="1177">
        <v>5750</v>
      </c>
      <c r="DE23" s="1177">
        <v>5750</v>
      </c>
      <c r="DF23" s="1177">
        <v>5750</v>
      </c>
      <c r="DG23" s="1177">
        <v>5750</v>
      </c>
      <c r="DH23" s="1177">
        <v>5750</v>
      </c>
      <c r="DI23" s="1177">
        <v>5750</v>
      </c>
      <c r="DJ23" s="1177">
        <v>5750</v>
      </c>
      <c r="DK23" s="1177">
        <v>5750</v>
      </c>
      <c r="DL23" s="1177">
        <v>5750</v>
      </c>
      <c r="DM23" s="1177">
        <v>5750</v>
      </c>
      <c r="DN23" s="797">
        <f>SUM(DB23:DM23)</f>
        <v>69000</v>
      </c>
      <c r="DP23" s="1177"/>
      <c r="DQ23" s="1177"/>
      <c r="DR23" s="1177"/>
      <c r="DS23" s="1177"/>
      <c r="DT23" s="1177"/>
      <c r="DU23" s="1177"/>
      <c r="DV23" s="1177"/>
      <c r="DW23" s="1177"/>
      <c r="DX23" s="1177"/>
      <c r="DY23" s="1177"/>
      <c r="DZ23" s="1177"/>
      <c r="EA23" s="1177"/>
      <c r="EB23" s="797">
        <f>SUM(DP23:EA23)</f>
        <v>0</v>
      </c>
      <c r="ED23" s="1177">
        <v>0</v>
      </c>
      <c r="EE23" s="1177">
        <v>0</v>
      </c>
      <c r="EF23" s="1177">
        <v>0</v>
      </c>
      <c r="EG23" s="1177">
        <v>0</v>
      </c>
      <c r="EH23" s="1177">
        <v>0</v>
      </c>
      <c r="EI23" s="1177">
        <v>0</v>
      </c>
      <c r="EJ23" s="1177">
        <v>0</v>
      </c>
      <c r="EK23" s="1177">
        <v>0</v>
      </c>
      <c r="EL23" s="1177">
        <v>0</v>
      </c>
      <c r="EM23" s="1177">
        <v>0</v>
      </c>
      <c r="EN23" s="1177">
        <v>0</v>
      </c>
      <c r="EO23" s="1177">
        <v>0</v>
      </c>
      <c r="EP23" s="797">
        <f>SUM(ED23:EO23)</f>
        <v>0</v>
      </c>
      <c r="ER23" s="1177">
        <v>70</v>
      </c>
      <c r="ES23" s="1177">
        <v>70</v>
      </c>
      <c r="ET23" s="1177">
        <v>70</v>
      </c>
      <c r="EU23" s="1177">
        <v>70</v>
      </c>
      <c r="EV23" s="1177">
        <v>70</v>
      </c>
      <c r="EW23" s="1177">
        <v>70</v>
      </c>
      <c r="EX23" s="1177">
        <v>70</v>
      </c>
      <c r="EY23" s="1177">
        <v>70</v>
      </c>
      <c r="EZ23" s="1177">
        <v>70</v>
      </c>
      <c r="FA23" s="1177">
        <v>70</v>
      </c>
      <c r="FB23" s="1177">
        <v>70</v>
      </c>
      <c r="FC23" s="1177">
        <v>70</v>
      </c>
      <c r="FD23" s="797">
        <f>SUM(ER23:FC23)</f>
        <v>840</v>
      </c>
      <c r="FF23" s="1177"/>
      <c r="FG23" s="1177"/>
      <c r="FH23" s="1177"/>
      <c r="FI23" s="1177"/>
      <c r="FJ23" s="1177"/>
      <c r="FK23" s="1177"/>
      <c r="FL23" s="1177"/>
      <c r="FM23" s="1177"/>
      <c r="FN23" s="1177"/>
      <c r="FO23" s="1177"/>
      <c r="FP23" s="1177"/>
      <c r="FQ23" s="1177"/>
      <c r="FR23" s="797">
        <f>SUM(FF23:FQ23)</f>
        <v>0</v>
      </c>
    </row>
    <row r="24" spans="1:174" ht="14.9" hidden="1" customHeight="1">
      <c r="A24" s="422">
        <f>A23+1</f>
        <v>2</v>
      </c>
      <c r="B24" s="422" t="s">
        <v>440</v>
      </c>
      <c r="C24" s="422" t="s">
        <v>442</v>
      </c>
      <c r="D24" s="1175" t="s">
        <v>838</v>
      </c>
      <c r="E24" s="1176" t="s">
        <v>827</v>
      </c>
      <c r="F24" s="1177">
        <v>6125.5390770000004</v>
      </c>
      <c r="G24" s="1177">
        <v>6126.0910359999998</v>
      </c>
      <c r="H24" s="1177">
        <v>6407.0904010000004</v>
      </c>
      <c r="I24" s="1177">
        <v>7043.8874960000003</v>
      </c>
      <c r="J24" s="1177">
        <v>7372.1250959999998</v>
      </c>
      <c r="K24" s="1177">
        <v>7571.593116</v>
      </c>
      <c r="L24" s="1177">
        <v>7495.9041289999996</v>
      </c>
      <c r="M24" s="1177">
        <v>8307.0938870000009</v>
      </c>
      <c r="N24" s="1177">
        <v>8042.3777319999999</v>
      </c>
      <c r="O24" s="1177">
        <v>7933.8950500000001</v>
      </c>
      <c r="P24" s="1177">
        <v>8291.7686730000005</v>
      </c>
      <c r="Q24" s="1178">
        <v>8517.5400150000005</v>
      </c>
      <c r="R24" s="1179">
        <f t="shared" ref="R24:R48" si="53">AVERAGE(F24:Q24)</f>
        <v>7436.2421423333353</v>
      </c>
      <c r="S24" s="1307">
        <f>9815.831345+15</f>
        <v>9830.8313450000005</v>
      </c>
      <c r="T24" s="1177">
        <v>8773.2714360000009</v>
      </c>
      <c r="U24" s="1177">
        <v>9519.9123970000001</v>
      </c>
      <c r="V24" s="1177">
        <v>10326.124313</v>
      </c>
      <c r="W24" s="1177">
        <v>10542.358342</v>
      </c>
      <c r="X24" s="1177">
        <v>10420.118291000001</v>
      </c>
      <c r="Y24" s="1177">
        <v>10367.214110999999</v>
      </c>
      <c r="Z24" s="1177">
        <v>10248.121787</v>
      </c>
      <c r="AA24" s="1177">
        <v>10990.529123</v>
      </c>
      <c r="AB24" s="1177">
        <v>11059.132774</v>
      </c>
      <c r="AC24" s="1177">
        <v>11344.443729000001</v>
      </c>
      <c r="AD24" s="1177">
        <v>11810.713624</v>
      </c>
      <c r="AE24" s="1232">
        <v>1236.0178539999999</v>
      </c>
      <c r="AF24" s="1181">
        <f t="shared" si="48"/>
        <v>126468.789126</v>
      </c>
      <c r="AG24" s="1179">
        <f t="shared" si="49"/>
        <v>10539.0657605</v>
      </c>
      <c r="AH24" s="1180">
        <v>12484.720971999999</v>
      </c>
      <c r="AI24" s="1177">
        <v>12440.263203</v>
      </c>
      <c r="AJ24" s="1177">
        <v>12471.463223000001</v>
      </c>
      <c r="AK24" s="1177">
        <v>13751.320948</v>
      </c>
      <c r="AL24" s="1177">
        <v>13836.715722999999</v>
      </c>
      <c r="AM24" s="1177">
        <v>14183.474963000001</v>
      </c>
      <c r="AN24" s="1177">
        <v>14703.546302000001</v>
      </c>
      <c r="AO24" s="1177">
        <v>14974.12703</v>
      </c>
      <c r="AP24" s="1177">
        <v>15329.392134</v>
      </c>
      <c r="AQ24" s="1177">
        <v>14505.21227</v>
      </c>
      <c r="AR24" s="1177">
        <v>14089.326478000001</v>
      </c>
      <c r="AS24" s="1177">
        <v>15607.507922000001</v>
      </c>
      <c r="AT24" s="1177">
        <f>4022.115284+1322.339345+N("thưởng danh hiệu kỳ 13 ghi nhận 632")</f>
        <v>5344.4546289999998</v>
      </c>
      <c r="AU24" s="1179">
        <f t="shared" si="50"/>
        <v>14476.793816416664</v>
      </c>
      <c r="AV24" s="1180">
        <v>14411.695471000001</v>
      </c>
      <c r="AW24" s="1177">
        <v>12889.941534</v>
      </c>
      <c r="AX24" s="1177">
        <v>13887.70347</v>
      </c>
      <c r="AY24" s="1177">
        <v>15549.865876</v>
      </c>
      <c r="AZ24" s="1177">
        <v>14649.384491000001</v>
      </c>
      <c r="BA24" s="1177"/>
      <c r="BB24" s="1177"/>
      <c r="BC24" s="1177"/>
      <c r="BD24" s="1177"/>
      <c r="BE24" s="1177"/>
      <c r="BF24" s="1177"/>
      <c r="BG24" s="1177"/>
      <c r="BH24" s="1177">
        <f t="shared" si="51"/>
        <v>14277.718168400001</v>
      </c>
      <c r="BI24" s="1182" cm="1">
        <f t="array" ref="BI24">INDEX(BL24:BW24,$BL$1)</f>
        <v>15842.84843769231</v>
      </c>
      <c r="BJ24" s="1183"/>
      <c r="BK24" s="1503"/>
      <c r="BL24" s="1177">
        <v>15931.069797384615</v>
      </c>
      <c r="BM24" s="1177">
        <v>15790.248279384619</v>
      </c>
      <c r="BN24" s="1177">
        <v>15196.810000538462</v>
      </c>
      <c r="BO24" s="1177">
        <v>16297.499056557692</v>
      </c>
      <c r="BP24" s="1177">
        <v>15842.84843769231</v>
      </c>
      <c r="BQ24" s="1177">
        <v>16608.384155269232</v>
      </c>
      <c r="BR24" s="1177">
        <v>16228.669642442308</v>
      </c>
      <c r="BS24" s="1177">
        <v>16424.568209153847</v>
      </c>
      <c r="BT24" s="1177">
        <v>16603.793978038459</v>
      </c>
      <c r="BU24" s="1177">
        <v>15861.049816326924</v>
      </c>
      <c r="BV24" s="1177">
        <v>16586.944001269232</v>
      </c>
      <c r="BW24" s="1177">
        <v>18480.446209153848</v>
      </c>
      <c r="BX24" s="797">
        <f t="shared" ref="BX24:BX49" si="54">SUM(BL24:BW24)</f>
        <v>195852.33158321158</v>
      </c>
      <c r="BY24" s="1491">
        <f t="shared" si="52"/>
        <v>0</v>
      </c>
      <c r="BZ24" s="1177"/>
      <c r="CA24" s="1177"/>
      <c r="CB24" s="1177"/>
      <c r="CC24" s="1177"/>
      <c r="CD24" s="1177"/>
      <c r="CE24" s="1177"/>
      <c r="CF24" s="1177"/>
      <c r="CG24" s="1177"/>
      <c r="CH24" s="1177"/>
      <c r="CI24" s="1177"/>
      <c r="CJ24" s="1177"/>
      <c r="CK24" s="1177"/>
      <c r="CL24" s="797">
        <f t="shared" ref="CL24:CL49" si="55">SUM(BZ24:CK24)</f>
        <v>0</v>
      </c>
      <c r="CN24" s="1177">
        <v>3897.2468261153845</v>
      </c>
      <c r="CO24" s="1177">
        <v>3657.4129616923074</v>
      </c>
      <c r="CP24" s="1177">
        <v>3561.7950848461537</v>
      </c>
      <c r="CQ24" s="1177">
        <v>3875.3872236923075</v>
      </c>
      <c r="CR24" s="1177">
        <v>3716.3069672307693</v>
      </c>
      <c r="CS24" s="1177">
        <v>3875.3872236923075</v>
      </c>
      <c r="CT24" s="1177">
        <v>3788.2974989999998</v>
      </c>
      <c r="CU24" s="1177">
        <v>3788.2974989999998</v>
      </c>
      <c r="CV24" s="1177">
        <v>3867.8532653076927</v>
      </c>
      <c r="CW24" s="1177">
        <v>3701.2077533076927</v>
      </c>
      <c r="CX24" s="1177">
        <v>3875.3872236923075</v>
      </c>
      <c r="CY24" s="1177">
        <v>3788.2974989999998</v>
      </c>
      <c r="CZ24" s="797">
        <f t="shared" ref="CZ24:CZ49" si="56">SUM(CN24:CY24)</f>
        <v>45392.877026576927</v>
      </c>
      <c r="DB24" s="1177">
        <v>5641.7863502500004</v>
      </c>
      <c r="DC24" s="1177">
        <v>5620.8127463076926</v>
      </c>
      <c r="DD24" s="1177">
        <v>5448.3518405384621</v>
      </c>
      <c r="DE24" s="1177">
        <v>5927.749771076923</v>
      </c>
      <c r="DF24" s="1177">
        <v>5653.5861540769238</v>
      </c>
      <c r="DG24" s="1177">
        <v>5968.8094167692307</v>
      </c>
      <c r="DH24" s="1177">
        <v>5809.6492945384616</v>
      </c>
      <c r="DI24" s="1177">
        <v>5814.3787332307693</v>
      </c>
      <c r="DJ24" s="1177">
        <v>5998.1583746923079</v>
      </c>
      <c r="DK24" s="1177">
        <v>5697.4147579999999</v>
      </c>
      <c r="DL24" s="1177">
        <v>6013.3692627692308</v>
      </c>
      <c r="DM24" s="1177">
        <v>5857.756733230769</v>
      </c>
      <c r="DN24" s="797">
        <f t="shared" ref="DN24:DN49" si="57">SUM(DB24:DM24)</f>
        <v>69451.823435480765</v>
      </c>
      <c r="DP24" s="1177"/>
      <c r="DQ24" s="1177"/>
      <c r="DR24" s="1177"/>
      <c r="DS24" s="1177"/>
      <c r="DT24" s="1177"/>
      <c r="DU24" s="1177"/>
      <c r="DV24" s="1177"/>
      <c r="DW24" s="1177"/>
      <c r="DX24" s="1177"/>
      <c r="DY24" s="1177"/>
      <c r="DZ24" s="1177"/>
      <c r="EA24" s="1177"/>
      <c r="EB24" s="797">
        <f t="shared" ref="EB24:EB49" si="58">SUM(DP24:EA24)</f>
        <v>0</v>
      </c>
      <c r="ED24" s="1177">
        <v>615.41026299999999</v>
      </c>
      <c r="EE24" s="1177">
        <v>631.50082099999997</v>
      </c>
      <c r="EF24" s="1177">
        <v>594.963705</v>
      </c>
      <c r="EG24" s="1177">
        <v>626.46130000000005</v>
      </c>
      <c r="EH24" s="1177">
        <v>610.40674300000001</v>
      </c>
      <c r="EI24" s="1177">
        <v>632.76082099999996</v>
      </c>
      <c r="EJ24" s="1177">
        <v>613.86226299999998</v>
      </c>
      <c r="EK24" s="1177">
        <v>620.16178300000001</v>
      </c>
      <c r="EL24" s="1177">
        <v>634.05682100000001</v>
      </c>
      <c r="EM24" s="1177">
        <v>601.26322500000003</v>
      </c>
      <c r="EN24" s="1177">
        <v>632.76082099999996</v>
      </c>
      <c r="EO24" s="1177">
        <v>620.16178300000001</v>
      </c>
      <c r="EP24" s="797">
        <f t="shared" ref="EP24:EP49" si="59">SUM(ED24:EO24)</f>
        <v>7433.7703490000004</v>
      </c>
      <c r="ER24" s="1177">
        <v>5776.6263580192308</v>
      </c>
      <c r="ES24" s="1177">
        <v>5880.5217503846152</v>
      </c>
      <c r="ET24" s="1177">
        <v>5591.6993701538468</v>
      </c>
      <c r="EU24" s="1177">
        <v>5867.9007617884618</v>
      </c>
      <c r="EV24" s="1177">
        <v>5862.5485733846153</v>
      </c>
      <c r="EW24" s="1177">
        <v>6131.4266938076926</v>
      </c>
      <c r="EX24" s="1177">
        <v>6016.8605859038471</v>
      </c>
      <c r="EY24" s="1177">
        <v>6201.7301939230765</v>
      </c>
      <c r="EZ24" s="1177">
        <v>6103.7255170384615</v>
      </c>
      <c r="FA24" s="1177">
        <v>5861.1640800192308</v>
      </c>
      <c r="FB24" s="1177">
        <v>6065.4266938076926</v>
      </c>
      <c r="FC24" s="1177">
        <v>8214.2301939230765</v>
      </c>
      <c r="FD24" s="797">
        <f t="shared" ref="FD24:FD49" si="60">SUM(ER24:FC24)</f>
        <v>73573.860772153843</v>
      </c>
      <c r="FF24" s="1177"/>
      <c r="FG24" s="1177"/>
      <c r="FH24" s="1177"/>
      <c r="FI24" s="1177"/>
      <c r="FJ24" s="1177"/>
      <c r="FK24" s="1177"/>
      <c r="FL24" s="1177"/>
      <c r="FM24" s="1177"/>
      <c r="FN24" s="1177"/>
      <c r="FO24" s="1177"/>
      <c r="FP24" s="1177"/>
      <c r="FQ24" s="1177"/>
      <c r="FR24" s="797">
        <f t="shared" ref="FR24:FR49" si="61">SUM(FF24:FQ24)</f>
        <v>0</v>
      </c>
    </row>
    <row r="25" spans="1:174" ht="14.5" hidden="1">
      <c r="A25" s="422">
        <f t="shared" ref="A25:A48" si="62">A24+1</f>
        <v>3</v>
      </c>
      <c r="B25" s="422" t="s">
        <v>440</v>
      </c>
      <c r="C25" s="422" t="s">
        <v>443</v>
      </c>
      <c r="D25" s="1175" t="s">
        <v>443</v>
      </c>
      <c r="E25" s="1176" t="s">
        <v>827</v>
      </c>
      <c r="F25" s="1177">
        <v>1999.745032</v>
      </c>
      <c r="G25" s="1177">
        <v>2159.0866270000001</v>
      </c>
      <c r="H25" s="1177">
        <v>2355.4122550000002</v>
      </c>
      <c r="I25" s="1177">
        <v>2503.34139</v>
      </c>
      <c r="J25" s="1177">
        <v>2453.5862940000002</v>
      </c>
      <c r="K25" s="1177">
        <v>2496.0810230000002</v>
      </c>
      <c r="L25" s="1177">
        <v>2605.8116279999999</v>
      </c>
      <c r="M25" s="1177">
        <v>2747.3790829999998</v>
      </c>
      <c r="N25" s="1177">
        <v>2849.3270080000002</v>
      </c>
      <c r="O25" s="1177">
        <v>2883.5538980000001</v>
      </c>
      <c r="P25" s="1177">
        <v>2888.0607730000002</v>
      </c>
      <c r="Q25" s="1178">
        <v>3035.1713089999998</v>
      </c>
      <c r="R25" s="1179">
        <f t="shared" si="53"/>
        <v>2581.3796933333338</v>
      </c>
      <c r="S25" s="1492">
        <v>2998.4795089999998</v>
      </c>
      <c r="T25" s="1493">
        <v>3003.3587619999998</v>
      </c>
      <c r="U25" s="1493">
        <v>2998.9789329999999</v>
      </c>
      <c r="V25" s="1493">
        <v>3181.0243989999999</v>
      </c>
      <c r="W25" s="1493">
        <v>3238.7242780000001</v>
      </c>
      <c r="X25" s="1493">
        <v>3240.4400230000001</v>
      </c>
      <c r="Y25" s="1493">
        <v>3274.4964810000001</v>
      </c>
      <c r="Z25" s="1493">
        <v>3295.429795</v>
      </c>
      <c r="AA25" s="1493">
        <v>3434.7116219999998</v>
      </c>
      <c r="AB25" s="1493">
        <v>3434.7924050000001</v>
      </c>
      <c r="AC25" s="1493">
        <v>3448.9865410000002</v>
      </c>
      <c r="AD25" s="1493">
        <v>3762.4606610000001</v>
      </c>
      <c r="AE25" s="1493">
        <v>0</v>
      </c>
      <c r="AF25" s="1494">
        <f t="shared" si="48"/>
        <v>39311.883408999995</v>
      </c>
      <c r="AG25" s="1179">
        <f t="shared" si="49"/>
        <v>3275.9902840833329</v>
      </c>
      <c r="AH25" s="1492">
        <v>3803.154168</v>
      </c>
      <c r="AI25" s="1493">
        <v>3804.6986139999999</v>
      </c>
      <c r="AJ25" s="1493">
        <v>4002.6339750000002</v>
      </c>
      <c r="AK25" s="1493">
        <v>3905.1959280000001</v>
      </c>
      <c r="AL25" s="1493">
        <v>4091.8549859999998</v>
      </c>
      <c r="AM25" s="1493">
        <v>4087.4683380000001</v>
      </c>
      <c r="AN25" s="1493">
        <v>4085.457551</v>
      </c>
      <c r="AO25" s="1493">
        <v>4092.9951599999999</v>
      </c>
      <c r="AP25" s="1493">
        <v>4407.5000479999999</v>
      </c>
      <c r="AQ25" s="1493">
        <v>4260.8566920000003</v>
      </c>
      <c r="AR25" s="1493">
        <v>4421.9505609999997</v>
      </c>
      <c r="AS25" s="1493">
        <v>4442.3183429999999</v>
      </c>
      <c r="AT25" s="1177"/>
      <c r="AU25" s="1179">
        <f t="shared" si="50"/>
        <v>4117.1736969999993</v>
      </c>
      <c r="AV25" s="1180">
        <v>2133.9688449999999</v>
      </c>
      <c r="AW25" s="1177">
        <v>2103.0084879999999</v>
      </c>
      <c r="AX25" s="1177">
        <v>2118.1115580000001</v>
      </c>
      <c r="AY25" s="1177">
        <v>2277.961573</v>
      </c>
      <c r="AZ25" s="1177">
        <v>2330.9775570000002</v>
      </c>
      <c r="BA25" s="1177"/>
      <c r="BB25" s="1177"/>
      <c r="BC25" s="1177"/>
      <c r="BD25" s="1177"/>
      <c r="BE25" s="1177"/>
      <c r="BF25" s="1177"/>
      <c r="BG25" s="1177"/>
      <c r="BH25" s="1177">
        <f t="shared" si="51"/>
        <v>2192.8056041999998</v>
      </c>
      <c r="BI25" s="1182" cm="1">
        <f t="array" ref="BI25">INDEX(BL25:BW25,$BL$1)</f>
        <v>5826.0945669208149</v>
      </c>
      <c r="BJ25" s="1183"/>
      <c r="BK25" s="1503"/>
      <c r="BL25" s="1177">
        <v>5303.4900609208144</v>
      </c>
      <c r="BM25" s="1177">
        <v>5687.8820129208143</v>
      </c>
      <c r="BN25" s="1177">
        <v>5775.9012329208144</v>
      </c>
      <c r="BO25" s="1177">
        <v>5810.1415109208147</v>
      </c>
      <c r="BP25" s="1177">
        <v>5826.0945669208149</v>
      </c>
      <c r="BQ25" s="1177">
        <v>5968.0697049208147</v>
      </c>
      <c r="BR25" s="1177">
        <v>5968.0697049208147</v>
      </c>
      <c r="BS25" s="1177">
        <v>5968.0697049208147</v>
      </c>
      <c r="BT25" s="1177">
        <v>5968.0697049208147</v>
      </c>
      <c r="BU25" s="1177">
        <v>5980.8891379208144</v>
      </c>
      <c r="BV25" s="1177">
        <v>5980.8891379208144</v>
      </c>
      <c r="BW25" s="1177">
        <v>5993.1641379208149</v>
      </c>
      <c r="BX25" s="797">
        <f t="shared" si="54"/>
        <v>70230.730618049784</v>
      </c>
      <c r="BY25" s="1491">
        <f t="shared" si="52"/>
        <v>0</v>
      </c>
      <c r="BZ25" s="1177"/>
      <c r="CA25" s="1177"/>
      <c r="CB25" s="1177"/>
      <c r="CC25" s="1177"/>
      <c r="CD25" s="1177"/>
      <c r="CE25" s="1177"/>
      <c r="CF25" s="1177"/>
      <c r="CG25" s="1177"/>
      <c r="CH25" s="1177"/>
      <c r="CI25" s="1177"/>
      <c r="CJ25" s="1177"/>
      <c r="CK25" s="1177"/>
      <c r="CL25" s="797">
        <f t="shared" si="55"/>
        <v>0</v>
      </c>
      <c r="CN25" s="1177"/>
      <c r="CO25" s="1177"/>
      <c r="CP25" s="1177"/>
      <c r="CQ25" s="1177"/>
      <c r="CR25" s="1177"/>
      <c r="CS25" s="1177"/>
      <c r="CT25" s="1177"/>
      <c r="CU25" s="1177"/>
      <c r="CV25" s="1177"/>
      <c r="CW25" s="1177"/>
      <c r="CX25" s="1177"/>
      <c r="CY25" s="1177"/>
      <c r="CZ25" s="797">
        <f t="shared" si="56"/>
        <v>0</v>
      </c>
      <c r="DB25" s="1177">
        <v>5221.4244075821371</v>
      </c>
      <c r="DC25" s="1177">
        <v>5605.816359582137</v>
      </c>
      <c r="DD25" s="1177">
        <v>5690.9189125821367</v>
      </c>
      <c r="DE25" s="1177">
        <v>5725.1591905821369</v>
      </c>
      <c r="DF25" s="1177">
        <v>5741.1122465821372</v>
      </c>
      <c r="DG25" s="1177">
        <v>5883.087384582137</v>
      </c>
      <c r="DH25" s="1177">
        <v>5883.087384582137</v>
      </c>
      <c r="DI25" s="1177">
        <v>5883.087384582137</v>
      </c>
      <c r="DJ25" s="1177">
        <v>5883.087384582137</v>
      </c>
      <c r="DK25" s="1177">
        <v>5883.087384582137</v>
      </c>
      <c r="DL25" s="1177">
        <v>5883.087384582137</v>
      </c>
      <c r="DM25" s="1177">
        <v>5895.3623845821367</v>
      </c>
      <c r="DN25" s="797">
        <f t="shared" si="57"/>
        <v>69178.317808985637</v>
      </c>
      <c r="DP25" s="1177"/>
      <c r="DQ25" s="1177"/>
      <c r="DR25" s="1177"/>
      <c r="DS25" s="1177"/>
      <c r="DT25" s="1177"/>
      <c r="DU25" s="1177"/>
      <c r="DV25" s="1177"/>
      <c r="DW25" s="1177"/>
      <c r="DX25" s="1177"/>
      <c r="DY25" s="1177"/>
      <c r="DZ25" s="1177"/>
      <c r="EA25" s="1177"/>
      <c r="EB25" s="797">
        <f t="shared" si="58"/>
        <v>0</v>
      </c>
      <c r="ED25" s="1177">
        <v>20.58026426529997</v>
      </c>
      <c r="EE25" s="1177">
        <v>20.58026426529997</v>
      </c>
      <c r="EF25" s="1177">
        <v>20.58026426529997</v>
      </c>
      <c r="EG25" s="1177">
        <v>20.58026426529997</v>
      </c>
      <c r="EH25" s="1177">
        <v>20.58026426529997</v>
      </c>
      <c r="EI25" s="1177">
        <v>20.58026426529997</v>
      </c>
      <c r="EJ25" s="1177">
        <v>20.58026426529997</v>
      </c>
      <c r="EK25" s="1177">
        <v>20.58026426529997</v>
      </c>
      <c r="EL25" s="1177">
        <v>20.58026426529997</v>
      </c>
      <c r="EM25" s="1177">
        <v>20.58026426529997</v>
      </c>
      <c r="EN25" s="1177">
        <v>20.58026426529997</v>
      </c>
      <c r="EO25" s="1177">
        <v>20.58026426529997</v>
      </c>
      <c r="EP25" s="797">
        <f t="shared" si="59"/>
        <v>246.96317118359966</v>
      </c>
      <c r="ER25" s="1177">
        <v>61.485389073379082</v>
      </c>
      <c r="ES25" s="1177">
        <v>61.485389073379082</v>
      </c>
      <c r="ET25" s="1177">
        <v>64.402056073379086</v>
      </c>
      <c r="EU25" s="1177">
        <v>64.402056073379086</v>
      </c>
      <c r="EV25" s="1177">
        <v>64.402056073379086</v>
      </c>
      <c r="EW25" s="1177">
        <v>64.402056073379086</v>
      </c>
      <c r="EX25" s="1177">
        <v>64.402056073379086</v>
      </c>
      <c r="EY25" s="1177">
        <v>64.402056073379086</v>
      </c>
      <c r="EZ25" s="1177">
        <v>64.402056073379086</v>
      </c>
      <c r="FA25" s="1177">
        <v>77.22148907337909</v>
      </c>
      <c r="FB25" s="1177">
        <v>77.22148907337909</v>
      </c>
      <c r="FC25" s="1177">
        <v>77.22148907337909</v>
      </c>
      <c r="FD25" s="797">
        <f t="shared" si="60"/>
        <v>805.44963788054895</v>
      </c>
      <c r="FF25" s="1177"/>
      <c r="FG25" s="1177"/>
      <c r="FH25" s="1177"/>
      <c r="FI25" s="1177"/>
      <c r="FJ25" s="1177"/>
      <c r="FK25" s="1177"/>
      <c r="FL25" s="1177"/>
      <c r="FM25" s="1177"/>
      <c r="FN25" s="1177"/>
      <c r="FO25" s="1177"/>
      <c r="FP25" s="1177"/>
      <c r="FQ25" s="1177"/>
      <c r="FR25" s="797">
        <f t="shared" si="61"/>
        <v>0</v>
      </c>
    </row>
    <row r="26" spans="1:174" ht="14.9" hidden="1" customHeight="1">
      <c r="A26" s="422">
        <f t="shared" si="62"/>
        <v>4</v>
      </c>
      <c r="B26" s="422" t="s">
        <v>440</v>
      </c>
      <c r="C26" s="422" t="s">
        <v>445</v>
      </c>
      <c r="D26" s="1175" t="s">
        <v>445</v>
      </c>
      <c r="E26" s="1176" t="s">
        <v>827</v>
      </c>
      <c r="F26" s="1177">
        <v>465.27927</v>
      </c>
      <c r="G26" s="1177">
        <v>498.88963100000001</v>
      </c>
      <c r="H26" s="1177">
        <v>485.24326100000002</v>
      </c>
      <c r="I26" s="1177">
        <v>431.96916599999997</v>
      </c>
      <c r="J26" s="1177">
        <v>578.64694599999996</v>
      </c>
      <c r="K26" s="1177">
        <v>481.06259</v>
      </c>
      <c r="L26" s="1177">
        <v>502.90178500000002</v>
      </c>
      <c r="M26" s="1177">
        <v>554.27070400000002</v>
      </c>
      <c r="N26" s="1177">
        <v>469.50239099999999</v>
      </c>
      <c r="O26" s="1177">
        <f>586.054328-38.361535</f>
        <v>547.69279300000005</v>
      </c>
      <c r="P26" s="1177">
        <f>655.747428-39.8</f>
        <v>615.94742800000006</v>
      </c>
      <c r="Q26" s="1178">
        <f>688.006976-6.954717</f>
        <v>681.05225900000005</v>
      </c>
      <c r="R26" s="1179">
        <f t="shared" si="53"/>
        <v>526.03818533333344</v>
      </c>
      <c r="S26" s="1492">
        <v>716.08840799999996</v>
      </c>
      <c r="T26" s="1493">
        <v>691.59377400000005</v>
      </c>
      <c r="U26" s="1493">
        <v>833.34065199999998</v>
      </c>
      <c r="V26" s="1493">
        <v>880.05645200000004</v>
      </c>
      <c r="W26" s="1493">
        <v>962.45493699999997</v>
      </c>
      <c r="X26" s="1493">
        <v>779.98906199999999</v>
      </c>
      <c r="Y26" s="1493">
        <v>678.94090300000005</v>
      </c>
      <c r="Z26" s="1493">
        <v>825.70615199999997</v>
      </c>
      <c r="AA26" s="1493">
        <v>1011.891319</v>
      </c>
      <c r="AB26" s="1493">
        <v>830.77095499999996</v>
      </c>
      <c r="AC26" s="1493">
        <v>1000.806672</v>
      </c>
      <c r="AD26" s="1493">
        <v>1080.1792390000001</v>
      </c>
      <c r="AE26" s="1493">
        <v>0</v>
      </c>
      <c r="AF26" s="1494">
        <f t="shared" si="48"/>
        <v>10291.818524999999</v>
      </c>
      <c r="AG26" s="1179">
        <f t="shared" si="49"/>
        <v>857.65154374999986</v>
      </c>
      <c r="AH26" s="1492">
        <v>846.79768000000001</v>
      </c>
      <c r="AI26" s="1493">
        <v>1000.829428</v>
      </c>
      <c r="AJ26" s="1493">
        <v>946.99695599999995</v>
      </c>
      <c r="AK26" s="1493">
        <v>1097.7775140000001</v>
      </c>
      <c r="AL26" s="1493">
        <v>1084.371903</v>
      </c>
      <c r="AM26" s="1493">
        <v>891.13647100000003</v>
      </c>
      <c r="AN26" s="1493">
        <v>968.12022300000001</v>
      </c>
      <c r="AO26" s="1493">
        <v>921.39117799999997</v>
      </c>
      <c r="AP26" s="1493">
        <v>942.63703399999997</v>
      </c>
      <c r="AQ26" s="1493">
        <v>955.97821499999998</v>
      </c>
      <c r="AR26" s="1493">
        <v>1002.406715</v>
      </c>
      <c r="AS26" s="1493">
        <v>881.78607799999997</v>
      </c>
      <c r="AT26" s="1177"/>
      <c r="AU26" s="1179">
        <f t="shared" si="50"/>
        <v>961.68578291666643</v>
      </c>
      <c r="AV26" s="1180">
        <v>600.67994299999998</v>
      </c>
      <c r="AW26" s="1177">
        <v>520.80578700000001</v>
      </c>
      <c r="AX26" s="1177">
        <v>606.28655600000002</v>
      </c>
      <c r="AY26" s="1177">
        <v>576.96160699999996</v>
      </c>
      <c r="AZ26" s="1177">
        <v>610.26077499999997</v>
      </c>
      <c r="BA26" s="1177"/>
      <c r="BB26" s="1177"/>
      <c r="BC26" s="1177"/>
      <c r="BD26" s="1177"/>
      <c r="BE26" s="1177"/>
      <c r="BF26" s="1177"/>
      <c r="BG26" s="1177"/>
      <c r="BH26" s="1177">
        <f t="shared" si="51"/>
        <v>582.99893359999987</v>
      </c>
      <c r="BI26" s="1182" cm="1">
        <f t="array" ref="BI26">INDEX(BL26:BW26,$BL$1)</f>
        <v>787.24237985516299</v>
      </c>
      <c r="BJ26" s="1184"/>
      <c r="BK26" s="1503"/>
      <c r="BL26" s="1177">
        <v>1097.4625267947374</v>
      </c>
      <c r="BM26" s="1177">
        <v>684.3883389500387</v>
      </c>
      <c r="BN26" s="1177">
        <v>909.00912691545204</v>
      </c>
      <c r="BO26" s="1177">
        <v>950.68150148275629</v>
      </c>
      <c r="BP26" s="1177">
        <v>787.24237985516299</v>
      </c>
      <c r="BQ26" s="1177">
        <v>842.19632634117897</v>
      </c>
      <c r="BR26" s="1177">
        <v>822.75043507037333</v>
      </c>
      <c r="BS26" s="1177">
        <v>778.17658718628445</v>
      </c>
      <c r="BT26" s="1177">
        <v>805.80359646110617</v>
      </c>
      <c r="BU26" s="1177">
        <v>789.03098314356475</v>
      </c>
      <c r="BV26" s="1177">
        <v>680.53850176721824</v>
      </c>
      <c r="BW26" s="1177">
        <v>784.4652000531986</v>
      </c>
      <c r="BX26" s="797">
        <f t="shared" si="54"/>
        <v>9931.7455040210716</v>
      </c>
      <c r="BY26" s="1491">
        <f t="shared" si="52"/>
        <v>0</v>
      </c>
      <c r="BZ26" s="1177"/>
      <c r="CA26" s="1177"/>
      <c r="CB26" s="1177"/>
      <c r="CC26" s="1177"/>
      <c r="CD26" s="1177"/>
      <c r="CE26" s="1177"/>
      <c r="CF26" s="1177"/>
      <c r="CG26" s="1177"/>
      <c r="CH26" s="1177"/>
      <c r="CI26" s="1177"/>
      <c r="CJ26" s="1177"/>
      <c r="CK26" s="1177"/>
      <c r="CL26" s="797">
        <f t="shared" si="55"/>
        <v>0</v>
      </c>
      <c r="CN26" s="1177"/>
      <c r="CO26" s="1177"/>
      <c r="CP26" s="1177"/>
      <c r="CQ26" s="1177"/>
      <c r="CR26" s="1177"/>
      <c r="CS26" s="1177"/>
      <c r="CT26" s="1177"/>
      <c r="CU26" s="1177"/>
      <c r="CV26" s="1177"/>
      <c r="CW26" s="1177"/>
      <c r="CX26" s="1177"/>
      <c r="CY26" s="1177"/>
      <c r="CZ26" s="797">
        <f t="shared" si="56"/>
        <v>0</v>
      </c>
      <c r="DB26" s="1177">
        <v>1004.1135733225151</v>
      </c>
      <c r="DC26" s="1177">
        <v>620.47600047781646</v>
      </c>
      <c r="DD26" s="1177">
        <v>846.65024144322979</v>
      </c>
      <c r="DE26" s="1177">
        <v>885.97974467720064</v>
      </c>
      <c r="DF26" s="1177">
        <v>703.92064204960741</v>
      </c>
      <c r="DG26" s="1177">
        <v>751.22790936895672</v>
      </c>
      <c r="DH26" s="1177">
        <v>757.9685684592622</v>
      </c>
      <c r="DI26" s="1177">
        <v>711.39020857517335</v>
      </c>
      <c r="DJ26" s="1177">
        <v>744.20343259999515</v>
      </c>
      <c r="DK26" s="1177">
        <v>728.20449069912024</v>
      </c>
      <c r="DL26" s="1177">
        <v>620.61399207277384</v>
      </c>
      <c r="DM26" s="1177">
        <v>722.05437210875414</v>
      </c>
      <c r="DN26" s="797">
        <f t="shared" si="57"/>
        <v>9096.8031758544057</v>
      </c>
      <c r="DP26" s="1177"/>
      <c r="DQ26" s="1177"/>
      <c r="DR26" s="1177"/>
      <c r="DS26" s="1177"/>
      <c r="DT26" s="1177"/>
      <c r="DU26" s="1177"/>
      <c r="DV26" s="1177"/>
      <c r="DW26" s="1177"/>
      <c r="DX26" s="1177"/>
      <c r="DY26" s="1177"/>
      <c r="DZ26" s="1177"/>
      <c r="EA26" s="1177"/>
      <c r="EB26" s="797">
        <f t="shared" si="58"/>
        <v>0</v>
      </c>
      <c r="ED26" s="1177">
        <v>0</v>
      </c>
      <c r="EE26" s="1177">
        <v>0</v>
      </c>
      <c r="EF26" s="1177">
        <v>0</v>
      </c>
      <c r="EG26" s="1177">
        <v>5</v>
      </c>
      <c r="EH26" s="1177">
        <v>0</v>
      </c>
      <c r="EI26" s="1177">
        <v>0</v>
      </c>
      <c r="EJ26" s="1177">
        <v>0</v>
      </c>
      <c r="EK26" s="1177">
        <v>0</v>
      </c>
      <c r="EL26" s="1177">
        <v>0</v>
      </c>
      <c r="EM26" s="1177">
        <v>0</v>
      </c>
      <c r="EN26" s="1177">
        <v>0</v>
      </c>
      <c r="EO26" s="1177">
        <v>0</v>
      </c>
      <c r="EP26" s="797">
        <f t="shared" si="59"/>
        <v>5</v>
      </c>
      <c r="ER26" s="1177">
        <v>93.34895347222222</v>
      </c>
      <c r="ES26" s="1177">
        <v>63.912338472222224</v>
      </c>
      <c r="ET26" s="1177">
        <v>62.358885472222227</v>
      </c>
      <c r="EU26" s="1177">
        <v>59.701756805555561</v>
      </c>
      <c r="EV26" s="1177">
        <v>83.321737805555557</v>
      </c>
      <c r="EW26" s="1177">
        <v>90.968416972222229</v>
      </c>
      <c r="EX26" s="1177">
        <v>64.781866611111113</v>
      </c>
      <c r="EY26" s="1177">
        <v>66.786378611111118</v>
      </c>
      <c r="EZ26" s="1177">
        <v>61.600163861111113</v>
      </c>
      <c r="FA26" s="1177">
        <v>60.826492444444447</v>
      </c>
      <c r="FB26" s="1177">
        <v>59.924509694444446</v>
      </c>
      <c r="FC26" s="1177">
        <v>62.410827944444449</v>
      </c>
      <c r="FD26" s="797">
        <f t="shared" si="60"/>
        <v>829.9423281666667</v>
      </c>
      <c r="FF26" s="1177"/>
      <c r="FG26" s="1177"/>
      <c r="FH26" s="1177"/>
      <c r="FI26" s="1177"/>
      <c r="FJ26" s="1177"/>
      <c r="FK26" s="1177"/>
      <c r="FL26" s="1177"/>
      <c r="FM26" s="1177"/>
      <c r="FN26" s="1177"/>
      <c r="FO26" s="1177"/>
      <c r="FP26" s="1177"/>
      <c r="FQ26" s="1177"/>
      <c r="FR26" s="797">
        <f t="shared" si="61"/>
        <v>0</v>
      </c>
    </row>
    <row r="27" spans="1:174" ht="14.15" customHeight="1">
      <c r="A27" s="422">
        <f t="shared" si="62"/>
        <v>5</v>
      </c>
      <c r="B27" s="422" t="s">
        <v>440</v>
      </c>
      <c r="C27" s="422" t="s">
        <v>446</v>
      </c>
      <c r="D27" s="1175" t="s">
        <v>839</v>
      </c>
      <c r="E27" s="1176" t="s">
        <v>827</v>
      </c>
      <c r="F27" s="1177">
        <v>201.67382699999999</v>
      </c>
      <c r="G27" s="1177">
        <v>130.52025399999999</v>
      </c>
      <c r="H27" s="1177">
        <v>162.514993</v>
      </c>
      <c r="I27" s="1177">
        <v>82.880408000000003</v>
      </c>
      <c r="J27" s="1177">
        <v>241.697767</v>
      </c>
      <c r="K27" s="1177">
        <v>205.60839100000001</v>
      </c>
      <c r="L27" s="1177">
        <v>351.64520599999997</v>
      </c>
      <c r="M27" s="1177">
        <v>256.12971499999998</v>
      </c>
      <c r="N27" s="1177">
        <v>223.468908</v>
      </c>
      <c r="O27" s="1177">
        <v>306.21830199999999</v>
      </c>
      <c r="P27" s="1177">
        <v>448.66226699999999</v>
      </c>
      <c r="Q27" s="1178">
        <v>609.87255300000004</v>
      </c>
      <c r="R27" s="1179">
        <f t="shared" si="53"/>
        <v>268.40771591666669</v>
      </c>
      <c r="S27" s="1307">
        <f>327.913953-1.592544</f>
        <v>326.32140900000002</v>
      </c>
      <c r="T27" s="1177">
        <v>280.13175799999999</v>
      </c>
      <c r="U27" s="1177">
        <v>368.55747700000001</v>
      </c>
      <c r="V27" s="1177">
        <v>341.44460900000001</v>
      </c>
      <c r="W27" s="1177">
        <v>497.60524700000002</v>
      </c>
      <c r="X27" s="1177">
        <v>495.88888600000001</v>
      </c>
      <c r="Y27" s="1177">
        <v>307.06946099999999</v>
      </c>
      <c r="Z27" s="1177">
        <v>317.08936199999999</v>
      </c>
      <c r="AA27" s="1177">
        <v>458.09177799999998</v>
      </c>
      <c r="AB27" s="1177">
        <v>610.68493599999999</v>
      </c>
      <c r="AC27" s="1177">
        <v>643.33116900000005</v>
      </c>
      <c r="AD27" s="1177">
        <v>738.00133800000003</v>
      </c>
      <c r="AE27" s="1177">
        <v>0</v>
      </c>
      <c r="AF27" s="1181">
        <f t="shared" si="48"/>
        <v>5384.2174300000006</v>
      </c>
      <c r="AG27" s="1179">
        <f t="shared" si="49"/>
        <v>448.68478583333336</v>
      </c>
      <c r="AH27" s="1180">
        <v>519.57632000000001</v>
      </c>
      <c r="AI27" s="1177">
        <v>581.32746499999996</v>
      </c>
      <c r="AJ27" s="1177">
        <v>560.476766</v>
      </c>
      <c r="AK27" s="1177">
        <v>543.47885900000006</v>
      </c>
      <c r="AL27" s="1177">
        <v>573.65389500000003</v>
      </c>
      <c r="AM27" s="1177">
        <v>669.29146200000002</v>
      </c>
      <c r="AN27" s="1177">
        <v>744.41693499999997</v>
      </c>
      <c r="AO27" s="1177">
        <v>623.36006099999997</v>
      </c>
      <c r="AP27" s="1177">
        <v>642.354647</v>
      </c>
      <c r="AQ27" s="1177">
        <v>587.074521</v>
      </c>
      <c r="AR27" s="1177">
        <v>644.47328800000003</v>
      </c>
      <c r="AS27" s="1177">
        <v>619.29266900000005</v>
      </c>
      <c r="AT27" s="1177"/>
      <c r="AU27" s="1179">
        <f t="shared" si="50"/>
        <v>609.06474066666681</v>
      </c>
      <c r="AV27" s="1180">
        <v>482.090397</v>
      </c>
      <c r="AW27" s="1177">
        <v>334.41424899999998</v>
      </c>
      <c r="AX27" s="1177">
        <v>496.38067699999999</v>
      </c>
      <c r="AY27" s="1177">
        <v>596.75916199999995</v>
      </c>
      <c r="AZ27" s="1177">
        <v>653.54991399999994</v>
      </c>
      <c r="BA27" s="1177"/>
      <c r="BB27" s="1177"/>
      <c r="BC27" s="1177"/>
      <c r="BD27" s="1177"/>
      <c r="BE27" s="1177"/>
      <c r="BF27" s="1177"/>
      <c r="BG27" s="1177"/>
      <c r="BH27" s="1177">
        <f t="shared" si="51"/>
        <v>512.63887980000004</v>
      </c>
      <c r="BI27" s="1182" cm="1">
        <f t="array" ref="BI27">INDEX(BL27:BW27,$BL$1)</f>
        <v>756.23517917901438</v>
      </c>
      <c r="BJ27" s="1183"/>
      <c r="BK27" s="1503"/>
      <c r="BL27" s="1177">
        <v>343.10558626836917</v>
      </c>
      <c r="BM27" s="1177">
        <v>376.18178016531749</v>
      </c>
      <c r="BN27" s="1177">
        <v>669.77502176234759</v>
      </c>
      <c r="BO27" s="1177">
        <v>707.6117784975927</v>
      </c>
      <c r="BP27" s="1177">
        <v>756.23517917901438</v>
      </c>
      <c r="BQ27" s="1177">
        <v>924.0696597475926</v>
      </c>
      <c r="BR27" s="1177">
        <v>827.86114385284964</v>
      </c>
      <c r="BS27" s="1177">
        <v>821.37069010284961</v>
      </c>
      <c r="BT27" s="1177">
        <v>981.51959768277777</v>
      </c>
      <c r="BU27" s="1177">
        <v>900.77983601951598</v>
      </c>
      <c r="BV27" s="1177">
        <v>886.3061399327778</v>
      </c>
      <c r="BW27" s="1177">
        <v>821.53994851951597</v>
      </c>
      <c r="BX27" s="797">
        <f t="shared" si="54"/>
        <v>9016.3563617305208</v>
      </c>
      <c r="BY27" s="1491">
        <f t="shared" si="52"/>
        <v>0</v>
      </c>
      <c r="BZ27" s="1177"/>
      <c r="CA27" s="1177"/>
      <c r="CB27" s="1177"/>
      <c r="CC27" s="1177"/>
      <c r="CD27" s="1177"/>
      <c r="CE27" s="1177"/>
      <c r="CF27" s="1177"/>
      <c r="CG27" s="1177"/>
      <c r="CH27" s="1177"/>
      <c r="CI27" s="1177"/>
      <c r="CJ27" s="1177"/>
      <c r="CK27" s="1177"/>
      <c r="CL27" s="797">
        <f t="shared" si="55"/>
        <v>0</v>
      </c>
      <c r="CN27" s="1177"/>
      <c r="CO27" s="1177"/>
      <c r="CP27" s="1177"/>
      <c r="CQ27" s="1177"/>
      <c r="CR27" s="1177"/>
      <c r="CS27" s="1177"/>
      <c r="CT27" s="1177"/>
      <c r="CU27" s="1177"/>
      <c r="CV27" s="1177"/>
      <c r="CW27" s="1177"/>
      <c r="CX27" s="1177"/>
      <c r="CY27" s="1177"/>
      <c r="CZ27" s="797">
        <f t="shared" si="56"/>
        <v>0</v>
      </c>
      <c r="DB27" s="1177">
        <v>343.10558626836917</v>
      </c>
      <c r="DC27" s="1177">
        <v>376.18178016531749</v>
      </c>
      <c r="DD27" s="1177">
        <v>669.77502176234759</v>
      </c>
      <c r="DE27" s="1177">
        <v>707.6117784975927</v>
      </c>
      <c r="DF27" s="1177">
        <v>756.23517917901438</v>
      </c>
      <c r="DG27" s="1177">
        <v>924.0696597475926</v>
      </c>
      <c r="DH27" s="1177">
        <v>827.86114385284964</v>
      </c>
      <c r="DI27" s="1177">
        <v>821.37069010284961</v>
      </c>
      <c r="DJ27" s="1177">
        <v>981.51959768277777</v>
      </c>
      <c r="DK27" s="1177">
        <v>900.77983601951598</v>
      </c>
      <c r="DL27" s="1177">
        <v>886.3061399327778</v>
      </c>
      <c r="DM27" s="1177">
        <v>821.53994851951597</v>
      </c>
      <c r="DN27" s="797">
        <f t="shared" si="57"/>
        <v>9016.3563617305208</v>
      </c>
      <c r="DP27" s="1177"/>
      <c r="DQ27" s="1177"/>
      <c r="DR27" s="1177"/>
      <c r="DS27" s="1177"/>
      <c r="DT27" s="1177"/>
      <c r="DU27" s="1177"/>
      <c r="DV27" s="1177"/>
      <c r="DW27" s="1177"/>
      <c r="DX27" s="1177"/>
      <c r="DY27" s="1177"/>
      <c r="DZ27" s="1177"/>
      <c r="EA27" s="1177"/>
      <c r="EB27" s="797">
        <f t="shared" si="58"/>
        <v>0</v>
      </c>
      <c r="ED27" s="1177">
        <v>0</v>
      </c>
      <c r="EE27" s="1177">
        <v>0</v>
      </c>
      <c r="EF27" s="1177">
        <v>0</v>
      </c>
      <c r="EG27" s="1177">
        <v>0</v>
      </c>
      <c r="EH27" s="1177">
        <v>0</v>
      </c>
      <c r="EI27" s="1177">
        <v>0</v>
      </c>
      <c r="EJ27" s="1177">
        <v>0</v>
      </c>
      <c r="EK27" s="1177">
        <v>0</v>
      </c>
      <c r="EL27" s="1177">
        <v>0</v>
      </c>
      <c r="EM27" s="1177">
        <v>0</v>
      </c>
      <c r="EN27" s="1177">
        <v>0</v>
      </c>
      <c r="EO27" s="1177">
        <v>0</v>
      </c>
      <c r="EP27" s="797">
        <f t="shared" si="59"/>
        <v>0</v>
      </c>
      <c r="ER27" s="1177">
        <v>0</v>
      </c>
      <c r="ES27" s="1177">
        <v>0</v>
      </c>
      <c r="ET27" s="1177">
        <v>0</v>
      </c>
      <c r="EU27" s="1177">
        <v>0</v>
      </c>
      <c r="EV27" s="1177">
        <v>0</v>
      </c>
      <c r="EW27" s="1177">
        <v>0</v>
      </c>
      <c r="EX27" s="1177">
        <v>0</v>
      </c>
      <c r="EY27" s="1177">
        <v>0</v>
      </c>
      <c r="EZ27" s="1177">
        <v>0</v>
      </c>
      <c r="FA27" s="1177">
        <v>0</v>
      </c>
      <c r="FB27" s="1177">
        <v>0</v>
      </c>
      <c r="FC27" s="1177">
        <v>0</v>
      </c>
      <c r="FD27" s="797">
        <f t="shared" si="60"/>
        <v>0</v>
      </c>
      <c r="FF27" s="1177"/>
      <c r="FG27" s="1177"/>
      <c r="FH27" s="1177"/>
      <c r="FI27" s="1177"/>
      <c r="FJ27" s="1177"/>
      <c r="FK27" s="1177"/>
      <c r="FL27" s="1177"/>
      <c r="FM27" s="1177"/>
      <c r="FN27" s="1177"/>
      <c r="FO27" s="1177"/>
      <c r="FP27" s="1177"/>
      <c r="FQ27" s="1177"/>
      <c r="FR27" s="797">
        <f t="shared" si="61"/>
        <v>0</v>
      </c>
    </row>
    <row r="28" spans="1:174" ht="14.9" hidden="1" customHeight="1">
      <c r="A28" s="422">
        <f t="shared" si="62"/>
        <v>6</v>
      </c>
      <c r="B28" s="422" t="s">
        <v>440</v>
      </c>
      <c r="C28" s="422" t="s">
        <v>447</v>
      </c>
      <c r="D28" s="1175" t="s">
        <v>447</v>
      </c>
      <c r="E28" s="1176" t="s">
        <v>827</v>
      </c>
      <c r="F28" s="1177">
        <v>44.321387999999999</v>
      </c>
      <c r="G28" s="1177">
        <v>0</v>
      </c>
      <c r="H28" s="1177">
        <v>48.722388000000002</v>
      </c>
      <c r="I28" s="1177">
        <v>76.187495999999996</v>
      </c>
      <c r="J28" s="1177">
        <v>68.801481999999993</v>
      </c>
      <c r="K28" s="1177">
        <v>28.249625999999999</v>
      </c>
      <c r="L28" s="1177">
        <v>91.396439000000001</v>
      </c>
      <c r="M28" s="1177">
        <v>93.845376000000002</v>
      </c>
      <c r="N28" s="1177">
        <v>109.400024</v>
      </c>
      <c r="O28" s="1177">
        <v>129.99653499999999</v>
      </c>
      <c r="P28" s="1177">
        <v>157.60198</v>
      </c>
      <c r="Q28" s="1178">
        <v>316.88398999999998</v>
      </c>
      <c r="R28" s="1179">
        <f t="shared" si="53"/>
        <v>97.117227</v>
      </c>
      <c r="S28" s="1180">
        <v>460.46177499999999</v>
      </c>
      <c r="T28" s="1177">
        <v>563.90951600000005</v>
      </c>
      <c r="U28" s="1177">
        <v>587.31592000000001</v>
      </c>
      <c r="V28" s="1177">
        <v>905.70814199999995</v>
      </c>
      <c r="W28" s="1177">
        <v>974.31002899999999</v>
      </c>
      <c r="X28" s="1177">
        <v>1115.0560800000001</v>
      </c>
      <c r="Y28" s="1177">
        <v>1160.8230060000001</v>
      </c>
      <c r="Z28" s="1177">
        <v>939.58504500000004</v>
      </c>
      <c r="AA28" s="1177">
        <v>859.44410500000004</v>
      </c>
      <c r="AB28" s="1177">
        <v>840.16551500000003</v>
      </c>
      <c r="AC28" s="1177">
        <v>889.15908100000001</v>
      </c>
      <c r="AD28" s="1177">
        <v>1032.562923</v>
      </c>
      <c r="AE28" s="1177">
        <v>0</v>
      </c>
      <c r="AF28" s="1181">
        <f t="shared" si="48"/>
        <v>10328.501137000001</v>
      </c>
      <c r="AG28" s="1179">
        <f t="shared" si="49"/>
        <v>860.70842808333339</v>
      </c>
      <c r="AH28" s="1180">
        <v>1114.8242760000001</v>
      </c>
      <c r="AI28" s="1177">
        <v>928.37928099999999</v>
      </c>
      <c r="AJ28" s="1177">
        <v>673.96678899999995</v>
      </c>
      <c r="AK28" s="1177">
        <v>888.39345200000002</v>
      </c>
      <c r="AL28" s="1177">
        <v>1189.130459</v>
      </c>
      <c r="AM28" s="1177">
        <v>1448.8998220000001</v>
      </c>
      <c r="AN28" s="1177">
        <v>1242.023326</v>
      </c>
      <c r="AO28" s="1177">
        <v>1303.5609099999999</v>
      </c>
      <c r="AP28" s="1177">
        <v>1595.764355</v>
      </c>
      <c r="AQ28" s="1177">
        <v>1368.802426</v>
      </c>
      <c r="AR28" s="1177">
        <v>1256.132292</v>
      </c>
      <c r="AS28" s="1177">
        <v>1256.103396</v>
      </c>
      <c r="AT28" s="1177"/>
      <c r="AU28" s="1179">
        <f t="shared" si="50"/>
        <v>1188.8317320000001</v>
      </c>
      <c r="AV28" s="1180">
        <v>1240.115065</v>
      </c>
      <c r="AW28" s="1177">
        <v>1156.2794180000001</v>
      </c>
      <c r="AX28" s="1177">
        <v>959.71856400000001</v>
      </c>
      <c r="AY28" s="1177">
        <v>1062.0844750000001</v>
      </c>
      <c r="AZ28" s="1177">
        <v>838.83679099999995</v>
      </c>
      <c r="BA28" s="1177"/>
      <c r="BB28" s="1177"/>
      <c r="BC28" s="1177"/>
      <c r="BD28" s="1177"/>
      <c r="BE28" s="1177"/>
      <c r="BF28" s="1177"/>
      <c r="BG28" s="1177"/>
      <c r="BH28" s="1177">
        <f t="shared" si="51"/>
        <v>1051.4068626000001</v>
      </c>
      <c r="BI28" s="1182" cm="1">
        <f t="array" ref="BI28">INDEX(BL28:BW28,$BL$1)</f>
        <v>2984.5638576971396</v>
      </c>
      <c r="BJ28" s="1184"/>
      <c r="BK28" s="1503"/>
      <c r="BL28" s="1177">
        <v>1440.7291910893346</v>
      </c>
      <c r="BM28" s="1177">
        <v>2314.4014916227866</v>
      </c>
      <c r="BN28" s="1177">
        <v>2754.8451088531456</v>
      </c>
      <c r="BO28" s="1177">
        <v>2658.9739779450151</v>
      </c>
      <c r="BP28" s="1177">
        <v>2984.5638576971396</v>
      </c>
      <c r="BQ28" s="1177">
        <v>3083.7658926644508</v>
      </c>
      <c r="BR28" s="1177">
        <v>3139.6191586549103</v>
      </c>
      <c r="BS28" s="1177">
        <v>3321.5810537279758</v>
      </c>
      <c r="BT28" s="1177">
        <v>3248.3418835147654</v>
      </c>
      <c r="BU28" s="1177">
        <v>3254.7331846761322</v>
      </c>
      <c r="BV28" s="1177">
        <v>3261.9944609206568</v>
      </c>
      <c r="BW28" s="1177">
        <v>3102.3550620342407</v>
      </c>
      <c r="BX28" s="797">
        <f t="shared" si="54"/>
        <v>34565.904323400558</v>
      </c>
      <c r="BY28" s="1491">
        <f t="shared" si="52"/>
        <v>0</v>
      </c>
      <c r="BZ28" s="1177"/>
      <c r="CA28" s="1177"/>
      <c r="CB28" s="1177"/>
      <c r="CC28" s="1177"/>
      <c r="CD28" s="1177"/>
      <c r="CE28" s="1177"/>
      <c r="CF28" s="1177"/>
      <c r="CG28" s="1177"/>
      <c r="CH28" s="1177"/>
      <c r="CI28" s="1177"/>
      <c r="CJ28" s="1177"/>
      <c r="CK28" s="1177"/>
      <c r="CL28" s="797">
        <f t="shared" si="55"/>
        <v>0</v>
      </c>
      <c r="CN28" s="1177"/>
      <c r="CO28" s="1177"/>
      <c r="CP28" s="1177"/>
      <c r="CQ28" s="1177"/>
      <c r="CR28" s="1177"/>
      <c r="CS28" s="1177"/>
      <c r="CT28" s="1177"/>
      <c r="CU28" s="1177"/>
      <c r="CV28" s="1177"/>
      <c r="CW28" s="1177"/>
      <c r="CX28" s="1177"/>
      <c r="CY28" s="1177"/>
      <c r="CZ28" s="797">
        <f t="shared" si="56"/>
        <v>0</v>
      </c>
      <c r="DB28" s="1177">
        <v>0</v>
      </c>
      <c r="DC28" s="1177">
        <v>0</v>
      </c>
      <c r="DD28" s="1177">
        <v>0</v>
      </c>
      <c r="DE28" s="1177">
        <v>0</v>
      </c>
      <c r="DF28" s="1177">
        <v>0</v>
      </c>
      <c r="DG28" s="1177">
        <v>0</v>
      </c>
      <c r="DH28" s="1177">
        <v>0</v>
      </c>
      <c r="DI28" s="1177">
        <v>0</v>
      </c>
      <c r="DJ28" s="1177">
        <v>0</v>
      </c>
      <c r="DK28" s="1177">
        <v>0</v>
      </c>
      <c r="DL28" s="1177">
        <v>0</v>
      </c>
      <c r="DM28" s="1177">
        <v>0</v>
      </c>
      <c r="DN28" s="797">
        <f t="shared" si="57"/>
        <v>0</v>
      </c>
      <c r="DP28" s="1177">
        <v>1440.7291910893346</v>
      </c>
      <c r="DQ28" s="1177">
        <v>2314.4014916227866</v>
      </c>
      <c r="DR28" s="1177">
        <v>2754.8451088531456</v>
      </c>
      <c r="DS28" s="1177">
        <v>2658.9739779450151</v>
      </c>
      <c r="DT28" s="1177">
        <v>2984.5638576971396</v>
      </c>
      <c r="DU28" s="1177">
        <v>3083.7658926644508</v>
      </c>
      <c r="DV28" s="1177">
        <v>3139.6191586549103</v>
      </c>
      <c r="DW28" s="1177">
        <v>3321.5810537279758</v>
      </c>
      <c r="DX28" s="1177">
        <v>3248.3418835147654</v>
      </c>
      <c r="DY28" s="1177">
        <v>3254.7331846761322</v>
      </c>
      <c r="DZ28" s="1177">
        <v>3261.9944609206568</v>
      </c>
      <c r="EA28" s="1177">
        <v>3102.3550620342407</v>
      </c>
      <c r="EB28" s="797">
        <f t="shared" si="58"/>
        <v>34565.904323400558</v>
      </c>
      <c r="ED28" s="1177">
        <v>0</v>
      </c>
      <c r="EE28" s="1177">
        <v>0</v>
      </c>
      <c r="EF28" s="1177">
        <v>0</v>
      </c>
      <c r="EG28" s="1177">
        <v>0</v>
      </c>
      <c r="EH28" s="1177">
        <v>0</v>
      </c>
      <c r="EI28" s="1177">
        <v>0</v>
      </c>
      <c r="EJ28" s="1177">
        <v>0</v>
      </c>
      <c r="EK28" s="1177">
        <v>0</v>
      </c>
      <c r="EL28" s="1177">
        <v>0</v>
      </c>
      <c r="EM28" s="1177">
        <v>0</v>
      </c>
      <c r="EN28" s="1177">
        <v>0</v>
      </c>
      <c r="EO28" s="1177">
        <v>0</v>
      </c>
      <c r="EP28" s="797">
        <f t="shared" si="59"/>
        <v>0</v>
      </c>
      <c r="ER28" s="1177">
        <v>0</v>
      </c>
      <c r="ES28" s="1177">
        <v>0</v>
      </c>
      <c r="ET28" s="1177">
        <v>0</v>
      </c>
      <c r="EU28" s="1177">
        <v>0</v>
      </c>
      <c r="EV28" s="1177">
        <v>0</v>
      </c>
      <c r="EW28" s="1177">
        <v>0</v>
      </c>
      <c r="EX28" s="1177">
        <v>0</v>
      </c>
      <c r="EY28" s="1177">
        <v>0</v>
      </c>
      <c r="EZ28" s="1177">
        <v>0</v>
      </c>
      <c r="FA28" s="1177">
        <v>0</v>
      </c>
      <c r="FB28" s="1177">
        <v>0</v>
      </c>
      <c r="FC28" s="1177">
        <v>0</v>
      </c>
      <c r="FD28" s="797">
        <f t="shared" si="60"/>
        <v>0</v>
      </c>
      <c r="FF28" s="1177"/>
      <c r="FG28" s="1177"/>
      <c r="FH28" s="1177"/>
      <c r="FI28" s="1177"/>
      <c r="FJ28" s="1177"/>
      <c r="FK28" s="1177"/>
      <c r="FL28" s="1177"/>
      <c r="FM28" s="1177"/>
      <c r="FN28" s="1177"/>
      <c r="FO28" s="1177"/>
      <c r="FP28" s="1177"/>
      <c r="FQ28" s="1177"/>
      <c r="FR28" s="797">
        <f t="shared" si="61"/>
        <v>0</v>
      </c>
    </row>
    <row r="29" spans="1:174" ht="14.15" hidden="1" customHeight="1">
      <c r="A29" s="422">
        <f t="shared" si="62"/>
        <v>7</v>
      </c>
      <c r="B29" s="422" t="s">
        <v>440</v>
      </c>
      <c r="C29" s="422" t="s">
        <v>444</v>
      </c>
      <c r="D29" s="1175" t="s">
        <v>840</v>
      </c>
      <c r="E29" s="1176" t="s">
        <v>827</v>
      </c>
      <c r="F29" s="1177">
        <v>120.986681</v>
      </c>
      <c r="G29" s="1177">
        <v>102.77466200000001</v>
      </c>
      <c r="H29" s="1177">
        <v>282.92131599999999</v>
      </c>
      <c r="I29" s="1177">
        <v>98.140203999999997</v>
      </c>
      <c r="J29" s="1177">
        <v>184.97905399999999</v>
      </c>
      <c r="K29" s="1177">
        <v>239.840022</v>
      </c>
      <c r="L29" s="1177">
        <v>124.92917</v>
      </c>
      <c r="M29" s="1177">
        <v>151.76581899999999</v>
      </c>
      <c r="N29" s="1177">
        <v>192.104073</v>
      </c>
      <c r="O29" s="1177">
        <v>123.19785299999999</v>
      </c>
      <c r="P29" s="1177">
        <v>64.052771000000007</v>
      </c>
      <c r="Q29" s="1178">
        <v>399.475461</v>
      </c>
      <c r="R29" s="1179">
        <f t="shared" si="53"/>
        <v>173.76392383333334</v>
      </c>
      <c r="S29" s="1492">
        <v>201.32918900000001</v>
      </c>
      <c r="T29" s="1493">
        <v>235.19612499999999</v>
      </c>
      <c r="U29" s="1493">
        <v>230.77257800000001</v>
      </c>
      <c r="V29" s="1493">
        <v>211.62852599999999</v>
      </c>
      <c r="W29" s="1493">
        <v>292.54064399999999</v>
      </c>
      <c r="X29" s="1493">
        <v>238.01302999999999</v>
      </c>
      <c r="Y29" s="1493">
        <v>219.77776499999999</v>
      </c>
      <c r="Z29" s="1493">
        <v>539.31173699999999</v>
      </c>
      <c r="AA29" s="1493">
        <v>414.966297</v>
      </c>
      <c r="AB29" s="1493">
        <v>812.98435300000006</v>
      </c>
      <c r="AC29" s="1493">
        <v>617.20765900000004</v>
      </c>
      <c r="AD29" s="1493">
        <v>4344.6449890000004</v>
      </c>
      <c r="AE29" s="1493">
        <v>784.0625</v>
      </c>
      <c r="AF29" s="1494">
        <f t="shared" si="48"/>
        <v>9142.4353920000012</v>
      </c>
      <c r="AG29" s="1179">
        <f t="shared" si="49"/>
        <v>761.86961600000006</v>
      </c>
      <c r="AH29" s="1492">
        <v>936.02991499999996</v>
      </c>
      <c r="AI29" s="1493">
        <v>689.33592899999996</v>
      </c>
      <c r="AJ29" s="1493">
        <v>776.20322799999997</v>
      </c>
      <c r="AK29" s="1493">
        <v>728.91740400000003</v>
      </c>
      <c r="AL29" s="1493">
        <v>995.699209</v>
      </c>
      <c r="AM29" s="1493">
        <v>922.14662099999998</v>
      </c>
      <c r="AN29" s="1493">
        <v>1223.513428</v>
      </c>
      <c r="AO29" s="1493">
        <v>1194.4622670000001</v>
      </c>
      <c r="AP29" s="1493">
        <v>1432.2909990000001</v>
      </c>
      <c r="AQ29" s="1493">
        <v>933.74342200000001</v>
      </c>
      <c r="AR29" s="1493">
        <v>2899.4771179999998</v>
      </c>
      <c r="AS29" s="1493">
        <v>1323.224455</v>
      </c>
      <c r="AT29" s="1177">
        <v>143.53448299999999</v>
      </c>
      <c r="AU29" s="1179">
        <f t="shared" si="50"/>
        <v>1183.2148731666666</v>
      </c>
      <c r="AV29" s="1180">
        <v>841.27230099999997</v>
      </c>
      <c r="AW29" s="1177">
        <v>944.58813299999997</v>
      </c>
      <c r="AX29" s="1177">
        <v>754.10009700000001</v>
      </c>
      <c r="AY29" s="1177">
        <v>802.38717099999997</v>
      </c>
      <c r="AZ29" s="1177">
        <v>1112.9236020000001</v>
      </c>
      <c r="BA29" s="1177"/>
      <c r="BB29" s="1177"/>
      <c r="BC29" s="1177"/>
      <c r="BD29" s="1177"/>
      <c r="BE29" s="1177"/>
      <c r="BF29" s="1177"/>
      <c r="BG29" s="1177"/>
      <c r="BH29" s="1177">
        <f t="shared" si="51"/>
        <v>891.05426079999995</v>
      </c>
      <c r="BI29" s="1182" cm="1">
        <f t="array" ref="BI29">INDEX(BL29:BW29,$BL$1)</f>
        <v>862.56629400691156</v>
      </c>
      <c r="BJ29" s="1184"/>
      <c r="BK29" s="1503"/>
      <c r="BL29" s="1177">
        <v>1037.1199180545307</v>
      </c>
      <c r="BM29" s="1177">
        <v>803.07492867357814</v>
      </c>
      <c r="BN29" s="1177">
        <v>835.65462734024493</v>
      </c>
      <c r="BO29" s="1177">
        <v>923.44629400691156</v>
      </c>
      <c r="BP29" s="1177">
        <v>862.56629400691156</v>
      </c>
      <c r="BQ29" s="1177">
        <v>790.60218525691153</v>
      </c>
      <c r="BR29" s="1177">
        <v>744.03049159024488</v>
      </c>
      <c r="BS29" s="1177">
        <v>832.20282525691152</v>
      </c>
      <c r="BT29" s="1177">
        <v>808.39282492357825</v>
      </c>
      <c r="BU29" s="1177">
        <v>823.27215825691155</v>
      </c>
      <c r="BV29" s="1177">
        <v>780.69382492357818</v>
      </c>
      <c r="BW29" s="1177">
        <v>794.69382492357818</v>
      </c>
      <c r="BX29" s="797">
        <f t="shared" si="54"/>
        <v>10035.750197213893</v>
      </c>
      <c r="BY29" s="1491">
        <f t="shared" si="52"/>
        <v>0</v>
      </c>
      <c r="BZ29" s="1177"/>
      <c r="CA29" s="1177"/>
      <c r="CB29" s="1177"/>
      <c r="CC29" s="1177"/>
      <c r="CD29" s="1177"/>
      <c r="CE29" s="1177"/>
      <c r="CF29" s="1177"/>
      <c r="CG29" s="1177"/>
      <c r="CH29" s="1177"/>
      <c r="CI29" s="1177"/>
      <c r="CJ29" s="1177"/>
      <c r="CK29" s="1177"/>
      <c r="CL29" s="797">
        <f t="shared" si="55"/>
        <v>0</v>
      </c>
      <c r="CN29" s="1177"/>
      <c r="CO29" s="1177"/>
      <c r="CP29" s="1177"/>
      <c r="CQ29" s="1177"/>
      <c r="CR29" s="1177"/>
      <c r="CS29" s="1177"/>
      <c r="CT29" s="1177"/>
      <c r="CU29" s="1177"/>
      <c r="CV29" s="1177"/>
      <c r="CW29" s="1177"/>
      <c r="CX29" s="1177"/>
      <c r="CY29" s="1177"/>
      <c r="CZ29" s="797">
        <f t="shared" si="56"/>
        <v>0</v>
      </c>
      <c r="DB29" s="1177">
        <v>3.875</v>
      </c>
      <c r="DC29" s="1177">
        <v>3.875</v>
      </c>
      <c r="DD29" s="1177">
        <v>3.875</v>
      </c>
      <c r="DE29" s="1177">
        <v>3.875</v>
      </c>
      <c r="DF29" s="1177">
        <v>5.9950000000000001</v>
      </c>
      <c r="DG29" s="1177">
        <v>30.875</v>
      </c>
      <c r="DH29" s="1177">
        <v>3.875</v>
      </c>
      <c r="DI29" s="1177">
        <v>3.875</v>
      </c>
      <c r="DJ29" s="1177">
        <v>3.875</v>
      </c>
      <c r="DK29" s="1177">
        <v>5.9950000000000001</v>
      </c>
      <c r="DL29" s="1177">
        <v>3.875</v>
      </c>
      <c r="DM29" s="1177">
        <v>3.875</v>
      </c>
      <c r="DN29" s="797">
        <f t="shared" si="57"/>
        <v>77.740000000000009</v>
      </c>
      <c r="DP29" s="1177"/>
      <c r="DQ29" s="1177"/>
      <c r="DR29" s="1177"/>
      <c r="DS29" s="1177"/>
      <c r="DT29" s="1177"/>
      <c r="DU29" s="1177"/>
      <c r="DV29" s="1177"/>
      <c r="DW29" s="1177"/>
      <c r="DX29" s="1177"/>
      <c r="DY29" s="1177"/>
      <c r="DZ29" s="1177"/>
      <c r="EA29" s="1177"/>
      <c r="EB29" s="797">
        <f t="shared" si="58"/>
        <v>0</v>
      </c>
      <c r="ED29" s="1177">
        <v>230.53465041666669</v>
      </c>
      <c r="EE29" s="1177">
        <v>230.53465041666669</v>
      </c>
      <c r="EF29" s="1177">
        <v>230.53465041666669</v>
      </c>
      <c r="EG29" s="1177">
        <v>285.65965041666669</v>
      </c>
      <c r="EH29" s="1177">
        <v>285.65965041666669</v>
      </c>
      <c r="EI29" s="1177">
        <v>166.81554166666666</v>
      </c>
      <c r="EJ29" s="1177">
        <v>166.81554166666666</v>
      </c>
      <c r="EK29" s="1177">
        <v>166.81554166666666</v>
      </c>
      <c r="EL29" s="1177">
        <v>166.81554166666666</v>
      </c>
      <c r="EM29" s="1177">
        <v>166.81554166666666</v>
      </c>
      <c r="EN29" s="1177">
        <v>166.81554166666666</v>
      </c>
      <c r="EO29" s="1177">
        <v>166.81554166666666</v>
      </c>
      <c r="EP29" s="797">
        <f t="shared" si="59"/>
        <v>2430.6320437500003</v>
      </c>
      <c r="ER29" s="1177">
        <v>802.71026763786392</v>
      </c>
      <c r="ES29" s="1177">
        <v>568.66527825691151</v>
      </c>
      <c r="ET29" s="1177">
        <v>601.24497692357818</v>
      </c>
      <c r="EU29" s="1177">
        <v>633.91164359024481</v>
      </c>
      <c r="EV29" s="1177">
        <v>570.91164359024481</v>
      </c>
      <c r="EW29" s="1177">
        <v>592.91164359024481</v>
      </c>
      <c r="EX29" s="1177">
        <v>573.33994992357816</v>
      </c>
      <c r="EY29" s="1177">
        <v>661.51228359024481</v>
      </c>
      <c r="EZ29" s="1177">
        <v>637.70228325691153</v>
      </c>
      <c r="FA29" s="1177">
        <v>650.46161659024472</v>
      </c>
      <c r="FB29" s="1177">
        <v>610.00328325691157</v>
      </c>
      <c r="FC29" s="1177">
        <v>624.00328325691157</v>
      </c>
      <c r="FD29" s="797">
        <f t="shared" si="60"/>
        <v>7527.3781534638892</v>
      </c>
      <c r="FF29" s="1177"/>
      <c r="FG29" s="1177"/>
      <c r="FH29" s="1177"/>
      <c r="FI29" s="1177"/>
      <c r="FJ29" s="1177"/>
      <c r="FK29" s="1177"/>
      <c r="FL29" s="1177"/>
      <c r="FM29" s="1177"/>
      <c r="FN29" s="1177"/>
      <c r="FO29" s="1177"/>
      <c r="FP29" s="1177"/>
      <c r="FQ29" s="1177"/>
      <c r="FR29" s="797">
        <f t="shared" si="61"/>
        <v>0</v>
      </c>
    </row>
    <row r="30" spans="1:174" ht="28.5">
      <c r="A30" s="422">
        <f t="shared" si="62"/>
        <v>8</v>
      </c>
      <c r="B30" s="422" t="s">
        <v>440</v>
      </c>
      <c r="C30" s="422" t="s">
        <v>446</v>
      </c>
      <c r="D30" s="1186" t="s">
        <v>841</v>
      </c>
      <c r="E30" s="1176" t="s">
        <v>827</v>
      </c>
      <c r="F30" s="1177">
        <v>27.009788</v>
      </c>
      <c r="G30" s="1177">
        <v>23.820537999999999</v>
      </c>
      <c r="H30" s="1177">
        <v>97.499787999999995</v>
      </c>
      <c r="I30" s="1177">
        <v>76.791787999999997</v>
      </c>
      <c r="J30" s="1177">
        <v>83.243121000000002</v>
      </c>
      <c r="K30" s="1177">
        <v>102.628201</v>
      </c>
      <c r="L30" s="1177">
        <v>158.41932399999999</v>
      </c>
      <c r="M30" s="1177">
        <v>132.48603299999999</v>
      </c>
      <c r="N30" s="1177">
        <v>95.116036000000008</v>
      </c>
      <c r="O30" s="1177">
        <v>133.37608399999999</v>
      </c>
      <c r="P30" s="1177">
        <v>124.431406</v>
      </c>
      <c r="Q30" s="1178">
        <v>180.22106099999999</v>
      </c>
      <c r="R30" s="1179">
        <f t="shared" si="53"/>
        <v>102.92026399999999</v>
      </c>
      <c r="S30" s="1307">
        <f>162.241914+1.592544</f>
        <v>163.83445800000001</v>
      </c>
      <c r="T30" s="1177">
        <v>199.21540299999998</v>
      </c>
      <c r="U30" s="1177">
        <v>210.765241</v>
      </c>
      <c r="V30" s="1177">
        <v>207.926806</v>
      </c>
      <c r="W30" s="1177">
        <v>188.14409800000001</v>
      </c>
      <c r="X30" s="1177">
        <v>231.14537899999999</v>
      </c>
      <c r="Y30" s="1177">
        <v>134.86960400000001</v>
      </c>
      <c r="Z30" s="1177">
        <v>304.83430600000003</v>
      </c>
      <c r="AA30" s="1177">
        <v>203.29655399999999</v>
      </c>
      <c r="AB30" s="1177">
        <v>186.93203500000001</v>
      </c>
      <c r="AC30" s="1177">
        <v>333.38828599999994</v>
      </c>
      <c r="AD30" s="1177">
        <v>399.10796900000003</v>
      </c>
      <c r="AE30" s="1232">
        <v>38.799999999999997</v>
      </c>
      <c r="AF30" s="1181">
        <f t="shared" si="48"/>
        <v>2802.2601390000004</v>
      </c>
      <c r="AG30" s="1179">
        <f t="shared" si="49"/>
        <v>233.52167825000004</v>
      </c>
      <c r="AH30" s="1492">
        <v>220.25863899999999</v>
      </c>
      <c r="AI30" s="1493">
        <v>347.308289</v>
      </c>
      <c r="AJ30" s="1493">
        <v>218.00814800000001</v>
      </c>
      <c r="AK30" s="1493">
        <v>293.041629</v>
      </c>
      <c r="AL30" s="1493">
        <v>286.26683200000002</v>
      </c>
      <c r="AM30" s="1493">
        <v>405.591792</v>
      </c>
      <c r="AN30" s="1493">
        <v>376.93684100000002</v>
      </c>
      <c r="AO30" s="1493">
        <v>451.16498100000001</v>
      </c>
      <c r="AP30" s="1493">
        <v>237.230951</v>
      </c>
      <c r="AQ30" s="1493">
        <v>327.96024799999998</v>
      </c>
      <c r="AR30" s="1493">
        <v>281.66661099999999</v>
      </c>
      <c r="AS30" s="1493">
        <v>294.37815699999999</v>
      </c>
      <c r="AT30" s="1177"/>
      <c r="AU30" s="1179">
        <f t="shared" si="50"/>
        <v>311.65109316666667</v>
      </c>
      <c r="AV30" s="1180">
        <v>310.26575700000001</v>
      </c>
      <c r="AW30" s="1177">
        <v>176.08893699999999</v>
      </c>
      <c r="AX30" s="1177">
        <v>203.774608</v>
      </c>
      <c r="AY30" s="1177">
        <v>149.46913000000001</v>
      </c>
      <c r="AZ30" s="1177">
        <v>220.83173199999999</v>
      </c>
      <c r="BA30" s="1177"/>
      <c r="BB30" s="1177"/>
      <c r="BC30" s="1177"/>
      <c r="BD30" s="1177"/>
      <c r="BE30" s="1177"/>
      <c r="BF30" s="1177"/>
      <c r="BG30" s="1177"/>
      <c r="BH30" s="1177">
        <f t="shared" si="51"/>
        <v>212.08603279999997</v>
      </c>
      <c r="BI30" s="1182" cm="1">
        <f t="array" ref="BI30">INDEX(BL30:BW30,$BL$1)</f>
        <v>206.46206914506172</v>
      </c>
      <c r="BJ30" s="1183"/>
      <c r="BK30" s="1503"/>
      <c r="BL30" s="1177">
        <v>342.09381464506174</v>
      </c>
      <c r="BM30" s="1177">
        <v>223.81200264506174</v>
      </c>
      <c r="BN30" s="1177">
        <v>241.47969364506173</v>
      </c>
      <c r="BO30" s="1177">
        <v>221.26990247839507</v>
      </c>
      <c r="BP30" s="1177">
        <v>206.46206914506172</v>
      </c>
      <c r="BQ30" s="1177">
        <v>329.56659339506172</v>
      </c>
      <c r="BR30" s="1177">
        <v>196.50557231172843</v>
      </c>
      <c r="BS30" s="1177">
        <v>216.45391031172841</v>
      </c>
      <c r="BT30" s="1177">
        <v>250.43311031172843</v>
      </c>
      <c r="BU30" s="1177">
        <v>190.49391031172843</v>
      </c>
      <c r="BV30" s="1177">
        <v>248.21391031172843</v>
      </c>
      <c r="BW30" s="1177">
        <v>328.94712297839504</v>
      </c>
      <c r="BX30" s="797">
        <f t="shared" si="54"/>
        <v>2995.7316124907406</v>
      </c>
      <c r="BY30" s="1491">
        <f t="shared" si="52"/>
        <v>0</v>
      </c>
      <c r="BZ30" s="1177"/>
      <c r="CA30" s="1177"/>
      <c r="CB30" s="1177"/>
      <c r="CC30" s="1177"/>
      <c r="CD30" s="1177"/>
      <c r="CE30" s="1177"/>
      <c r="CF30" s="1177"/>
      <c r="CG30" s="1177"/>
      <c r="CH30" s="1177"/>
      <c r="CI30" s="1177"/>
      <c r="CJ30" s="1177"/>
      <c r="CK30" s="1177"/>
      <c r="CL30" s="797">
        <f t="shared" si="55"/>
        <v>0</v>
      </c>
      <c r="CN30" s="1177"/>
      <c r="CO30" s="1177"/>
      <c r="CP30" s="1177"/>
      <c r="CQ30" s="1177"/>
      <c r="CR30" s="1177"/>
      <c r="CS30" s="1177"/>
      <c r="CT30" s="1177"/>
      <c r="CU30" s="1177"/>
      <c r="CV30" s="1177"/>
      <c r="CW30" s="1177"/>
      <c r="CX30" s="1177"/>
      <c r="CY30" s="1177"/>
      <c r="CZ30" s="797">
        <f t="shared" si="56"/>
        <v>0</v>
      </c>
      <c r="DB30" s="1177">
        <v>288.98579731172833</v>
      </c>
      <c r="DC30" s="1177">
        <v>171.30398531172841</v>
      </c>
      <c r="DD30" s="1177">
        <v>172.85729364506173</v>
      </c>
      <c r="DE30" s="1177">
        <v>177.46229364506172</v>
      </c>
      <c r="DF30" s="1177">
        <v>157.23112697839508</v>
      </c>
      <c r="DG30" s="1177">
        <v>236.22781497839503</v>
      </c>
      <c r="DH30" s="1177">
        <v>159.10679389506174</v>
      </c>
      <c r="DI30" s="1177">
        <v>167.9417985617284</v>
      </c>
      <c r="DJ30" s="1177">
        <v>171.39099856172842</v>
      </c>
      <c r="DK30" s="1177">
        <v>152.6917985617284</v>
      </c>
      <c r="DL30" s="1177">
        <v>173.21179856172841</v>
      </c>
      <c r="DM30" s="1177">
        <v>270.60501122839503</v>
      </c>
      <c r="DN30" s="797">
        <f t="shared" si="57"/>
        <v>2299.0165112407403</v>
      </c>
      <c r="DP30" s="1177"/>
      <c r="DQ30" s="1177"/>
      <c r="DR30" s="1177"/>
      <c r="DS30" s="1177"/>
      <c r="DT30" s="1177"/>
      <c r="DU30" s="1177"/>
      <c r="DV30" s="1177"/>
      <c r="DW30" s="1177"/>
      <c r="DX30" s="1177"/>
      <c r="DY30" s="1177"/>
      <c r="DZ30" s="1177"/>
      <c r="EA30" s="1177"/>
      <c r="EB30" s="797">
        <f t="shared" si="58"/>
        <v>0</v>
      </c>
      <c r="ED30" s="1177">
        <v>5.2</v>
      </c>
      <c r="EE30" s="1177">
        <v>5.2</v>
      </c>
      <c r="EF30" s="1177">
        <v>5.2</v>
      </c>
      <c r="EG30" s="1177">
        <v>5.2</v>
      </c>
      <c r="EH30" s="1177">
        <v>6.89</v>
      </c>
      <c r="EI30" s="1177">
        <v>35.200000000000003</v>
      </c>
      <c r="EJ30" s="1177">
        <v>5.2</v>
      </c>
      <c r="EK30" s="1177">
        <v>5.2</v>
      </c>
      <c r="EL30" s="1177">
        <v>5.2</v>
      </c>
      <c r="EM30" s="1177">
        <v>5.2</v>
      </c>
      <c r="EN30" s="1177">
        <v>5.2</v>
      </c>
      <c r="EO30" s="1177">
        <v>5.2</v>
      </c>
      <c r="EP30" s="797">
        <f t="shared" si="59"/>
        <v>94.090000000000018</v>
      </c>
      <c r="ER30" s="1177">
        <v>47.908017333333326</v>
      </c>
      <c r="ES30" s="1177">
        <v>47.308017333333325</v>
      </c>
      <c r="ET30" s="1177">
        <v>63.422400000000003</v>
      </c>
      <c r="EU30" s="1177">
        <v>38.607608833333337</v>
      </c>
      <c r="EV30" s="1177">
        <v>42.340942166666672</v>
      </c>
      <c r="EW30" s="1177">
        <v>58.138778416666675</v>
      </c>
      <c r="EX30" s="1177">
        <v>32.19877841666667</v>
      </c>
      <c r="EY30" s="1177">
        <v>43.31211175</v>
      </c>
      <c r="EZ30" s="1177">
        <v>73.842111750000001</v>
      </c>
      <c r="FA30" s="1177">
        <v>32.602111749999999</v>
      </c>
      <c r="FB30" s="1177">
        <v>69.802111749999995</v>
      </c>
      <c r="FC30" s="1177">
        <v>53.142111749999998</v>
      </c>
      <c r="FD30" s="797">
        <f t="shared" si="60"/>
        <v>602.62510125000006</v>
      </c>
      <c r="FF30" s="1177"/>
      <c r="FG30" s="1177"/>
      <c r="FH30" s="1177"/>
      <c r="FI30" s="1177"/>
      <c r="FJ30" s="1177"/>
      <c r="FK30" s="1177"/>
      <c r="FL30" s="1177"/>
      <c r="FM30" s="1177"/>
      <c r="FN30" s="1177"/>
      <c r="FO30" s="1177"/>
      <c r="FP30" s="1177"/>
      <c r="FQ30" s="1177"/>
      <c r="FR30" s="797">
        <f t="shared" si="61"/>
        <v>0</v>
      </c>
    </row>
    <row r="31" spans="1:174" ht="14.15" hidden="1" customHeight="1">
      <c r="A31" s="422">
        <f t="shared" si="62"/>
        <v>9</v>
      </c>
      <c r="B31" s="422" t="s">
        <v>440</v>
      </c>
      <c r="C31" s="422" t="s">
        <v>444</v>
      </c>
      <c r="D31" s="1175" t="s">
        <v>842</v>
      </c>
      <c r="E31" s="1176" t="s">
        <v>827</v>
      </c>
      <c r="F31" s="1177">
        <v>0</v>
      </c>
      <c r="G31" s="1177">
        <v>0</v>
      </c>
      <c r="H31" s="1177">
        <v>0</v>
      </c>
      <c r="I31" s="1177">
        <v>0</v>
      </c>
      <c r="J31" s="1177">
        <v>0</v>
      </c>
      <c r="K31" s="1177">
        <v>0</v>
      </c>
      <c r="L31" s="1177">
        <v>0</v>
      </c>
      <c r="M31" s="1177">
        <v>0</v>
      </c>
      <c r="N31" s="1177">
        <v>0</v>
      </c>
      <c r="O31" s="1177">
        <v>0</v>
      </c>
      <c r="P31" s="1177">
        <v>183.50238100000001</v>
      </c>
      <c r="Q31" s="1178">
        <v>218.97200000000001</v>
      </c>
      <c r="R31" s="1179">
        <f t="shared" si="53"/>
        <v>33.539531750000002</v>
      </c>
      <c r="S31" s="1180">
        <v>738.81561799999997</v>
      </c>
      <c r="T31" s="1177">
        <v>290.56763799999999</v>
      </c>
      <c r="U31" s="1177">
        <v>287.435</v>
      </c>
      <c r="V31" s="1177">
        <v>260.51666699999998</v>
      </c>
      <c r="W31" s="1177">
        <v>742.71367499999997</v>
      </c>
      <c r="X31" s="1177">
        <v>566.32730100000003</v>
      </c>
      <c r="Y31" s="1177">
        <v>432.60000100000002</v>
      </c>
      <c r="Z31" s="1177">
        <v>1042.330001</v>
      </c>
      <c r="AA31" s="1177">
        <v>1473.095399</v>
      </c>
      <c r="AB31" s="1177">
        <v>1159.0806210000001</v>
      </c>
      <c r="AC31" s="1177">
        <v>1552.796621</v>
      </c>
      <c r="AD31" s="1177">
        <v>2276.8016210000001</v>
      </c>
      <c r="AE31" s="1495">
        <v>300</v>
      </c>
      <c r="AF31" s="1181">
        <f t="shared" si="48"/>
        <v>11123.080163000001</v>
      </c>
      <c r="AG31" s="1179">
        <f t="shared" si="49"/>
        <v>926.92334691666667</v>
      </c>
      <c r="AH31" s="1180">
        <v>456.29629599999998</v>
      </c>
      <c r="AI31" s="1177">
        <v>563.90909099999999</v>
      </c>
      <c r="AJ31" s="1177">
        <v>896.50990899999999</v>
      </c>
      <c r="AK31" s="1177">
        <v>486.43823900000001</v>
      </c>
      <c r="AL31" s="1177">
        <v>594.73248699999999</v>
      </c>
      <c r="AM31" s="1177">
        <v>567.59090900000001</v>
      </c>
      <c r="AN31" s="1177">
        <v>186.04720499999999</v>
      </c>
      <c r="AO31" s="1177">
        <v>89.650908999999999</v>
      </c>
      <c r="AP31" s="1177">
        <v>269.09090900000001</v>
      </c>
      <c r="AQ31" s="1177">
        <v>246.86868699999999</v>
      </c>
      <c r="AR31" s="1177">
        <v>178.350168</v>
      </c>
      <c r="AS31" s="1177">
        <v>1574.6464639999999</v>
      </c>
      <c r="AT31" s="1177"/>
      <c r="AU31" s="1179">
        <f t="shared" si="50"/>
        <v>509.17760608333327</v>
      </c>
      <c r="AV31" s="1180">
        <v>175.95833300000001</v>
      </c>
      <c r="AW31" s="1177">
        <v>248.25462899999999</v>
      </c>
      <c r="AX31" s="1177">
        <v>25.958333</v>
      </c>
      <c r="AY31" s="1177">
        <v>101.86833300000001</v>
      </c>
      <c r="AZ31" s="1177">
        <v>264.29226599999998</v>
      </c>
      <c r="BA31" s="1177"/>
      <c r="BB31" s="1177"/>
      <c r="BC31" s="1177"/>
      <c r="BD31" s="1177"/>
      <c r="BE31" s="1177"/>
      <c r="BF31" s="1177"/>
      <c r="BG31" s="1177"/>
      <c r="BH31" s="1177">
        <f t="shared" si="51"/>
        <v>163.26637879999998</v>
      </c>
      <c r="BI31" s="1182" cm="1">
        <f t="array" ref="BI31">INDEX(BL31:BW31,$BL$1)</f>
        <v>568.85963071038248</v>
      </c>
      <c r="BJ31" s="1183"/>
      <c r="BK31" s="1503"/>
      <c r="BL31" s="1177">
        <v>497.1765558087431</v>
      </c>
      <c r="BM31" s="1177">
        <v>479.45833333333326</v>
      </c>
      <c r="BN31" s="1177">
        <v>479.45833333333326</v>
      </c>
      <c r="BO31" s="1177">
        <v>610.79599125683058</v>
      </c>
      <c r="BP31" s="1177">
        <v>568.85963071038248</v>
      </c>
      <c r="BQ31" s="1177">
        <v>725.0817055425448</v>
      </c>
      <c r="BR31" s="1177">
        <v>543.74404761904759</v>
      </c>
      <c r="BS31" s="1177">
        <v>622.54664237314591</v>
      </c>
      <c r="BT31" s="1177">
        <v>543.74404761904759</v>
      </c>
      <c r="BU31" s="1177">
        <v>736.67824587041366</v>
      </c>
      <c r="BV31" s="1177">
        <v>750.41071428571411</v>
      </c>
      <c r="BW31" s="1177">
        <v>726.07954324746277</v>
      </c>
      <c r="BX31" s="797">
        <f t="shared" si="54"/>
        <v>7284.0337909999989</v>
      </c>
      <c r="BY31" s="1491">
        <f t="shared" si="52"/>
        <v>0</v>
      </c>
      <c r="BZ31" s="1177"/>
      <c r="CA31" s="1177"/>
      <c r="CB31" s="1177"/>
      <c r="CC31" s="1177"/>
      <c r="CD31" s="1177"/>
      <c r="CE31" s="1177"/>
      <c r="CF31" s="1177"/>
      <c r="CG31" s="1177"/>
      <c r="CH31" s="1177"/>
      <c r="CI31" s="1177"/>
      <c r="CJ31" s="1177"/>
      <c r="CK31" s="1177"/>
      <c r="CL31" s="797">
        <f t="shared" si="55"/>
        <v>0</v>
      </c>
      <c r="CN31" s="1177"/>
      <c r="CO31" s="1177"/>
      <c r="CP31" s="1177"/>
      <c r="CQ31" s="1177"/>
      <c r="CR31" s="1177"/>
      <c r="CS31" s="1177"/>
      <c r="CT31" s="1177"/>
      <c r="CU31" s="1177"/>
      <c r="CV31" s="1177"/>
      <c r="CW31" s="1177"/>
      <c r="CX31" s="1177"/>
      <c r="CY31" s="1177"/>
      <c r="CZ31" s="797">
        <f t="shared" si="56"/>
        <v>0</v>
      </c>
      <c r="DB31" s="1177">
        <v>0</v>
      </c>
      <c r="DC31" s="1177">
        <v>0</v>
      </c>
      <c r="DD31" s="1177">
        <v>0</v>
      </c>
      <c r="DE31" s="1177">
        <v>0</v>
      </c>
      <c r="DF31" s="1177">
        <v>0</v>
      </c>
      <c r="DG31" s="1177">
        <v>0</v>
      </c>
      <c r="DH31" s="1177">
        <v>0</v>
      </c>
      <c r="DI31" s="1177">
        <v>0</v>
      </c>
      <c r="DJ31" s="1177">
        <v>0</v>
      </c>
      <c r="DK31" s="1177">
        <v>0</v>
      </c>
      <c r="DL31" s="1177">
        <v>0</v>
      </c>
      <c r="DM31" s="1177">
        <v>0</v>
      </c>
      <c r="DN31" s="797">
        <f t="shared" si="57"/>
        <v>0</v>
      </c>
      <c r="DP31" s="1177"/>
      <c r="DQ31" s="1177"/>
      <c r="DR31" s="1177"/>
      <c r="DS31" s="1177"/>
      <c r="DT31" s="1177"/>
      <c r="DU31" s="1177"/>
      <c r="DV31" s="1177"/>
      <c r="DW31" s="1177"/>
      <c r="DX31" s="1177"/>
      <c r="DY31" s="1177"/>
      <c r="DZ31" s="1177"/>
      <c r="EA31" s="1177"/>
      <c r="EB31" s="797">
        <f t="shared" si="58"/>
        <v>0</v>
      </c>
      <c r="ED31" s="1177">
        <v>53.713592808743165</v>
      </c>
      <c r="EE31" s="1177">
        <v>45.833333333333329</v>
      </c>
      <c r="EF31" s="1177">
        <v>45.833333333333329</v>
      </c>
      <c r="EG31" s="1177">
        <v>177.17099125683058</v>
      </c>
      <c r="EH31" s="1177">
        <v>135.23463071038253</v>
      </c>
      <c r="EI31" s="1177">
        <v>291.45670554254485</v>
      </c>
      <c r="EJ31" s="1177">
        <v>110.11904761904762</v>
      </c>
      <c r="EK31" s="1177">
        <v>188.921642373146</v>
      </c>
      <c r="EL31" s="1177">
        <v>110.11904761904762</v>
      </c>
      <c r="EM31" s="1177">
        <v>303.05324587041372</v>
      </c>
      <c r="EN31" s="1177">
        <v>316.78571428571428</v>
      </c>
      <c r="EO31" s="1177">
        <v>292.45454324746288</v>
      </c>
      <c r="EP31" s="797">
        <f t="shared" si="59"/>
        <v>2070.6958279999999</v>
      </c>
      <c r="ER31" s="1177">
        <v>9.8379630000000002</v>
      </c>
      <c r="ES31" s="1177">
        <v>0</v>
      </c>
      <c r="ET31" s="1177">
        <v>0</v>
      </c>
      <c r="EU31" s="1177">
        <v>0</v>
      </c>
      <c r="EV31" s="1177">
        <v>0</v>
      </c>
      <c r="EW31" s="1177">
        <v>0</v>
      </c>
      <c r="EX31" s="1177">
        <v>0</v>
      </c>
      <c r="EY31" s="1177">
        <v>0</v>
      </c>
      <c r="EZ31" s="1177">
        <v>0</v>
      </c>
      <c r="FA31" s="1177">
        <v>0</v>
      </c>
      <c r="FB31" s="1177">
        <v>0</v>
      </c>
      <c r="FC31" s="1177">
        <v>0</v>
      </c>
      <c r="FD31" s="797">
        <f t="shared" si="60"/>
        <v>9.8379630000000002</v>
      </c>
      <c r="FF31" s="1177">
        <v>433.62499999999994</v>
      </c>
      <c r="FG31" s="1177">
        <v>433.62499999999994</v>
      </c>
      <c r="FH31" s="1177">
        <v>433.62499999999994</v>
      </c>
      <c r="FI31" s="1177">
        <v>433.62499999999994</v>
      </c>
      <c r="FJ31" s="1177">
        <v>433.62499999999994</v>
      </c>
      <c r="FK31" s="1177">
        <v>433.62499999999994</v>
      </c>
      <c r="FL31" s="1177">
        <v>433.62499999999994</v>
      </c>
      <c r="FM31" s="1177">
        <v>433.62499999999994</v>
      </c>
      <c r="FN31" s="1177">
        <v>433.62499999999994</v>
      </c>
      <c r="FO31" s="1177">
        <v>433.62499999999994</v>
      </c>
      <c r="FP31" s="1177">
        <v>433.62499999999994</v>
      </c>
      <c r="FQ31" s="1177">
        <v>433.62499999999994</v>
      </c>
      <c r="FR31" s="797">
        <f t="shared" si="61"/>
        <v>5203.4999999999991</v>
      </c>
    </row>
    <row r="32" spans="1:174" ht="14.15" hidden="1" customHeight="1">
      <c r="A32" s="422">
        <f t="shared" si="62"/>
        <v>10</v>
      </c>
      <c r="B32" s="422" t="s">
        <v>440</v>
      </c>
      <c r="C32" s="422" t="s">
        <v>444</v>
      </c>
      <c r="D32" s="1175" t="s">
        <v>843</v>
      </c>
      <c r="E32" s="1176" t="s">
        <v>827</v>
      </c>
      <c r="F32" s="1177">
        <v>121.632559</v>
      </c>
      <c r="G32" s="1177">
        <v>39.968558999999999</v>
      </c>
      <c r="H32" s="1177">
        <v>187.05753000000001</v>
      </c>
      <c r="I32" s="1177">
        <v>146.510076</v>
      </c>
      <c r="J32" s="1177">
        <v>72.233847999999995</v>
      </c>
      <c r="K32" s="1177">
        <v>176.99984799999999</v>
      </c>
      <c r="L32" s="1177">
        <v>143.16220799999999</v>
      </c>
      <c r="M32" s="1177">
        <v>115.13653499999999</v>
      </c>
      <c r="N32" s="1177">
        <v>106.030147</v>
      </c>
      <c r="O32" s="1177">
        <v>95.691602000000003</v>
      </c>
      <c r="P32" s="1177">
        <v>63.938803</v>
      </c>
      <c r="Q32" s="1178">
        <v>97.759415000000004</v>
      </c>
      <c r="R32" s="1179">
        <f t="shared" si="53"/>
        <v>113.8434275</v>
      </c>
      <c r="S32" s="1180">
        <v>73.235646000000003</v>
      </c>
      <c r="T32" s="1177">
        <v>144.25811899999999</v>
      </c>
      <c r="U32" s="1177">
        <v>99.342737999999997</v>
      </c>
      <c r="V32" s="1177">
        <v>104.57202700000001</v>
      </c>
      <c r="W32" s="1177">
        <v>110.33908</v>
      </c>
      <c r="X32" s="1177">
        <v>146.95098100000001</v>
      </c>
      <c r="Y32" s="1177">
        <v>112.475082</v>
      </c>
      <c r="Z32" s="1177">
        <v>116.752612</v>
      </c>
      <c r="AA32" s="1177">
        <v>115.064132</v>
      </c>
      <c r="AB32" s="1177">
        <v>132.08844099999999</v>
      </c>
      <c r="AC32" s="1177">
        <v>151.71313499999999</v>
      </c>
      <c r="AD32" s="1177">
        <v>151.99137500000001</v>
      </c>
      <c r="AE32" s="1177">
        <v>0</v>
      </c>
      <c r="AF32" s="1181">
        <f t="shared" si="48"/>
        <v>1458.7833680000001</v>
      </c>
      <c r="AG32" s="1179">
        <f t="shared" si="49"/>
        <v>121.56528066666668</v>
      </c>
      <c r="AH32" s="1180">
        <v>163.34113400000001</v>
      </c>
      <c r="AI32" s="1177">
        <v>102.488747</v>
      </c>
      <c r="AJ32" s="1177">
        <v>117.437054</v>
      </c>
      <c r="AK32" s="1177">
        <v>104.51088</v>
      </c>
      <c r="AL32" s="1177">
        <v>69.184230999999997</v>
      </c>
      <c r="AM32" s="1177">
        <v>247.99948599999999</v>
      </c>
      <c r="AN32" s="1177">
        <v>151.75765999999999</v>
      </c>
      <c r="AO32" s="1177">
        <v>295.168994</v>
      </c>
      <c r="AP32" s="1177">
        <v>217.60972100000001</v>
      </c>
      <c r="AQ32" s="1177">
        <v>70.833980999999994</v>
      </c>
      <c r="AR32" s="1177">
        <v>280.38958600000001</v>
      </c>
      <c r="AS32" s="1177">
        <v>235.05404899999999</v>
      </c>
      <c r="AT32" s="1177"/>
      <c r="AU32" s="1179">
        <f t="shared" si="50"/>
        <v>171.3146269166667</v>
      </c>
      <c r="AV32" s="1180">
        <v>164.42631399999999</v>
      </c>
      <c r="AW32" s="1177">
        <v>160.29350700000001</v>
      </c>
      <c r="AX32" s="1177">
        <v>169.729457</v>
      </c>
      <c r="AY32" s="1177">
        <v>168.77785700000001</v>
      </c>
      <c r="AZ32" s="1177">
        <v>62.452184000000003</v>
      </c>
      <c r="BA32" s="1177"/>
      <c r="BB32" s="1177"/>
      <c r="BC32" s="1177"/>
      <c r="BD32" s="1177"/>
      <c r="BE32" s="1177"/>
      <c r="BF32" s="1177"/>
      <c r="BG32" s="1177"/>
      <c r="BH32" s="1177">
        <f t="shared" si="51"/>
        <v>145.13586380000001</v>
      </c>
      <c r="BI32" s="1182" cm="1">
        <f t="array" ref="BI32">INDEX(BL32:BW32,$BL$1)</f>
        <v>216.01673683855245</v>
      </c>
      <c r="BJ32" s="1184"/>
      <c r="BK32" s="1503"/>
      <c r="BL32" s="1177">
        <v>223.70246181935241</v>
      </c>
      <c r="BM32" s="1177">
        <v>168.6073998785524</v>
      </c>
      <c r="BN32" s="1177">
        <v>251.92246181935241</v>
      </c>
      <c r="BO32" s="1177">
        <v>217.61789760495239</v>
      </c>
      <c r="BP32" s="1177">
        <v>216.01673683855245</v>
      </c>
      <c r="BQ32" s="1177">
        <v>278.5706246049524</v>
      </c>
      <c r="BR32" s="1177">
        <v>224.63278194735244</v>
      </c>
      <c r="BS32" s="1177">
        <v>244.10550894735243</v>
      </c>
      <c r="BT32" s="1177">
        <v>237.92854547695242</v>
      </c>
      <c r="BU32" s="1177">
        <v>220.12091558201908</v>
      </c>
      <c r="BV32" s="1177">
        <v>220.11849860761907</v>
      </c>
      <c r="BW32" s="1177">
        <v>239.92091558201909</v>
      </c>
      <c r="BX32" s="797">
        <f t="shared" si="54"/>
        <v>2743.2647487090294</v>
      </c>
      <c r="BY32" s="1491">
        <f t="shared" si="52"/>
        <v>0</v>
      </c>
      <c r="BZ32" s="1177"/>
      <c r="CA32" s="1177"/>
      <c r="CB32" s="1177"/>
      <c r="CC32" s="1177"/>
      <c r="CD32" s="1177"/>
      <c r="CE32" s="1177"/>
      <c r="CF32" s="1177"/>
      <c r="CG32" s="1177"/>
      <c r="CH32" s="1177"/>
      <c r="CI32" s="1177"/>
      <c r="CJ32" s="1177"/>
      <c r="CK32" s="1177"/>
      <c r="CL32" s="797">
        <f t="shared" si="55"/>
        <v>0</v>
      </c>
      <c r="CN32" s="1177"/>
      <c r="CO32" s="1177"/>
      <c r="CP32" s="1177"/>
      <c r="CQ32" s="1177"/>
      <c r="CR32" s="1177"/>
      <c r="CS32" s="1177"/>
      <c r="CT32" s="1177"/>
      <c r="CU32" s="1177"/>
      <c r="CV32" s="1177"/>
      <c r="CW32" s="1177"/>
      <c r="CX32" s="1177"/>
      <c r="CY32" s="1177"/>
      <c r="CZ32" s="797">
        <f t="shared" si="56"/>
        <v>0</v>
      </c>
      <c r="DB32" s="1177">
        <v>213.66646181935241</v>
      </c>
      <c r="DC32" s="1177">
        <v>158.5713998785524</v>
      </c>
      <c r="DD32" s="1177">
        <v>241.88646181935241</v>
      </c>
      <c r="DE32" s="1177">
        <v>207.58189760495239</v>
      </c>
      <c r="DF32" s="1177">
        <v>205.98073683855245</v>
      </c>
      <c r="DG32" s="1177">
        <v>268.5346246049524</v>
      </c>
      <c r="DH32" s="1177">
        <v>214.59678194735244</v>
      </c>
      <c r="DI32" s="1177">
        <v>234.06950894735243</v>
      </c>
      <c r="DJ32" s="1177">
        <v>224.89254547695242</v>
      </c>
      <c r="DK32" s="1177">
        <v>210.08491558201908</v>
      </c>
      <c r="DL32" s="1177">
        <v>210.08249860761907</v>
      </c>
      <c r="DM32" s="1177">
        <v>229.88491558201909</v>
      </c>
      <c r="DN32" s="797">
        <f t="shared" si="57"/>
        <v>2619.8327487090287</v>
      </c>
      <c r="DP32" s="1177"/>
      <c r="DQ32" s="1177"/>
      <c r="DR32" s="1177"/>
      <c r="DS32" s="1177"/>
      <c r="DT32" s="1177"/>
      <c r="DU32" s="1177"/>
      <c r="DV32" s="1177"/>
      <c r="DW32" s="1177"/>
      <c r="DX32" s="1177"/>
      <c r="DY32" s="1177"/>
      <c r="DZ32" s="1177"/>
      <c r="EA32" s="1177"/>
      <c r="EB32" s="797">
        <f t="shared" si="58"/>
        <v>0</v>
      </c>
      <c r="ED32" s="1177">
        <v>0</v>
      </c>
      <c r="EE32" s="1177">
        <v>0</v>
      </c>
      <c r="EF32" s="1177">
        <v>0</v>
      </c>
      <c r="EG32" s="1177">
        <v>0</v>
      </c>
      <c r="EH32" s="1177">
        <v>0</v>
      </c>
      <c r="EI32" s="1177">
        <v>0</v>
      </c>
      <c r="EJ32" s="1177">
        <v>0</v>
      </c>
      <c r="EK32" s="1177">
        <v>0</v>
      </c>
      <c r="EL32" s="1177">
        <v>0</v>
      </c>
      <c r="EM32" s="1177">
        <v>0</v>
      </c>
      <c r="EN32" s="1177">
        <v>0</v>
      </c>
      <c r="EO32" s="1177">
        <v>0</v>
      </c>
      <c r="EP32" s="797">
        <f t="shared" si="59"/>
        <v>0</v>
      </c>
      <c r="ER32" s="1177">
        <v>10.036</v>
      </c>
      <c r="ES32" s="1177">
        <v>10.036</v>
      </c>
      <c r="ET32" s="1177">
        <v>10.036</v>
      </c>
      <c r="EU32" s="1177">
        <v>10.036</v>
      </c>
      <c r="EV32" s="1177">
        <v>10.036</v>
      </c>
      <c r="EW32" s="1177">
        <v>10.036</v>
      </c>
      <c r="EX32" s="1177">
        <v>10.036</v>
      </c>
      <c r="EY32" s="1177">
        <v>10.036</v>
      </c>
      <c r="EZ32" s="1177">
        <v>13.036</v>
      </c>
      <c r="FA32" s="1177">
        <v>10.036</v>
      </c>
      <c r="FB32" s="1177">
        <v>10.036</v>
      </c>
      <c r="FC32" s="1177">
        <v>10.036</v>
      </c>
      <c r="FD32" s="797">
        <f t="shared" si="60"/>
        <v>123.432</v>
      </c>
      <c r="FF32" s="1177"/>
      <c r="FG32" s="1177"/>
      <c r="FH32" s="1177"/>
      <c r="FI32" s="1177"/>
      <c r="FJ32" s="1177"/>
      <c r="FK32" s="1177"/>
      <c r="FL32" s="1177"/>
      <c r="FM32" s="1177"/>
      <c r="FN32" s="1177"/>
      <c r="FO32" s="1177"/>
      <c r="FP32" s="1177"/>
      <c r="FQ32" s="1177"/>
      <c r="FR32" s="797">
        <f t="shared" si="61"/>
        <v>0</v>
      </c>
    </row>
    <row r="33" spans="1:174" ht="14.15" hidden="1" customHeight="1">
      <c r="A33" s="422">
        <f t="shared" si="62"/>
        <v>11</v>
      </c>
      <c r="B33" s="422" t="s">
        <v>440</v>
      </c>
      <c r="C33" s="422" t="s">
        <v>444</v>
      </c>
      <c r="D33" s="1175" t="s">
        <v>844</v>
      </c>
      <c r="E33" s="1176" t="s">
        <v>827</v>
      </c>
      <c r="F33" s="1177">
        <v>86.919137000000006</v>
      </c>
      <c r="G33" s="1177">
        <v>168.83827400000001</v>
      </c>
      <c r="H33" s="1177">
        <v>168.83827400000001</v>
      </c>
      <c r="I33" s="1177">
        <v>168.83827400000001</v>
      </c>
      <c r="J33" s="1177">
        <v>84.419137000000006</v>
      </c>
      <c r="K33" s="1177">
        <v>84.419137000000006</v>
      </c>
      <c r="L33" s="1177">
        <v>84.419137000000006</v>
      </c>
      <c r="M33" s="1177">
        <v>84.419137000000006</v>
      </c>
      <c r="N33" s="1177">
        <v>0</v>
      </c>
      <c r="O33" s="1177">
        <v>0</v>
      </c>
      <c r="P33" s="1177">
        <v>52.797851000000001</v>
      </c>
      <c r="Q33" s="1178">
        <v>52.797851000000001</v>
      </c>
      <c r="R33" s="1179">
        <f t="shared" si="53"/>
        <v>86.392184083333333</v>
      </c>
      <c r="S33" s="1180">
        <v>52.797851000000001</v>
      </c>
      <c r="T33" s="1177">
        <v>52.797851000000001</v>
      </c>
      <c r="U33" s="1177">
        <v>52.797851000000001</v>
      </c>
      <c r="V33" s="1177">
        <v>52.797851000000001</v>
      </c>
      <c r="W33" s="1177">
        <v>52.797851000000001</v>
      </c>
      <c r="X33" s="1177">
        <v>52.797851000000001</v>
      </c>
      <c r="Y33" s="1177">
        <v>52.797851000000001</v>
      </c>
      <c r="Z33" s="1177">
        <v>52.797851000000001</v>
      </c>
      <c r="AA33" s="1177">
        <v>52.797851000000001</v>
      </c>
      <c r="AB33" s="1177">
        <v>133.196912</v>
      </c>
      <c r="AC33" s="1177">
        <v>80.399061000000003</v>
      </c>
      <c r="AD33" s="1177">
        <v>80.399061000000003</v>
      </c>
      <c r="AE33" s="1177">
        <v>0</v>
      </c>
      <c r="AF33" s="1181">
        <f t="shared" si="48"/>
        <v>769.17569299999991</v>
      </c>
      <c r="AG33" s="1179">
        <f t="shared" si="49"/>
        <v>64.097974416666659</v>
      </c>
      <c r="AH33" s="1180">
        <v>80.399061000000003</v>
      </c>
      <c r="AI33" s="1177">
        <v>80.399061000000003</v>
      </c>
      <c r="AJ33" s="1177">
        <v>80.399061000000003</v>
      </c>
      <c r="AK33" s="1177">
        <v>0</v>
      </c>
      <c r="AL33" s="1177">
        <v>80.399062000000001</v>
      </c>
      <c r="AM33" s="1177">
        <v>86.795724000000007</v>
      </c>
      <c r="AN33" s="1177">
        <v>86.795724000000007</v>
      </c>
      <c r="AO33" s="1177">
        <v>86.795724000000007</v>
      </c>
      <c r="AP33" s="1177">
        <v>86.795724000000007</v>
      </c>
      <c r="AQ33" s="1177">
        <v>86.795724000000007</v>
      </c>
      <c r="AR33" s="1177">
        <v>87.208938000000003</v>
      </c>
      <c r="AS33" s="1177">
        <v>87.208938000000003</v>
      </c>
      <c r="AT33" s="1177"/>
      <c r="AU33" s="1179">
        <f t="shared" si="50"/>
        <v>77.49939508333334</v>
      </c>
      <c r="AV33" s="1180">
        <v>87.208938000000003</v>
      </c>
      <c r="AW33" s="1177">
        <v>87.208938000000003</v>
      </c>
      <c r="AX33" s="1177">
        <v>87.208938000000003</v>
      </c>
      <c r="AY33" s="1177">
        <v>87.208938000000003</v>
      </c>
      <c r="AZ33" s="1177">
        <v>66.497399999999999</v>
      </c>
      <c r="BA33" s="1177"/>
      <c r="BB33" s="1177"/>
      <c r="BC33" s="1177"/>
      <c r="BD33" s="1177"/>
      <c r="BE33" s="1177"/>
      <c r="BF33" s="1177"/>
      <c r="BG33" s="1177"/>
      <c r="BH33" s="1177">
        <f t="shared" si="51"/>
        <v>83.066630400000008</v>
      </c>
      <c r="BI33" s="1182" cm="1">
        <f t="array" ref="BI33">INDEX(BL33:BW33,$BL$1)</f>
        <v>172.88987466666666</v>
      </c>
      <c r="BJ33" s="1184"/>
      <c r="BK33" s="1503"/>
      <c r="BL33" s="1177">
        <v>87.20893816666667</v>
      </c>
      <c r="BM33" s="1177">
        <v>87.20893816666667</v>
      </c>
      <c r="BN33" s="1177">
        <v>87.20893816666667</v>
      </c>
      <c r="BO33" s="1177">
        <v>87.20893816666667</v>
      </c>
      <c r="BP33" s="1177">
        <v>172.88987466666666</v>
      </c>
      <c r="BQ33" s="1177">
        <v>172.88987466666666</v>
      </c>
      <c r="BR33" s="1177">
        <v>172.88987466666666</v>
      </c>
      <c r="BS33" s="1177">
        <v>172.88987466666666</v>
      </c>
      <c r="BT33" s="1177">
        <v>172.88987466666666</v>
      </c>
      <c r="BU33" s="1177">
        <v>172.88987466666666</v>
      </c>
      <c r="BV33" s="1177">
        <v>172.88987466666666</v>
      </c>
      <c r="BW33" s="1177">
        <v>172.88987466666666</v>
      </c>
      <c r="BX33" s="797">
        <f t="shared" si="54"/>
        <v>1731.9547499999999</v>
      </c>
      <c r="BY33" s="1491">
        <f t="shared" si="52"/>
        <v>0</v>
      </c>
      <c r="BZ33" s="1177"/>
      <c r="CA33" s="1177"/>
      <c r="CB33" s="1177"/>
      <c r="CC33" s="1177"/>
      <c r="CD33" s="1177"/>
      <c r="CE33" s="1177"/>
      <c r="CF33" s="1177"/>
      <c r="CG33" s="1177"/>
      <c r="CH33" s="1177"/>
      <c r="CI33" s="1177"/>
      <c r="CJ33" s="1177"/>
      <c r="CK33" s="1177"/>
      <c r="CL33" s="797">
        <f t="shared" si="55"/>
        <v>0</v>
      </c>
      <c r="CN33" s="1177"/>
      <c r="CO33" s="1177"/>
      <c r="CP33" s="1177"/>
      <c r="CQ33" s="1177"/>
      <c r="CR33" s="1177"/>
      <c r="CS33" s="1177"/>
      <c r="CT33" s="1177"/>
      <c r="CU33" s="1177"/>
      <c r="CV33" s="1177"/>
      <c r="CW33" s="1177"/>
      <c r="CX33" s="1177"/>
      <c r="CY33" s="1177"/>
      <c r="CZ33" s="797">
        <f t="shared" si="56"/>
        <v>0</v>
      </c>
      <c r="DB33" s="1177">
        <v>0</v>
      </c>
      <c r="DC33" s="1177">
        <v>0</v>
      </c>
      <c r="DD33" s="1177">
        <v>0</v>
      </c>
      <c r="DE33" s="1177">
        <v>0</v>
      </c>
      <c r="DF33" s="1177">
        <v>0</v>
      </c>
      <c r="DG33" s="1177">
        <v>0</v>
      </c>
      <c r="DH33" s="1177">
        <v>0</v>
      </c>
      <c r="DI33" s="1177">
        <v>0</v>
      </c>
      <c r="DJ33" s="1177">
        <v>0</v>
      </c>
      <c r="DK33" s="1177">
        <v>0</v>
      </c>
      <c r="DL33" s="1177">
        <v>0</v>
      </c>
      <c r="DM33" s="1177">
        <v>0</v>
      </c>
      <c r="DN33" s="797">
        <f t="shared" si="57"/>
        <v>0</v>
      </c>
      <c r="DP33" s="1177"/>
      <c r="DQ33" s="1177"/>
      <c r="DR33" s="1177"/>
      <c r="DS33" s="1177"/>
      <c r="DT33" s="1177"/>
      <c r="DU33" s="1177"/>
      <c r="DV33" s="1177"/>
      <c r="DW33" s="1177"/>
      <c r="DX33" s="1177"/>
      <c r="DY33" s="1177"/>
      <c r="DZ33" s="1177"/>
      <c r="EA33" s="1177"/>
      <c r="EB33" s="797">
        <f t="shared" si="58"/>
        <v>0</v>
      </c>
      <c r="ED33" s="1177">
        <v>0</v>
      </c>
      <c r="EE33" s="1177">
        <v>0</v>
      </c>
      <c r="EF33" s="1177">
        <v>0</v>
      </c>
      <c r="EG33" s="1177">
        <v>0</v>
      </c>
      <c r="EH33" s="1177">
        <v>0</v>
      </c>
      <c r="EI33" s="1177">
        <v>0</v>
      </c>
      <c r="EJ33" s="1177">
        <v>0</v>
      </c>
      <c r="EK33" s="1177">
        <v>0</v>
      </c>
      <c r="EL33" s="1177">
        <v>0</v>
      </c>
      <c r="EM33" s="1177">
        <v>0</v>
      </c>
      <c r="EN33" s="1177">
        <v>0</v>
      </c>
      <c r="EO33" s="1177">
        <v>0</v>
      </c>
      <c r="EP33" s="797">
        <f t="shared" si="59"/>
        <v>0</v>
      </c>
      <c r="ER33" s="1177">
        <v>87.20893816666667</v>
      </c>
      <c r="ES33" s="1177">
        <v>87.20893816666667</v>
      </c>
      <c r="ET33" s="1177">
        <v>87.20893816666667</v>
      </c>
      <c r="EU33" s="1177">
        <v>87.20893816666667</v>
      </c>
      <c r="EV33" s="1177">
        <v>172.88987466666666</v>
      </c>
      <c r="EW33" s="1177">
        <v>172.88987466666666</v>
      </c>
      <c r="EX33" s="1177">
        <v>172.88987466666666</v>
      </c>
      <c r="EY33" s="1177">
        <v>172.88987466666666</v>
      </c>
      <c r="EZ33" s="1177">
        <v>172.88987466666666</v>
      </c>
      <c r="FA33" s="1177">
        <v>172.88987466666666</v>
      </c>
      <c r="FB33" s="1177">
        <v>172.88987466666666</v>
      </c>
      <c r="FC33" s="1177">
        <v>172.88987466666666</v>
      </c>
      <c r="FD33" s="797">
        <f t="shared" si="60"/>
        <v>1731.9547499999999</v>
      </c>
      <c r="FF33" s="1177"/>
      <c r="FG33" s="1177"/>
      <c r="FH33" s="1177"/>
      <c r="FI33" s="1177"/>
      <c r="FJ33" s="1177"/>
      <c r="FK33" s="1177"/>
      <c r="FL33" s="1177"/>
      <c r="FM33" s="1177"/>
      <c r="FN33" s="1177"/>
      <c r="FO33" s="1177"/>
      <c r="FP33" s="1177"/>
      <c r="FQ33" s="1177"/>
      <c r="FR33" s="797">
        <f t="shared" si="61"/>
        <v>0</v>
      </c>
    </row>
    <row r="34" spans="1:174" ht="14.15" hidden="1" customHeight="1">
      <c r="A34" s="422">
        <f t="shared" si="62"/>
        <v>12</v>
      </c>
      <c r="B34" s="422" t="s">
        <v>440</v>
      </c>
      <c r="C34" s="422" t="s">
        <v>444</v>
      </c>
      <c r="D34" s="1175" t="s">
        <v>845</v>
      </c>
      <c r="E34" s="1176" t="s">
        <v>827</v>
      </c>
      <c r="F34" s="1177">
        <v>35.109521000000001</v>
      </c>
      <c r="G34" s="1177">
        <v>76.818160000000006</v>
      </c>
      <c r="H34" s="1177">
        <v>28.211646000000002</v>
      </c>
      <c r="I34" s="1177">
        <v>23.111598000000001</v>
      </c>
      <c r="J34" s="1177">
        <v>19.621597999999999</v>
      </c>
      <c r="K34" s="1177">
        <v>21.720980999999998</v>
      </c>
      <c r="L34" s="1177">
        <v>35.012847999999998</v>
      </c>
      <c r="M34" s="1177">
        <v>35.573756000000003</v>
      </c>
      <c r="N34" s="1177">
        <v>44.561959000000002</v>
      </c>
      <c r="O34" s="1177">
        <v>43.024603999999997</v>
      </c>
      <c r="P34" s="1177">
        <v>35.644986000000003</v>
      </c>
      <c r="Q34" s="1178">
        <v>48.579369999999997</v>
      </c>
      <c r="R34" s="1179">
        <f t="shared" si="53"/>
        <v>37.249252250000005</v>
      </c>
      <c r="S34" s="1180">
        <v>304.074409</v>
      </c>
      <c r="T34" s="1177">
        <v>286.17897499999998</v>
      </c>
      <c r="U34" s="1177">
        <v>44.464737</v>
      </c>
      <c r="V34" s="1177">
        <v>44.776470000000003</v>
      </c>
      <c r="W34" s="1177">
        <v>44.41337</v>
      </c>
      <c r="X34" s="1177">
        <v>69.929940999999999</v>
      </c>
      <c r="Y34" s="1177">
        <v>49.511733999999997</v>
      </c>
      <c r="Z34" s="1177">
        <v>80.874835000000004</v>
      </c>
      <c r="AA34" s="1177">
        <v>591.82500600000003</v>
      </c>
      <c r="AB34" s="1177">
        <v>54.115850000000002</v>
      </c>
      <c r="AC34" s="1177">
        <v>66.468480999999997</v>
      </c>
      <c r="AD34" s="1177">
        <v>88.386717000000004</v>
      </c>
      <c r="AE34" s="1232">
        <v>9.1538959999999996</v>
      </c>
      <c r="AF34" s="1181">
        <f t="shared" si="48"/>
        <v>1734.1744210000002</v>
      </c>
      <c r="AG34" s="1179">
        <f t="shared" si="49"/>
        <v>144.51453508333336</v>
      </c>
      <c r="AH34" s="1180">
        <v>547.76191300000005</v>
      </c>
      <c r="AI34" s="1177">
        <v>76.997563999999997</v>
      </c>
      <c r="AJ34" s="1177">
        <v>63.927276999999997</v>
      </c>
      <c r="AK34" s="1177">
        <v>43.090344999999999</v>
      </c>
      <c r="AL34" s="1177">
        <v>46.340394000000003</v>
      </c>
      <c r="AM34" s="1177">
        <v>27.467345000000002</v>
      </c>
      <c r="AN34" s="1177">
        <v>90.952610000000007</v>
      </c>
      <c r="AO34" s="1177">
        <v>155.68275399999999</v>
      </c>
      <c r="AP34" s="1177">
        <v>1586.7915029999999</v>
      </c>
      <c r="AQ34" s="1177">
        <v>138.45326800000001</v>
      </c>
      <c r="AR34" s="1177">
        <v>102.66128999999999</v>
      </c>
      <c r="AS34" s="1177">
        <v>158.33250200000001</v>
      </c>
      <c r="AT34" s="1177"/>
      <c r="AU34" s="1179">
        <f t="shared" si="50"/>
        <v>253.20489708333335</v>
      </c>
      <c r="AV34" s="1180">
        <v>298.914467</v>
      </c>
      <c r="AW34" s="1177">
        <v>643.608294</v>
      </c>
      <c r="AX34" s="1177">
        <v>128.959686</v>
      </c>
      <c r="AY34" s="1177">
        <v>62.590373</v>
      </c>
      <c r="AZ34" s="1177">
        <v>124.941363</v>
      </c>
      <c r="BA34" s="1177"/>
      <c r="BB34" s="1177"/>
      <c r="BC34" s="1177"/>
      <c r="BD34" s="1177"/>
      <c r="BE34" s="1177"/>
      <c r="BF34" s="1177"/>
      <c r="BG34" s="1177"/>
      <c r="BH34" s="1177">
        <f t="shared" si="51"/>
        <v>251.80283659999995</v>
      </c>
      <c r="BI34" s="1182" cm="1">
        <f t="array" ref="BI34">INDEX(BL34:BW34,$BL$1)</f>
        <v>44.866667916666671</v>
      </c>
      <c r="BJ34" s="1184"/>
      <c r="BK34" s="1503"/>
      <c r="BL34" s="1177">
        <v>919.66037791666679</v>
      </c>
      <c r="BM34" s="1177">
        <v>99.466667916666665</v>
      </c>
      <c r="BN34" s="1177">
        <v>44.866667916666671</v>
      </c>
      <c r="BO34" s="1177">
        <v>44.866667916666671</v>
      </c>
      <c r="BP34" s="1177">
        <v>44.866667916666671</v>
      </c>
      <c r="BQ34" s="1177">
        <v>104.11238220238096</v>
      </c>
      <c r="BR34" s="1177">
        <v>851.15238220238086</v>
      </c>
      <c r="BS34" s="1177">
        <v>880.55238220238084</v>
      </c>
      <c r="BT34" s="1177">
        <v>79.308039285714287</v>
      </c>
      <c r="BU34" s="1177">
        <v>103.67617745238095</v>
      </c>
      <c r="BV34" s="1177">
        <v>103.67617745238095</v>
      </c>
      <c r="BW34" s="1177">
        <v>103.67617745238095</v>
      </c>
      <c r="BX34" s="797">
        <f t="shared" si="54"/>
        <v>3379.8807678333337</v>
      </c>
      <c r="BY34" s="1491">
        <f t="shared" si="52"/>
        <v>0</v>
      </c>
      <c r="BZ34" s="1177"/>
      <c r="CA34" s="1177"/>
      <c r="CB34" s="1177"/>
      <c r="CC34" s="1177"/>
      <c r="CD34" s="1177"/>
      <c r="CE34" s="1177"/>
      <c r="CF34" s="1177"/>
      <c r="CG34" s="1177"/>
      <c r="CH34" s="1177"/>
      <c r="CI34" s="1177"/>
      <c r="CJ34" s="1177"/>
      <c r="CK34" s="1177"/>
      <c r="CL34" s="797">
        <f t="shared" si="55"/>
        <v>0</v>
      </c>
      <c r="CN34" s="1177"/>
      <c r="CO34" s="1177"/>
      <c r="CP34" s="1177"/>
      <c r="CQ34" s="1177"/>
      <c r="CR34" s="1177"/>
      <c r="CS34" s="1177"/>
      <c r="CT34" s="1177"/>
      <c r="CU34" s="1177"/>
      <c r="CV34" s="1177"/>
      <c r="CW34" s="1177"/>
      <c r="CX34" s="1177"/>
      <c r="CY34" s="1177"/>
      <c r="CZ34" s="797">
        <f t="shared" si="56"/>
        <v>0</v>
      </c>
      <c r="DB34" s="1177">
        <v>0</v>
      </c>
      <c r="DC34" s="1177">
        <v>0</v>
      </c>
      <c r="DD34" s="1177">
        <v>0</v>
      </c>
      <c r="DE34" s="1177">
        <v>0</v>
      </c>
      <c r="DF34" s="1177">
        <v>0</v>
      </c>
      <c r="DG34" s="1177">
        <v>0</v>
      </c>
      <c r="DH34" s="1177">
        <v>0</v>
      </c>
      <c r="DI34" s="1177">
        <v>0</v>
      </c>
      <c r="DJ34" s="1177">
        <v>0</v>
      </c>
      <c r="DK34" s="1177">
        <v>0</v>
      </c>
      <c r="DL34" s="1177">
        <v>0</v>
      </c>
      <c r="DM34" s="1177">
        <v>0</v>
      </c>
      <c r="DN34" s="797">
        <f t="shared" si="57"/>
        <v>0</v>
      </c>
      <c r="DP34" s="1177"/>
      <c r="DQ34" s="1177"/>
      <c r="DR34" s="1177"/>
      <c r="DS34" s="1177"/>
      <c r="DT34" s="1177"/>
      <c r="DU34" s="1177"/>
      <c r="DV34" s="1177"/>
      <c r="DW34" s="1177"/>
      <c r="DX34" s="1177"/>
      <c r="DY34" s="1177"/>
      <c r="DZ34" s="1177"/>
      <c r="EA34" s="1177"/>
      <c r="EB34" s="797">
        <f t="shared" si="58"/>
        <v>0</v>
      </c>
      <c r="ED34" s="1177">
        <v>0</v>
      </c>
      <c r="EE34" s="1177">
        <v>0</v>
      </c>
      <c r="EF34" s="1177">
        <v>0</v>
      </c>
      <c r="EG34" s="1177">
        <v>0</v>
      </c>
      <c r="EH34" s="1177">
        <v>0</v>
      </c>
      <c r="EI34" s="1177">
        <v>0</v>
      </c>
      <c r="EJ34" s="1177">
        <v>0</v>
      </c>
      <c r="EK34" s="1177">
        <v>0</v>
      </c>
      <c r="EL34" s="1177">
        <v>0</v>
      </c>
      <c r="EM34" s="1177">
        <v>0</v>
      </c>
      <c r="EN34" s="1177">
        <v>0</v>
      </c>
      <c r="EO34" s="1177">
        <v>0</v>
      </c>
      <c r="EP34" s="797">
        <f t="shared" si="59"/>
        <v>0</v>
      </c>
      <c r="ER34" s="1177">
        <v>919.66037791666668</v>
      </c>
      <c r="ES34" s="1177">
        <v>99.466667916666665</v>
      </c>
      <c r="ET34" s="1177">
        <v>44.866667916666671</v>
      </c>
      <c r="EU34" s="1177">
        <v>44.866667916666671</v>
      </c>
      <c r="EV34" s="1177">
        <v>44.866667916666671</v>
      </c>
      <c r="EW34" s="1177">
        <v>104.11238220238096</v>
      </c>
      <c r="EX34" s="1177">
        <v>851.15238220238086</v>
      </c>
      <c r="EY34" s="1177">
        <v>880.55238220238084</v>
      </c>
      <c r="EZ34" s="1177">
        <v>79.308039285714287</v>
      </c>
      <c r="FA34" s="1177">
        <v>103.67617745238095</v>
      </c>
      <c r="FB34" s="1177">
        <v>103.67617745238095</v>
      </c>
      <c r="FC34" s="1177">
        <v>103.67617745238095</v>
      </c>
      <c r="FD34" s="797">
        <f t="shared" si="60"/>
        <v>3379.8807678333337</v>
      </c>
      <c r="FF34" s="1177"/>
      <c r="FG34" s="1177"/>
      <c r="FH34" s="1177"/>
      <c r="FI34" s="1177"/>
      <c r="FJ34" s="1177"/>
      <c r="FK34" s="1177"/>
      <c r="FL34" s="1177"/>
      <c r="FM34" s="1177"/>
      <c r="FN34" s="1177"/>
      <c r="FO34" s="1177"/>
      <c r="FP34" s="1177"/>
      <c r="FQ34" s="1177"/>
      <c r="FR34" s="797">
        <f t="shared" si="61"/>
        <v>0</v>
      </c>
    </row>
    <row r="35" spans="1:174" hidden="1">
      <c r="A35" s="422">
        <f t="shared" si="62"/>
        <v>13</v>
      </c>
      <c r="B35" s="422" t="s">
        <v>440</v>
      </c>
      <c r="C35" s="422" t="s">
        <v>444</v>
      </c>
      <c r="D35" s="1175" t="s">
        <v>846</v>
      </c>
      <c r="E35" s="1176" t="s">
        <v>827</v>
      </c>
      <c r="F35" s="1177">
        <v>43.4</v>
      </c>
      <c r="G35" s="1177">
        <v>76.728999999999999</v>
      </c>
      <c r="H35" s="1177">
        <v>64.912999999999997</v>
      </c>
      <c r="I35" s="1177">
        <v>59</v>
      </c>
      <c r="J35" s="1177">
        <v>61.154000000000003</v>
      </c>
      <c r="K35" s="1177">
        <v>59.834000000000003</v>
      </c>
      <c r="L35" s="1177">
        <v>61.836091000000003</v>
      </c>
      <c r="M35" s="1177">
        <v>59.581480999999997</v>
      </c>
      <c r="N35" s="1177">
        <v>59.140999999999998</v>
      </c>
      <c r="O35" s="1177">
        <v>62.084000000000003</v>
      </c>
      <c r="P35" s="1177">
        <v>61.822000000000003</v>
      </c>
      <c r="Q35" s="1178">
        <v>59.521999999999998</v>
      </c>
      <c r="R35" s="1179">
        <f t="shared" si="53"/>
        <v>60.751381000000002</v>
      </c>
      <c r="S35" s="1180">
        <f>66.416+6.146691</f>
        <v>72.562691000000001</v>
      </c>
      <c r="T35" s="1177">
        <v>59</v>
      </c>
      <c r="U35" s="1177">
        <v>63.779000000000003</v>
      </c>
      <c r="V35" s="1177">
        <v>140.001</v>
      </c>
      <c r="W35" s="1177">
        <v>104.541</v>
      </c>
      <c r="X35" s="1177">
        <v>186.06800000000001</v>
      </c>
      <c r="Y35" s="1177">
        <v>125.43600000000001</v>
      </c>
      <c r="Z35" s="1177">
        <v>119.5</v>
      </c>
      <c r="AA35" s="1177">
        <v>138.75700000000001</v>
      </c>
      <c r="AB35" s="1177">
        <v>134.88300000000001</v>
      </c>
      <c r="AC35" s="1177">
        <v>136.614</v>
      </c>
      <c r="AD35" s="1177">
        <v>132.934</v>
      </c>
      <c r="AE35" s="1177">
        <v>0</v>
      </c>
      <c r="AF35" s="1181">
        <f t="shared" si="48"/>
        <v>1414.075691</v>
      </c>
      <c r="AG35" s="1179">
        <f t="shared" si="49"/>
        <v>117.83964091666667</v>
      </c>
      <c r="AH35" s="1180">
        <v>144.90199999999999</v>
      </c>
      <c r="AI35" s="1177">
        <v>150.19999999999999</v>
      </c>
      <c r="AJ35" s="1177">
        <v>178.80032</v>
      </c>
      <c r="AK35" s="1177">
        <v>194.94200000000001</v>
      </c>
      <c r="AL35" s="1177">
        <v>180.02500000000001</v>
      </c>
      <c r="AM35" s="1177">
        <v>170.76599999999999</v>
      </c>
      <c r="AN35" s="1177">
        <v>185.5025</v>
      </c>
      <c r="AO35" s="1177">
        <v>181.62127799999999</v>
      </c>
      <c r="AP35" s="1177">
        <v>185.69911200000001</v>
      </c>
      <c r="AQ35" s="1177">
        <v>178.20511200000001</v>
      </c>
      <c r="AR35" s="1177">
        <v>185.91900000000001</v>
      </c>
      <c r="AS35" s="1177">
        <v>192.53299999999999</v>
      </c>
      <c r="AT35" s="1177"/>
      <c r="AU35" s="1179">
        <f t="shared" si="50"/>
        <v>177.42627683333333</v>
      </c>
      <c r="AV35" s="1180">
        <v>184.973444</v>
      </c>
      <c r="AW35" s="1177">
        <v>161.90299999999999</v>
      </c>
      <c r="AX35" s="1177">
        <v>179.827</v>
      </c>
      <c r="AY35" s="1177">
        <v>205.899778</v>
      </c>
      <c r="AZ35" s="1177">
        <v>197.81899999999999</v>
      </c>
      <c r="BA35" s="1177"/>
      <c r="BB35" s="1177"/>
      <c r="BC35" s="1177"/>
      <c r="BD35" s="1177"/>
      <c r="BE35" s="1177"/>
      <c r="BF35" s="1177"/>
      <c r="BG35" s="1177"/>
      <c r="BH35" s="1177">
        <f t="shared" si="51"/>
        <v>186.0844444</v>
      </c>
      <c r="BI35" s="1182" cm="1">
        <f t="array" ref="BI35">INDEX(BL35:BW35,$BL$1)</f>
        <v>190</v>
      </c>
      <c r="BJ35" s="1184"/>
      <c r="BK35" s="1503"/>
      <c r="BL35" s="1177">
        <v>190</v>
      </c>
      <c r="BM35" s="1177">
        <v>190</v>
      </c>
      <c r="BN35" s="1177">
        <v>190</v>
      </c>
      <c r="BO35" s="1177">
        <v>190</v>
      </c>
      <c r="BP35" s="1177">
        <v>190</v>
      </c>
      <c r="BQ35" s="1177">
        <v>190</v>
      </c>
      <c r="BR35" s="1177">
        <v>190</v>
      </c>
      <c r="BS35" s="1177">
        <v>190</v>
      </c>
      <c r="BT35" s="1177">
        <v>190</v>
      </c>
      <c r="BU35" s="1177">
        <v>190</v>
      </c>
      <c r="BV35" s="1177">
        <v>190</v>
      </c>
      <c r="BW35" s="1177">
        <v>190</v>
      </c>
      <c r="BX35" s="797">
        <f t="shared" si="54"/>
        <v>2280</v>
      </c>
      <c r="BY35" s="1491">
        <f t="shared" si="52"/>
        <v>0</v>
      </c>
      <c r="BZ35" s="1177"/>
      <c r="CA35" s="1177"/>
      <c r="CB35" s="1177"/>
      <c r="CC35" s="1177"/>
      <c r="CD35" s="1177"/>
      <c r="CE35" s="1177"/>
      <c r="CF35" s="1177"/>
      <c r="CG35" s="1177"/>
      <c r="CH35" s="1177"/>
      <c r="CI35" s="1177"/>
      <c r="CJ35" s="1177"/>
      <c r="CK35" s="1177"/>
      <c r="CL35" s="797">
        <f t="shared" si="55"/>
        <v>0</v>
      </c>
      <c r="CN35" s="1177"/>
      <c r="CO35" s="1177"/>
      <c r="CP35" s="1177"/>
      <c r="CQ35" s="1177"/>
      <c r="CR35" s="1177"/>
      <c r="CS35" s="1177"/>
      <c r="CT35" s="1177"/>
      <c r="CU35" s="1177"/>
      <c r="CV35" s="1177"/>
      <c r="CW35" s="1177"/>
      <c r="CX35" s="1177"/>
      <c r="CY35" s="1177"/>
      <c r="CZ35" s="797">
        <f t="shared" si="56"/>
        <v>0</v>
      </c>
      <c r="DB35" s="1177">
        <v>0</v>
      </c>
      <c r="DC35" s="1177">
        <v>0</v>
      </c>
      <c r="DD35" s="1177">
        <v>0</v>
      </c>
      <c r="DE35" s="1177">
        <v>0</v>
      </c>
      <c r="DF35" s="1177">
        <v>0</v>
      </c>
      <c r="DG35" s="1177">
        <v>0</v>
      </c>
      <c r="DH35" s="1177">
        <v>0</v>
      </c>
      <c r="DI35" s="1177">
        <v>0</v>
      </c>
      <c r="DJ35" s="1177">
        <v>0</v>
      </c>
      <c r="DK35" s="1177">
        <v>0</v>
      </c>
      <c r="DL35" s="1177">
        <v>0</v>
      </c>
      <c r="DM35" s="1177">
        <v>0</v>
      </c>
      <c r="DN35" s="797">
        <f t="shared" si="57"/>
        <v>0</v>
      </c>
      <c r="DP35" s="1177"/>
      <c r="DQ35" s="1177"/>
      <c r="DR35" s="1177"/>
      <c r="DS35" s="1177"/>
      <c r="DT35" s="1177"/>
      <c r="DU35" s="1177"/>
      <c r="DV35" s="1177"/>
      <c r="DW35" s="1177"/>
      <c r="DX35" s="1177"/>
      <c r="DY35" s="1177"/>
      <c r="DZ35" s="1177"/>
      <c r="EA35" s="1177"/>
      <c r="EB35" s="797">
        <f t="shared" si="58"/>
        <v>0</v>
      </c>
      <c r="ED35" s="1177">
        <v>0</v>
      </c>
      <c r="EE35" s="1177">
        <v>0</v>
      </c>
      <c r="EF35" s="1177">
        <v>0</v>
      </c>
      <c r="EG35" s="1177">
        <v>0</v>
      </c>
      <c r="EH35" s="1177">
        <v>0</v>
      </c>
      <c r="EI35" s="1177">
        <v>0</v>
      </c>
      <c r="EJ35" s="1177">
        <v>0</v>
      </c>
      <c r="EK35" s="1177">
        <v>0</v>
      </c>
      <c r="EL35" s="1177">
        <v>0</v>
      </c>
      <c r="EM35" s="1177">
        <v>0</v>
      </c>
      <c r="EN35" s="1177">
        <v>0</v>
      </c>
      <c r="EO35" s="1177">
        <v>0</v>
      </c>
      <c r="EP35" s="797">
        <f t="shared" si="59"/>
        <v>0</v>
      </c>
      <c r="ER35" s="1177">
        <v>190</v>
      </c>
      <c r="ES35" s="1177">
        <v>190</v>
      </c>
      <c r="ET35" s="1177">
        <v>190</v>
      </c>
      <c r="EU35" s="1177">
        <v>190</v>
      </c>
      <c r="EV35" s="1177">
        <v>190</v>
      </c>
      <c r="EW35" s="1177">
        <v>190</v>
      </c>
      <c r="EX35" s="1177">
        <v>190</v>
      </c>
      <c r="EY35" s="1177">
        <v>190</v>
      </c>
      <c r="EZ35" s="1177">
        <v>190</v>
      </c>
      <c r="FA35" s="1177">
        <v>190</v>
      </c>
      <c r="FB35" s="1177">
        <v>190</v>
      </c>
      <c r="FC35" s="1177">
        <v>190</v>
      </c>
      <c r="FD35" s="797">
        <f t="shared" si="60"/>
        <v>2280</v>
      </c>
      <c r="FF35" s="1177"/>
      <c r="FG35" s="1177"/>
      <c r="FH35" s="1177"/>
      <c r="FI35" s="1177"/>
      <c r="FJ35" s="1177"/>
      <c r="FK35" s="1177"/>
      <c r="FL35" s="1177"/>
      <c r="FM35" s="1177"/>
      <c r="FN35" s="1177"/>
      <c r="FO35" s="1177"/>
      <c r="FP35" s="1177"/>
      <c r="FQ35" s="1177"/>
      <c r="FR35" s="797">
        <f t="shared" si="61"/>
        <v>0</v>
      </c>
    </row>
    <row r="36" spans="1:174" ht="14.9" customHeight="1">
      <c r="A36" s="422">
        <f t="shared" si="62"/>
        <v>14</v>
      </c>
      <c r="B36" s="422" t="s">
        <v>440</v>
      </c>
      <c r="C36" s="422" t="s">
        <v>446</v>
      </c>
      <c r="D36" s="1175" t="s">
        <v>847</v>
      </c>
      <c r="E36" s="1176" t="s">
        <v>827</v>
      </c>
      <c r="F36" s="1177">
        <v>17.148852999999999</v>
      </c>
      <c r="G36" s="1177">
        <v>17.148852999999999</v>
      </c>
      <c r="H36" s="1177">
        <v>20.330670999999999</v>
      </c>
      <c r="I36" s="1177">
        <v>21.416183</v>
      </c>
      <c r="J36" s="1177">
        <v>44.725482999999997</v>
      </c>
      <c r="K36" s="1177">
        <v>31.054328000000002</v>
      </c>
      <c r="L36" s="1177">
        <v>36.565251000000004</v>
      </c>
      <c r="M36" s="1177">
        <v>63.233274000000002</v>
      </c>
      <c r="N36" s="1177">
        <v>32.572085999999999</v>
      </c>
      <c r="O36" s="1177">
        <v>65.930916999999994</v>
      </c>
      <c r="P36" s="1177">
        <v>47.705022</v>
      </c>
      <c r="Q36" s="1178">
        <v>56.032724000000002</v>
      </c>
      <c r="R36" s="1179">
        <f t="shared" si="53"/>
        <v>37.821970416666666</v>
      </c>
      <c r="S36" s="1180">
        <v>45.744788</v>
      </c>
      <c r="T36" s="1177">
        <v>158.50536700000001</v>
      </c>
      <c r="U36" s="1177">
        <v>120.441598</v>
      </c>
      <c r="V36" s="1177">
        <v>86.955584999999999</v>
      </c>
      <c r="W36" s="1177">
        <v>76.557472000000004</v>
      </c>
      <c r="X36" s="1177">
        <v>102.91792</v>
      </c>
      <c r="Y36" s="1177">
        <v>125.387483</v>
      </c>
      <c r="Z36" s="1177">
        <v>181.946969</v>
      </c>
      <c r="AA36" s="1177">
        <v>266.33763299999998</v>
      </c>
      <c r="AB36" s="1177">
        <v>209.80821299999999</v>
      </c>
      <c r="AC36" s="1177">
        <v>256.42154900000003</v>
      </c>
      <c r="AD36" s="1177">
        <v>302.36698899999999</v>
      </c>
      <c r="AE36" s="1177">
        <v>0</v>
      </c>
      <c r="AF36" s="1181">
        <f t="shared" si="48"/>
        <v>1933.3915660000002</v>
      </c>
      <c r="AG36" s="1179">
        <f t="shared" si="49"/>
        <v>161.11596383333335</v>
      </c>
      <c r="AH36" s="1180">
        <v>213.88451599999999</v>
      </c>
      <c r="AI36" s="1177">
        <v>226.49971199999999</v>
      </c>
      <c r="AJ36" s="1177">
        <v>246.793733</v>
      </c>
      <c r="AK36" s="1177">
        <v>282.06087400000001</v>
      </c>
      <c r="AL36" s="1177">
        <v>206.58321100000001</v>
      </c>
      <c r="AM36" s="1177">
        <v>213.75224700000001</v>
      </c>
      <c r="AN36" s="1177">
        <v>211.103523</v>
      </c>
      <c r="AO36" s="1177">
        <v>224.10028700000001</v>
      </c>
      <c r="AP36" s="1177">
        <v>247.813142</v>
      </c>
      <c r="AQ36" s="1177">
        <v>356.38480800000002</v>
      </c>
      <c r="AR36" s="1177">
        <v>222.01250300000001</v>
      </c>
      <c r="AS36" s="1177">
        <v>180.170264</v>
      </c>
      <c r="AT36" s="1177"/>
      <c r="AU36" s="1179">
        <f t="shared" si="50"/>
        <v>235.92990166666667</v>
      </c>
      <c r="AV36" s="1180">
        <v>156.55246099999999</v>
      </c>
      <c r="AW36" s="1177">
        <v>185.52972299999999</v>
      </c>
      <c r="AX36" s="1177">
        <v>158.56320400000001</v>
      </c>
      <c r="AY36" s="1177">
        <v>268.63570399999998</v>
      </c>
      <c r="AZ36" s="1177">
        <v>384.06117999999998</v>
      </c>
      <c r="BA36" s="1177"/>
      <c r="BB36" s="1177"/>
      <c r="BC36" s="1177"/>
      <c r="BD36" s="1177"/>
      <c r="BE36" s="1177"/>
      <c r="BF36" s="1177"/>
      <c r="BG36" s="1177"/>
      <c r="BH36" s="1177">
        <f t="shared" si="51"/>
        <v>230.66845439999997</v>
      </c>
      <c r="BI36" s="1182" cm="1">
        <f t="array" ref="BI36">INDEX(BL36:BW36,$BL$1)</f>
        <v>200.66879748611103</v>
      </c>
      <c r="BJ36" s="1184"/>
      <c r="BK36" s="1503"/>
      <c r="BL36" s="1531">
        <f>318.191566334494-5</f>
        <v>313.19156633449398</v>
      </c>
      <c r="BM36" s="1177">
        <v>182.98773233449427</v>
      </c>
      <c r="BN36" s="1177">
        <v>346.09963081944437</v>
      </c>
      <c r="BO36" s="1531">
        <f>229.823249819444-5</f>
        <v>224.82324981944399</v>
      </c>
      <c r="BP36" s="1177">
        <v>200.66879748611103</v>
      </c>
      <c r="BQ36" s="1177">
        <v>236.69208281944441</v>
      </c>
      <c r="BR36" s="1531">
        <f>291.645794569444-5</f>
        <v>286.64579456944398</v>
      </c>
      <c r="BS36" s="1177">
        <v>156.37783256944437</v>
      </c>
      <c r="BT36" s="1177">
        <v>126.92033140277776</v>
      </c>
      <c r="BU36" s="1531">
        <f>128.024936736111-5</f>
        <v>123.02493673611099</v>
      </c>
      <c r="BV36" s="1177">
        <v>79.263049694444447</v>
      </c>
      <c r="BW36" s="1531">
        <f>97.1871176944445-5</f>
        <v>92.187117694444495</v>
      </c>
      <c r="BX36" s="797">
        <f t="shared" si="54"/>
        <v>2368.8821222800984</v>
      </c>
      <c r="BY36" s="1491">
        <f t="shared" si="52"/>
        <v>-25.000000000000909</v>
      </c>
      <c r="BZ36" s="1177"/>
      <c r="CA36" s="1177"/>
      <c r="CB36" s="1177"/>
      <c r="CC36" s="1177"/>
      <c r="CD36" s="1177"/>
      <c r="CE36" s="1177"/>
      <c r="CF36" s="1177"/>
      <c r="CG36" s="1177"/>
      <c r="CH36" s="1177"/>
      <c r="CI36" s="1177"/>
      <c r="CJ36" s="1177"/>
      <c r="CK36" s="1177"/>
      <c r="CL36" s="797">
        <f t="shared" si="55"/>
        <v>0</v>
      </c>
      <c r="CN36" s="1177"/>
      <c r="CO36" s="1177"/>
      <c r="CP36" s="1177"/>
      <c r="CQ36" s="1177"/>
      <c r="CR36" s="1177"/>
      <c r="CS36" s="1177"/>
      <c r="CT36" s="1177"/>
      <c r="CU36" s="1177"/>
      <c r="CV36" s="1177"/>
      <c r="CW36" s="1177"/>
      <c r="CX36" s="1177"/>
      <c r="CY36" s="1177"/>
      <c r="CZ36" s="797">
        <f t="shared" si="56"/>
        <v>0</v>
      </c>
      <c r="DB36" s="1177">
        <v>318.19156633449433</v>
      </c>
      <c r="DC36" s="1177">
        <v>179.29273233449427</v>
      </c>
      <c r="DD36" s="1177">
        <v>346.09963081944437</v>
      </c>
      <c r="DE36" s="1177">
        <v>229.82324981944436</v>
      </c>
      <c r="DF36" s="1177">
        <v>200.66879748611103</v>
      </c>
      <c r="DG36" s="1177">
        <v>236.69208281944441</v>
      </c>
      <c r="DH36" s="1177">
        <v>291.64579456944443</v>
      </c>
      <c r="DI36" s="1177">
        <v>152.68283256944437</v>
      </c>
      <c r="DJ36" s="1177">
        <v>126.92033140277776</v>
      </c>
      <c r="DK36" s="1177">
        <v>128.0249367361111</v>
      </c>
      <c r="DL36" s="1177">
        <v>79.263049694444447</v>
      </c>
      <c r="DM36" s="1177">
        <v>97.187117694444453</v>
      </c>
      <c r="DN36" s="797">
        <f t="shared" si="57"/>
        <v>2386.4921222800995</v>
      </c>
      <c r="DP36" s="1177"/>
      <c r="DQ36" s="1177"/>
      <c r="DR36" s="1177"/>
      <c r="DS36" s="1177"/>
      <c r="DT36" s="1177"/>
      <c r="DU36" s="1177"/>
      <c r="DV36" s="1177"/>
      <c r="DW36" s="1177"/>
      <c r="DX36" s="1177"/>
      <c r="DY36" s="1177"/>
      <c r="DZ36" s="1177"/>
      <c r="EA36" s="1177"/>
      <c r="EB36" s="797">
        <f t="shared" si="58"/>
        <v>0</v>
      </c>
      <c r="ED36" s="1177">
        <v>0</v>
      </c>
      <c r="EE36" s="1177">
        <v>3.6949999999999998</v>
      </c>
      <c r="EF36" s="1177">
        <v>0</v>
      </c>
      <c r="EG36" s="1177">
        <v>0</v>
      </c>
      <c r="EH36" s="1177">
        <v>0</v>
      </c>
      <c r="EI36" s="1177">
        <v>0</v>
      </c>
      <c r="EJ36" s="1177">
        <v>0</v>
      </c>
      <c r="EK36" s="1177">
        <v>3.6949999999999998</v>
      </c>
      <c r="EL36" s="1177">
        <v>0</v>
      </c>
      <c r="EM36" s="1177">
        <v>0</v>
      </c>
      <c r="EN36" s="1177">
        <v>0</v>
      </c>
      <c r="EO36" s="1177">
        <v>0</v>
      </c>
      <c r="EP36" s="797">
        <f t="shared" si="59"/>
        <v>7.39</v>
      </c>
      <c r="ER36" s="1177">
        <v>0</v>
      </c>
      <c r="ES36" s="1177">
        <v>0</v>
      </c>
      <c r="ET36" s="1177">
        <v>0</v>
      </c>
      <c r="EU36" s="1177">
        <v>0</v>
      </c>
      <c r="EV36" s="1177">
        <v>0</v>
      </c>
      <c r="EW36" s="1177">
        <v>0</v>
      </c>
      <c r="EX36" s="1177">
        <v>0</v>
      </c>
      <c r="EY36" s="1177">
        <v>0</v>
      </c>
      <c r="EZ36" s="1177">
        <v>0</v>
      </c>
      <c r="FA36" s="1177">
        <v>0</v>
      </c>
      <c r="FB36" s="1177">
        <v>0</v>
      </c>
      <c r="FC36" s="1177">
        <v>0</v>
      </c>
      <c r="FD36" s="797">
        <f t="shared" si="60"/>
        <v>0</v>
      </c>
      <c r="FF36" s="1177"/>
      <c r="FG36" s="1177"/>
      <c r="FH36" s="1177"/>
      <c r="FI36" s="1177"/>
      <c r="FJ36" s="1177"/>
      <c r="FK36" s="1177"/>
      <c r="FL36" s="1177"/>
      <c r="FM36" s="1177"/>
      <c r="FN36" s="1177"/>
      <c r="FO36" s="1177"/>
      <c r="FP36" s="1177"/>
      <c r="FQ36" s="1177"/>
      <c r="FR36" s="797">
        <f t="shared" si="61"/>
        <v>0</v>
      </c>
    </row>
    <row r="37" spans="1:174" ht="14.15" hidden="1" customHeight="1">
      <c r="A37" s="422">
        <f t="shared" si="62"/>
        <v>15</v>
      </c>
      <c r="B37" s="422" t="s">
        <v>440</v>
      </c>
      <c r="C37" s="422" t="s">
        <v>444</v>
      </c>
      <c r="D37" s="1175" t="s">
        <v>175</v>
      </c>
      <c r="E37" s="1176" t="s">
        <v>827</v>
      </c>
      <c r="F37" s="1177">
        <v>107.391811</v>
      </c>
      <c r="G37" s="1177">
        <v>56.632618999999998</v>
      </c>
      <c r="H37" s="1177">
        <v>70.524044000000004</v>
      </c>
      <c r="I37" s="1177">
        <v>67.296808999999996</v>
      </c>
      <c r="J37" s="1177">
        <v>75.924930000000003</v>
      </c>
      <c r="K37" s="1177">
        <v>63.221738999999999</v>
      </c>
      <c r="L37" s="1177">
        <v>65.248301999999995</v>
      </c>
      <c r="M37" s="1177">
        <v>31.180275000000002</v>
      </c>
      <c r="N37" s="1177">
        <v>35.936444000000002</v>
      </c>
      <c r="O37" s="1177">
        <v>32.834833000000003</v>
      </c>
      <c r="P37" s="1177">
        <v>16.389824000000001</v>
      </c>
      <c r="Q37" s="1178">
        <v>11.674211</v>
      </c>
      <c r="R37" s="1179">
        <f t="shared" si="53"/>
        <v>52.854653416666679</v>
      </c>
      <c r="S37" s="1180">
        <v>15.036211</v>
      </c>
      <c r="T37" s="1177">
        <v>7.9912109999999998</v>
      </c>
      <c r="U37" s="1177">
        <v>31.867854999999999</v>
      </c>
      <c r="V37" s="1177">
        <v>46.440044</v>
      </c>
      <c r="W37" s="1177">
        <v>16.140360000000001</v>
      </c>
      <c r="X37" s="1177">
        <v>95.683347999999995</v>
      </c>
      <c r="Y37" s="1177">
        <v>19.168277</v>
      </c>
      <c r="Z37" s="1177">
        <v>100.600061</v>
      </c>
      <c r="AA37" s="1177">
        <v>104.158342</v>
      </c>
      <c r="AB37" s="1177">
        <v>81.457378000000006</v>
      </c>
      <c r="AC37" s="1177">
        <v>57.032802999999944</v>
      </c>
      <c r="AD37" s="1177">
        <v>14.523502000000001</v>
      </c>
      <c r="AE37" s="1232">
        <v>865.03441099999998</v>
      </c>
      <c r="AF37" s="1181">
        <f t="shared" si="48"/>
        <v>1455.1338029999999</v>
      </c>
      <c r="AG37" s="1179">
        <f t="shared" si="49"/>
        <v>121.26115025</v>
      </c>
      <c r="AH37" s="1180">
        <v>53.975490000000001</v>
      </c>
      <c r="AI37" s="1177">
        <v>22.717108</v>
      </c>
      <c r="AJ37" s="1177">
        <v>12.577472999999999</v>
      </c>
      <c r="AK37" s="1177">
        <v>24.451858999999999</v>
      </c>
      <c r="AL37" s="1177">
        <v>5.9704800000000002</v>
      </c>
      <c r="AM37" s="1177">
        <v>19.102816000000001</v>
      </c>
      <c r="AN37" s="1177">
        <v>27.453105999999998</v>
      </c>
      <c r="AO37" s="1177">
        <v>33.289932999999998</v>
      </c>
      <c r="AP37" s="1177">
        <v>14.866414000000001</v>
      </c>
      <c r="AQ37" s="1177">
        <v>112.731359</v>
      </c>
      <c r="AR37" s="1177">
        <v>27.238719</v>
      </c>
      <c r="AS37" s="1177">
        <v>1145.9834209999999</v>
      </c>
      <c r="AT37" s="1177"/>
      <c r="AU37" s="1179">
        <f t="shared" si="50"/>
        <v>125.02984816666667</v>
      </c>
      <c r="AV37" s="1180">
        <v>21.542494999999999</v>
      </c>
      <c r="AW37" s="1177">
        <v>11.940416000000001</v>
      </c>
      <c r="AX37" s="1177">
        <v>42.815165999999998</v>
      </c>
      <c r="AY37" s="1177">
        <v>45.739564999999999</v>
      </c>
      <c r="AZ37" s="1177">
        <v>24.448626999999998</v>
      </c>
      <c r="BA37" s="1177"/>
      <c r="BB37" s="1177"/>
      <c r="BC37" s="1177"/>
      <c r="BD37" s="1177"/>
      <c r="BE37" s="1177"/>
      <c r="BF37" s="1177"/>
      <c r="BG37" s="1177"/>
      <c r="BH37" s="1177">
        <f t="shared" si="51"/>
        <v>29.2972538</v>
      </c>
      <c r="BI37" s="1182" cm="1">
        <f t="array" ref="BI37">INDEX(BL37:BW37,$BL$1)</f>
        <v>21.125886787500001</v>
      </c>
      <c r="BJ37" s="1183"/>
      <c r="BK37" s="1503"/>
      <c r="BL37" s="1177">
        <v>22.0758867875</v>
      </c>
      <c r="BM37" s="1177">
        <v>15.525886787500001</v>
      </c>
      <c r="BN37" s="1177">
        <v>20.125886787500001</v>
      </c>
      <c r="BO37" s="1177">
        <v>15.525886787500001</v>
      </c>
      <c r="BP37" s="1177">
        <v>21.125886787500001</v>
      </c>
      <c r="BQ37" s="1177">
        <v>19.025886787500003</v>
      </c>
      <c r="BR37" s="1177">
        <v>20.125886787500001</v>
      </c>
      <c r="BS37" s="1177">
        <v>15.525886787500001</v>
      </c>
      <c r="BT37" s="1177">
        <v>21.125886787500001</v>
      </c>
      <c r="BU37" s="1177">
        <v>15.525886787500001</v>
      </c>
      <c r="BV37" s="1177">
        <v>20.125886787500001</v>
      </c>
      <c r="BW37" s="1177">
        <v>15.525886787500001</v>
      </c>
      <c r="BX37" s="797">
        <f t="shared" si="54"/>
        <v>221.36064145000006</v>
      </c>
      <c r="BY37" s="1491">
        <f t="shared" si="52"/>
        <v>0</v>
      </c>
      <c r="BZ37" s="1177"/>
      <c r="CA37" s="1177"/>
      <c r="CB37" s="1177"/>
      <c r="CC37" s="1177"/>
      <c r="CD37" s="1177"/>
      <c r="CE37" s="1177"/>
      <c r="CF37" s="1177"/>
      <c r="CG37" s="1177"/>
      <c r="CH37" s="1177"/>
      <c r="CI37" s="1177"/>
      <c r="CJ37" s="1177"/>
      <c r="CK37" s="1177"/>
      <c r="CL37" s="797">
        <f t="shared" si="55"/>
        <v>0</v>
      </c>
      <c r="CN37" s="1177"/>
      <c r="CO37" s="1177"/>
      <c r="CP37" s="1177"/>
      <c r="CQ37" s="1177"/>
      <c r="CR37" s="1177"/>
      <c r="CS37" s="1177"/>
      <c r="CT37" s="1177"/>
      <c r="CU37" s="1177"/>
      <c r="CV37" s="1177"/>
      <c r="CW37" s="1177"/>
      <c r="CX37" s="1177"/>
      <c r="CY37" s="1177"/>
      <c r="CZ37" s="797">
        <f t="shared" si="56"/>
        <v>0</v>
      </c>
      <c r="DB37" s="1177">
        <v>2</v>
      </c>
      <c r="DC37" s="1177">
        <v>0</v>
      </c>
      <c r="DD37" s="1177">
        <v>1</v>
      </c>
      <c r="DE37" s="1177">
        <v>0</v>
      </c>
      <c r="DF37" s="1177">
        <v>2</v>
      </c>
      <c r="DG37" s="1177">
        <v>0</v>
      </c>
      <c r="DH37" s="1177">
        <v>1</v>
      </c>
      <c r="DI37" s="1177">
        <v>0</v>
      </c>
      <c r="DJ37" s="1177">
        <v>2</v>
      </c>
      <c r="DK37" s="1177">
        <v>0</v>
      </c>
      <c r="DL37" s="1177">
        <v>1</v>
      </c>
      <c r="DM37" s="1177">
        <v>0</v>
      </c>
      <c r="DN37" s="797">
        <f t="shared" si="57"/>
        <v>9</v>
      </c>
      <c r="DP37" s="1177"/>
      <c r="DQ37" s="1177"/>
      <c r="DR37" s="1177"/>
      <c r="DS37" s="1177"/>
      <c r="DT37" s="1177"/>
      <c r="DU37" s="1177"/>
      <c r="DV37" s="1177"/>
      <c r="DW37" s="1177"/>
      <c r="DX37" s="1177"/>
      <c r="DY37" s="1177"/>
      <c r="DZ37" s="1177"/>
      <c r="EA37" s="1177"/>
      <c r="EB37" s="797">
        <f t="shared" si="58"/>
        <v>0</v>
      </c>
      <c r="ED37" s="1177">
        <v>0</v>
      </c>
      <c r="EE37" s="1177">
        <v>0</v>
      </c>
      <c r="EF37" s="1177">
        <v>0</v>
      </c>
      <c r="EG37" s="1177">
        <v>0</v>
      </c>
      <c r="EH37" s="1177">
        <v>0</v>
      </c>
      <c r="EI37" s="1177">
        <v>0</v>
      </c>
      <c r="EJ37" s="1177">
        <v>0</v>
      </c>
      <c r="EK37" s="1177">
        <v>0</v>
      </c>
      <c r="EL37" s="1177">
        <v>0</v>
      </c>
      <c r="EM37" s="1177">
        <v>0</v>
      </c>
      <c r="EN37" s="1177">
        <v>0</v>
      </c>
      <c r="EO37" s="1177">
        <v>0</v>
      </c>
      <c r="EP37" s="797">
        <f t="shared" si="59"/>
        <v>0</v>
      </c>
      <c r="ER37" s="1177">
        <v>20.0758867875</v>
      </c>
      <c r="ES37" s="1177">
        <v>15.525886787500001</v>
      </c>
      <c r="ET37" s="1177">
        <v>19.125886787500001</v>
      </c>
      <c r="EU37" s="1177">
        <v>15.525886787500001</v>
      </c>
      <c r="EV37" s="1177">
        <v>19.125886787500001</v>
      </c>
      <c r="EW37" s="1177">
        <v>19.025886787500003</v>
      </c>
      <c r="EX37" s="1177">
        <v>19.125886787500001</v>
      </c>
      <c r="EY37" s="1177">
        <v>15.525886787500001</v>
      </c>
      <c r="EZ37" s="1177">
        <v>19.125886787500001</v>
      </c>
      <c r="FA37" s="1177">
        <v>15.525886787500001</v>
      </c>
      <c r="FB37" s="1177">
        <v>19.125886787500001</v>
      </c>
      <c r="FC37" s="1177">
        <v>15.525886787500001</v>
      </c>
      <c r="FD37" s="797">
        <f t="shared" si="60"/>
        <v>212.36064145000006</v>
      </c>
      <c r="FF37" s="1177"/>
      <c r="FG37" s="1177"/>
      <c r="FH37" s="1177"/>
      <c r="FI37" s="1177"/>
      <c r="FJ37" s="1177"/>
      <c r="FK37" s="1177"/>
      <c r="FL37" s="1177"/>
      <c r="FM37" s="1177"/>
      <c r="FN37" s="1177"/>
      <c r="FO37" s="1177"/>
      <c r="FP37" s="1177"/>
      <c r="FQ37" s="1177"/>
      <c r="FR37" s="797">
        <f t="shared" si="61"/>
        <v>0</v>
      </c>
    </row>
    <row r="38" spans="1:174" hidden="1">
      <c r="A38" s="422">
        <f t="shared" si="62"/>
        <v>16</v>
      </c>
      <c r="B38" s="422" t="s">
        <v>440</v>
      </c>
      <c r="C38" s="422" t="s">
        <v>444</v>
      </c>
      <c r="D38" s="1175" t="s">
        <v>848</v>
      </c>
      <c r="E38" s="1176" t="s">
        <v>827</v>
      </c>
      <c r="F38" s="1177">
        <v>0.48737200000000003</v>
      </c>
      <c r="G38" s="1177">
        <v>159.05858000000001</v>
      </c>
      <c r="H38" s="1177">
        <v>11.416361999999999</v>
      </c>
      <c r="I38" s="1177">
        <v>11.237272000000001</v>
      </c>
      <c r="J38" s="1177">
        <v>10.126725</v>
      </c>
      <c r="K38" s="1177">
        <v>20.048984999999998</v>
      </c>
      <c r="L38" s="1177">
        <v>19.422625</v>
      </c>
      <c r="M38" s="1177">
        <v>19.422625</v>
      </c>
      <c r="N38" s="1177">
        <v>44.476444999999998</v>
      </c>
      <c r="O38" s="1177">
        <v>19.422625</v>
      </c>
      <c r="P38" s="1177">
        <v>19.422625</v>
      </c>
      <c r="Q38" s="1178">
        <v>32.352133000000002</v>
      </c>
      <c r="R38" s="1179">
        <f t="shared" si="53"/>
        <v>30.574531166666659</v>
      </c>
      <c r="S38" s="1180">
        <v>24.852132999999998</v>
      </c>
      <c r="T38" s="1177">
        <v>134.642053</v>
      </c>
      <c r="U38" s="1177">
        <v>41.004632999999998</v>
      </c>
      <c r="V38" s="1177">
        <v>96.777911000000003</v>
      </c>
      <c r="W38" s="1177">
        <v>110.45007099999999</v>
      </c>
      <c r="X38" s="1177">
        <v>227.525903</v>
      </c>
      <c r="Y38" s="1177">
        <v>190.913308</v>
      </c>
      <c r="Z38" s="1177">
        <v>531.86428599999999</v>
      </c>
      <c r="AA38" s="1177">
        <v>279.71376199999997</v>
      </c>
      <c r="AB38" s="1177">
        <v>950.03396299999997</v>
      </c>
      <c r="AC38" s="1177">
        <v>490.63671699999998</v>
      </c>
      <c r="AD38" s="1177">
        <v>1360.637146</v>
      </c>
      <c r="AE38" s="1232">
        <v>31.5</v>
      </c>
      <c r="AF38" s="1181">
        <f t="shared" si="48"/>
        <v>4470.5518859999993</v>
      </c>
      <c r="AG38" s="1179">
        <f t="shared" si="49"/>
        <v>372.54599049999996</v>
      </c>
      <c r="AH38" s="1180">
        <v>920.06454499999995</v>
      </c>
      <c r="AI38" s="1177">
        <v>338.68950699999999</v>
      </c>
      <c r="AJ38" s="1177">
        <v>1118.520747</v>
      </c>
      <c r="AK38" s="1177">
        <v>407.80866600000002</v>
      </c>
      <c r="AL38" s="1177">
        <v>721.263058</v>
      </c>
      <c r="AM38" s="1177">
        <v>79.766102000000004</v>
      </c>
      <c r="AN38" s="1177">
        <v>98.237635999999995</v>
      </c>
      <c r="AO38" s="1177">
        <v>333.843435</v>
      </c>
      <c r="AP38" s="1177">
        <v>74.302695</v>
      </c>
      <c r="AQ38" s="1177">
        <v>1622.618534</v>
      </c>
      <c r="AR38" s="1177">
        <v>281.84333700000002</v>
      </c>
      <c r="AS38" s="1177">
        <v>666.751937</v>
      </c>
      <c r="AT38" s="1177"/>
      <c r="AU38" s="1179">
        <f t="shared" si="50"/>
        <v>555.30918324999993</v>
      </c>
      <c r="AV38" s="1180">
        <v>828.04827</v>
      </c>
      <c r="AW38" s="1177">
        <v>270.101001</v>
      </c>
      <c r="AX38" s="1177">
        <v>210.74891700000001</v>
      </c>
      <c r="AY38" s="1177">
        <v>509.346879</v>
      </c>
      <c r="AZ38" s="1177">
        <v>502.24632100000002</v>
      </c>
      <c r="BA38" s="1177"/>
      <c r="BB38" s="1177"/>
      <c r="BC38" s="1177"/>
      <c r="BD38" s="1177"/>
      <c r="BE38" s="1177"/>
      <c r="BF38" s="1177"/>
      <c r="BG38" s="1177"/>
      <c r="BH38" s="1177">
        <f t="shared" si="51"/>
        <v>464.09827759999996</v>
      </c>
      <c r="BI38" s="1182" cm="1">
        <f t="array" ref="BI38">INDEX(BL38:BW38,$BL$1)</f>
        <v>1434.362482</v>
      </c>
      <c r="BJ38" s="1184"/>
      <c r="BK38" s="1503"/>
      <c r="BL38" s="1177">
        <v>1697.862482</v>
      </c>
      <c r="BM38" s="1177">
        <v>19.862482</v>
      </c>
      <c r="BN38" s="1177">
        <v>188.362482</v>
      </c>
      <c r="BO38" s="1177">
        <v>77.362482</v>
      </c>
      <c r="BP38" s="1177">
        <v>1434.362482</v>
      </c>
      <c r="BQ38" s="1177">
        <v>70.652482000000006</v>
      </c>
      <c r="BR38" s="1177">
        <v>195.95507466666666</v>
      </c>
      <c r="BS38" s="1177">
        <v>84.029148666666657</v>
      </c>
      <c r="BT38" s="1177">
        <v>1304.0291486666667</v>
      </c>
      <c r="BU38" s="1177">
        <v>100.02914866666666</v>
      </c>
      <c r="BV38" s="1177">
        <v>99.029148666666657</v>
      </c>
      <c r="BW38" s="1177">
        <v>84.029148666666657</v>
      </c>
      <c r="BX38" s="797">
        <f t="shared" si="54"/>
        <v>5355.5657099999999</v>
      </c>
      <c r="BY38" s="1491">
        <f t="shared" si="52"/>
        <v>0</v>
      </c>
      <c r="BZ38" s="1177"/>
      <c r="CA38" s="1177"/>
      <c r="CB38" s="1177"/>
      <c r="CC38" s="1177"/>
      <c r="CD38" s="1177"/>
      <c r="CE38" s="1177"/>
      <c r="CF38" s="1177"/>
      <c r="CG38" s="1177"/>
      <c r="CH38" s="1177"/>
      <c r="CI38" s="1177"/>
      <c r="CJ38" s="1177"/>
      <c r="CK38" s="1177"/>
      <c r="CL38" s="797">
        <f t="shared" si="55"/>
        <v>0</v>
      </c>
      <c r="CN38" s="1177"/>
      <c r="CO38" s="1177"/>
      <c r="CP38" s="1177"/>
      <c r="CQ38" s="1177"/>
      <c r="CR38" s="1177"/>
      <c r="CS38" s="1177"/>
      <c r="CT38" s="1177"/>
      <c r="CU38" s="1177"/>
      <c r="CV38" s="1177"/>
      <c r="CW38" s="1177"/>
      <c r="CX38" s="1177"/>
      <c r="CY38" s="1177"/>
      <c r="CZ38" s="797">
        <f t="shared" si="56"/>
        <v>0</v>
      </c>
      <c r="DB38" s="1177">
        <v>0</v>
      </c>
      <c r="DC38" s="1177">
        <v>0</v>
      </c>
      <c r="DD38" s="1177">
        <v>0</v>
      </c>
      <c r="DE38" s="1177">
        <v>0</v>
      </c>
      <c r="DF38" s="1177">
        <v>0</v>
      </c>
      <c r="DG38" s="1177">
        <v>0</v>
      </c>
      <c r="DH38" s="1177">
        <v>0</v>
      </c>
      <c r="DI38" s="1177">
        <v>0</v>
      </c>
      <c r="DJ38" s="1177">
        <v>0</v>
      </c>
      <c r="DK38" s="1177">
        <v>0</v>
      </c>
      <c r="DL38" s="1177">
        <v>0</v>
      </c>
      <c r="DM38" s="1177">
        <v>0</v>
      </c>
      <c r="DN38" s="797">
        <f t="shared" si="57"/>
        <v>0</v>
      </c>
      <c r="DP38" s="1177"/>
      <c r="DQ38" s="1177"/>
      <c r="DR38" s="1177"/>
      <c r="DS38" s="1177"/>
      <c r="DT38" s="1177"/>
      <c r="DU38" s="1177"/>
      <c r="DV38" s="1177"/>
      <c r="DW38" s="1177"/>
      <c r="DX38" s="1177"/>
      <c r="DY38" s="1177"/>
      <c r="DZ38" s="1177"/>
      <c r="EA38" s="1177"/>
      <c r="EB38" s="797">
        <f t="shared" si="58"/>
        <v>0</v>
      </c>
      <c r="ED38" s="1177">
        <v>1200</v>
      </c>
      <c r="EE38" s="1177">
        <v>0</v>
      </c>
      <c r="EF38" s="1177">
        <v>0</v>
      </c>
      <c r="EG38" s="1177">
        <v>0</v>
      </c>
      <c r="EH38" s="1177">
        <v>1200</v>
      </c>
      <c r="EI38" s="1177">
        <v>0</v>
      </c>
      <c r="EJ38" s="1177">
        <v>0</v>
      </c>
      <c r="EK38" s="1177">
        <v>0</v>
      </c>
      <c r="EL38" s="1177">
        <v>1200</v>
      </c>
      <c r="EM38" s="1177">
        <v>0</v>
      </c>
      <c r="EN38" s="1177">
        <v>0</v>
      </c>
      <c r="EO38" s="1177">
        <v>0</v>
      </c>
      <c r="EP38" s="797">
        <f t="shared" si="59"/>
        <v>3600</v>
      </c>
      <c r="ER38" s="1177">
        <v>497.862482</v>
      </c>
      <c r="ES38" s="1177">
        <v>19.862482</v>
      </c>
      <c r="ET38" s="1177">
        <v>188.362482</v>
      </c>
      <c r="EU38" s="1177">
        <v>77.362482</v>
      </c>
      <c r="EV38" s="1177">
        <v>234.362482</v>
      </c>
      <c r="EW38" s="1177">
        <v>70.652482000000006</v>
      </c>
      <c r="EX38" s="1177">
        <v>195.95507466666666</v>
      </c>
      <c r="EY38" s="1177">
        <v>84.029148666666657</v>
      </c>
      <c r="EZ38" s="1177">
        <v>104.02914866666666</v>
      </c>
      <c r="FA38" s="1177">
        <v>100.02914866666666</v>
      </c>
      <c r="FB38" s="1177">
        <v>99.029148666666657</v>
      </c>
      <c r="FC38" s="1177">
        <v>84.029148666666657</v>
      </c>
      <c r="FD38" s="797">
        <f t="shared" si="60"/>
        <v>1755.5657100000003</v>
      </c>
      <c r="FF38" s="1177"/>
      <c r="FG38" s="1177"/>
      <c r="FH38" s="1177"/>
      <c r="FI38" s="1177"/>
      <c r="FJ38" s="1177"/>
      <c r="FK38" s="1177"/>
      <c r="FL38" s="1177"/>
      <c r="FM38" s="1177"/>
      <c r="FN38" s="1177"/>
      <c r="FO38" s="1177"/>
      <c r="FP38" s="1177"/>
      <c r="FQ38" s="1177"/>
      <c r="FR38" s="797">
        <f t="shared" si="61"/>
        <v>0</v>
      </c>
    </row>
    <row r="39" spans="1:174" hidden="1">
      <c r="A39" s="422">
        <f t="shared" si="62"/>
        <v>17</v>
      </c>
      <c r="B39" s="422" t="s">
        <v>440</v>
      </c>
      <c r="C39" s="422" t="s">
        <v>444</v>
      </c>
      <c r="D39" s="1175" t="s">
        <v>849</v>
      </c>
      <c r="E39" s="1176" t="s">
        <v>827</v>
      </c>
      <c r="F39" s="1177">
        <v>30.688364</v>
      </c>
      <c r="G39" s="1177">
        <v>23.871169999999999</v>
      </c>
      <c r="H39" s="1177">
        <v>11.387449</v>
      </c>
      <c r="I39" s="1177">
        <v>38.281322000000003</v>
      </c>
      <c r="J39" s="1177">
        <v>26.012117</v>
      </c>
      <c r="K39" s="1177">
        <v>23.753267000000001</v>
      </c>
      <c r="L39" s="1177">
        <v>29.951115999999999</v>
      </c>
      <c r="M39" s="1177">
        <v>47.348376000000002</v>
      </c>
      <c r="N39" s="1177">
        <v>30.139887999999999</v>
      </c>
      <c r="O39" s="1177">
        <v>41.096468999999999</v>
      </c>
      <c r="P39" s="1177">
        <v>35.260089999999998</v>
      </c>
      <c r="Q39" s="1178">
        <v>73.332016999999993</v>
      </c>
      <c r="R39" s="1179">
        <f t="shared" si="53"/>
        <v>34.260137083333333</v>
      </c>
      <c r="S39" s="1180">
        <v>56.605108000000001</v>
      </c>
      <c r="T39" s="1177">
        <v>45.699261</v>
      </c>
      <c r="U39" s="1177">
        <v>31.710654999999999</v>
      </c>
      <c r="V39" s="1177">
        <v>89.527452999999994</v>
      </c>
      <c r="W39" s="1177">
        <v>86.237708999999995</v>
      </c>
      <c r="X39" s="1177">
        <v>57.660387</v>
      </c>
      <c r="Y39" s="1177">
        <v>131.36801600000001</v>
      </c>
      <c r="Z39" s="1177">
        <v>104.44671</v>
      </c>
      <c r="AA39" s="1177">
        <v>102.467744</v>
      </c>
      <c r="AB39" s="1177">
        <v>97.334404000000006</v>
      </c>
      <c r="AC39" s="1177">
        <v>74.282861999999994</v>
      </c>
      <c r="AD39" s="1177">
        <v>349.209543</v>
      </c>
      <c r="AE39" s="1232">
        <v>11.126467</v>
      </c>
      <c r="AF39" s="1181">
        <f>SUM(S39:AE39)</f>
        <v>1237.6763190000001</v>
      </c>
      <c r="AG39" s="1179">
        <f t="shared" si="49"/>
        <v>103.13969325000001</v>
      </c>
      <c r="AH39" s="1180">
        <v>92.334428000000003</v>
      </c>
      <c r="AI39" s="1177">
        <v>92.649647999999999</v>
      </c>
      <c r="AJ39" s="1177">
        <v>432.72103099999998</v>
      </c>
      <c r="AK39" s="1177">
        <v>121.206699</v>
      </c>
      <c r="AL39" s="1177">
        <v>55.532785000000004</v>
      </c>
      <c r="AM39" s="1177">
        <v>237.24934300000001</v>
      </c>
      <c r="AN39" s="1177">
        <v>482.26413000000002</v>
      </c>
      <c r="AO39" s="1177">
        <v>153.56686199999999</v>
      </c>
      <c r="AP39" s="1177">
        <v>209.503445</v>
      </c>
      <c r="AQ39" s="1177">
        <v>786.14993100000004</v>
      </c>
      <c r="AR39" s="1177">
        <v>440.95342599999998</v>
      </c>
      <c r="AS39" s="1177">
        <v>263.37209799999999</v>
      </c>
      <c r="AT39" s="1177"/>
      <c r="AU39" s="1179">
        <f t="shared" si="50"/>
        <v>280.62531883333332</v>
      </c>
      <c r="AV39" s="1180">
        <v>478.51530400000001</v>
      </c>
      <c r="AW39" s="1177">
        <v>151.861324</v>
      </c>
      <c r="AX39" s="1177">
        <v>367.14596699999998</v>
      </c>
      <c r="AY39" s="1177">
        <v>279.56366700000001</v>
      </c>
      <c r="AZ39" s="1177">
        <v>506.776321</v>
      </c>
      <c r="BA39" s="1177"/>
      <c r="BB39" s="1177"/>
      <c r="BC39" s="1177"/>
      <c r="BD39" s="1177"/>
      <c r="BE39" s="1177"/>
      <c r="BF39" s="1177"/>
      <c r="BG39" s="1177"/>
      <c r="BH39" s="1177">
        <f t="shared" si="51"/>
        <v>356.77251659999996</v>
      </c>
      <c r="BI39" s="1182" cm="1">
        <f t="array" ref="BI39">INDEX(BL39:BW39,$BL$1)</f>
        <v>330.86512349999998</v>
      </c>
      <c r="BJ39" s="1184"/>
      <c r="BK39" s="1503"/>
      <c r="BL39" s="1177">
        <v>264.37512349999997</v>
      </c>
      <c r="BM39" s="1177">
        <v>115.9401235</v>
      </c>
      <c r="BN39" s="1177">
        <v>344.76512350000002</v>
      </c>
      <c r="BO39" s="1177">
        <v>361.94512350000002</v>
      </c>
      <c r="BP39" s="1177">
        <v>330.86512349999998</v>
      </c>
      <c r="BQ39" s="1177">
        <v>265.7151235</v>
      </c>
      <c r="BR39" s="1177">
        <v>173.44512349999999</v>
      </c>
      <c r="BS39" s="1177">
        <v>168.89012349999999</v>
      </c>
      <c r="BT39" s="1177">
        <v>296.0951235</v>
      </c>
      <c r="BU39" s="1177">
        <v>325.44012350000003</v>
      </c>
      <c r="BV39" s="1177">
        <v>156.39012349999999</v>
      </c>
      <c r="BW39" s="1177">
        <v>188.54012349999999</v>
      </c>
      <c r="BX39" s="797">
        <f t="shared" si="54"/>
        <v>2992.4064819999994</v>
      </c>
      <c r="BY39" s="1491">
        <f t="shared" si="52"/>
        <v>0</v>
      </c>
      <c r="BZ39" s="1177"/>
      <c r="CA39" s="1177"/>
      <c r="CB39" s="1177"/>
      <c r="CC39" s="1177"/>
      <c r="CD39" s="1177"/>
      <c r="CE39" s="1177"/>
      <c r="CF39" s="1177"/>
      <c r="CG39" s="1177"/>
      <c r="CH39" s="1177"/>
      <c r="CI39" s="1177"/>
      <c r="CJ39" s="1177"/>
      <c r="CK39" s="1177"/>
      <c r="CL39" s="797">
        <f t="shared" si="55"/>
        <v>0</v>
      </c>
      <c r="CN39" s="1177"/>
      <c r="CO39" s="1177"/>
      <c r="CP39" s="1177"/>
      <c r="CQ39" s="1177"/>
      <c r="CR39" s="1177"/>
      <c r="CS39" s="1177"/>
      <c r="CT39" s="1177"/>
      <c r="CU39" s="1177"/>
      <c r="CV39" s="1177"/>
      <c r="CW39" s="1177"/>
      <c r="CX39" s="1177"/>
      <c r="CY39" s="1177"/>
      <c r="CZ39" s="797">
        <f t="shared" si="56"/>
        <v>0</v>
      </c>
      <c r="DB39" s="1177">
        <v>182.46</v>
      </c>
      <c r="DC39" s="1177">
        <v>65.099999999999994</v>
      </c>
      <c r="DD39" s="1177">
        <v>161.4</v>
      </c>
      <c r="DE39" s="1177">
        <v>229.33</v>
      </c>
      <c r="DF39" s="1177">
        <v>200.125</v>
      </c>
      <c r="DG39" s="1177">
        <v>54.35</v>
      </c>
      <c r="DH39" s="1177">
        <v>98.83</v>
      </c>
      <c r="DI39" s="1177">
        <v>85.65</v>
      </c>
      <c r="DJ39" s="1177">
        <v>67.53</v>
      </c>
      <c r="DK39" s="1177">
        <v>193.125</v>
      </c>
      <c r="DL39" s="1177">
        <v>85.65</v>
      </c>
      <c r="DM39" s="1177">
        <v>38.4</v>
      </c>
      <c r="DN39" s="797">
        <f t="shared" si="57"/>
        <v>1461.9500000000003</v>
      </c>
      <c r="DP39" s="1177"/>
      <c r="DQ39" s="1177"/>
      <c r="DR39" s="1177"/>
      <c r="DS39" s="1177"/>
      <c r="DT39" s="1177"/>
      <c r="DU39" s="1177"/>
      <c r="DV39" s="1177"/>
      <c r="DW39" s="1177"/>
      <c r="DX39" s="1177"/>
      <c r="DY39" s="1177"/>
      <c r="DZ39" s="1177"/>
      <c r="EA39" s="1177"/>
      <c r="EB39" s="797">
        <f t="shared" si="58"/>
        <v>0</v>
      </c>
      <c r="ED39" s="1177">
        <v>0</v>
      </c>
      <c r="EE39" s="1177">
        <v>0</v>
      </c>
      <c r="EF39" s="1177">
        <v>0</v>
      </c>
      <c r="EG39" s="1177">
        <v>0</v>
      </c>
      <c r="EH39" s="1177">
        <v>0</v>
      </c>
      <c r="EI39" s="1177">
        <v>0</v>
      </c>
      <c r="EJ39" s="1177">
        <v>0</v>
      </c>
      <c r="EK39" s="1177">
        <v>0</v>
      </c>
      <c r="EL39" s="1177">
        <v>0</v>
      </c>
      <c r="EM39" s="1177">
        <v>0</v>
      </c>
      <c r="EN39" s="1177">
        <v>0</v>
      </c>
      <c r="EO39" s="1177">
        <v>0</v>
      </c>
      <c r="EP39" s="797">
        <f t="shared" si="59"/>
        <v>0</v>
      </c>
      <c r="ER39" s="1177">
        <v>81.915123500000007</v>
      </c>
      <c r="ES39" s="1177">
        <v>50.840123499999997</v>
      </c>
      <c r="ET39" s="1177">
        <v>183.36512350000001</v>
      </c>
      <c r="EU39" s="1177">
        <v>132.61512350000001</v>
      </c>
      <c r="EV39" s="1177">
        <v>130.74012349999998</v>
      </c>
      <c r="EW39" s="1177">
        <v>211.36512350000001</v>
      </c>
      <c r="EX39" s="1177">
        <v>74.615123499999996</v>
      </c>
      <c r="EY39" s="1177">
        <v>83.240123499999996</v>
      </c>
      <c r="EZ39" s="1177">
        <v>228.5651235</v>
      </c>
      <c r="FA39" s="1177">
        <v>132.3151235</v>
      </c>
      <c r="FB39" s="1177">
        <v>70.740123499999996</v>
      </c>
      <c r="FC39" s="1177">
        <v>150.14012349999999</v>
      </c>
      <c r="FD39" s="797">
        <f t="shared" si="60"/>
        <v>1530.4564820000001</v>
      </c>
      <c r="FF39" s="1177"/>
      <c r="FG39" s="1177"/>
      <c r="FH39" s="1177"/>
      <c r="FI39" s="1177"/>
      <c r="FJ39" s="1177"/>
      <c r="FK39" s="1177"/>
      <c r="FL39" s="1177"/>
      <c r="FM39" s="1177"/>
      <c r="FN39" s="1177"/>
      <c r="FO39" s="1177"/>
      <c r="FP39" s="1177"/>
      <c r="FQ39" s="1177"/>
      <c r="FR39" s="797">
        <f t="shared" si="61"/>
        <v>0</v>
      </c>
    </row>
    <row r="40" spans="1:174" hidden="1">
      <c r="A40" s="422">
        <f t="shared" si="62"/>
        <v>18</v>
      </c>
      <c r="B40" s="422" t="s">
        <v>440</v>
      </c>
      <c r="C40" s="422" t="s">
        <v>444</v>
      </c>
      <c r="D40" s="1175" t="s">
        <v>850</v>
      </c>
      <c r="E40" s="1176" t="s">
        <v>827</v>
      </c>
      <c r="F40" s="1177">
        <v>31.867025000000002</v>
      </c>
      <c r="G40" s="1177">
        <v>55.964759999999998</v>
      </c>
      <c r="H40" s="1177">
        <v>59.219191000000002</v>
      </c>
      <c r="I40" s="1177">
        <v>48.797642000000003</v>
      </c>
      <c r="J40" s="1177">
        <v>43.170045999999999</v>
      </c>
      <c r="K40" s="1177">
        <v>17.060365999999998</v>
      </c>
      <c r="L40" s="1177">
        <v>96.807282000000001</v>
      </c>
      <c r="M40" s="1177">
        <v>32.778739000000002</v>
      </c>
      <c r="N40" s="1177">
        <v>17.967147000000001</v>
      </c>
      <c r="O40" s="1177">
        <v>22.060531999999998</v>
      </c>
      <c r="P40" s="1177">
        <v>12.426568</v>
      </c>
      <c r="Q40" s="1178">
        <v>17.859860000000001</v>
      </c>
      <c r="R40" s="1179">
        <f t="shared" si="53"/>
        <v>37.998263166666668</v>
      </c>
      <c r="S40" s="1180">
        <v>9.0001700000000007</v>
      </c>
      <c r="T40" s="1177">
        <v>25.081537999999998</v>
      </c>
      <c r="U40" s="1177">
        <v>37.398797000000002</v>
      </c>
      <c r="V40" s="1177">
        <v>103.090616</v>
      </c>
      <c r="W40" s="1177">
        <v>64.231199000000004</v>
      </c>
      <c r="X40" s="1177">
        <v>22.892976999999998</v>
      </c>
      <c r="Y40" s="1177">
        <v>103.91179200000001</v>
      </c>
      <c r="Z40" s="1177">
        <v>19.727488000000001</v>
      </c>
      <c r="AA40" s="1177">
        <v>29.950447</v>
      </c>
      <c r="AB40" s="1177">
        <v>70.323029000000005</v>
      </c>
      <c r="AC40" s="1177">
        <v>41.007446999999999</v>
      </c>
      <c r="AD40" s="1177">
        <v>49.586906999999997</v>
      </c>
      <c r="AE40" s="1177">
        <v>0</v>
      </c>
      <c r="AF40" s="1181">
        <f t="shared" ref="AF40:AF49" si="63">SUM(S40:AE40)</f>
        <v>576.20240699999999</v>
      </c>
      <c r="AG40" s="1179">
        <f t="shared" si="49"/>
        <v>48.016867249999997</v>
      </c>
      <c r="AH40" s="1180">
        <v>128.13036</v>
      </c>
      <c r="AI40" s="1177">
        <v>42.628583999999996</v>
      </c>
      <c r="AJ40" s="1177">
        <v>29.742234</v>
      </c>
      <c r="AK40" s="1177">
        <v>64.502748999999994</v>
      </c>
      <c r="AL40" s="1177">
        <v>42.881836</v>
      </c>
      <c r="AM40" s="1177">
        <v>30.290482999999998</v>
      </c>
      <c r="AN40" s="1177">
        <v>71.751638</v>
      </c>
      <c r="AO40" s="1177">
        <v>34.589022999999997</v>
      </c>
      <c r="AP40" s="1177">
        <v>80.062241999999998</v>
      </c>
      <c r="AQ40" s="1177">
        <v>33.647562000000001</v>
      </c>
      <c r="AR40" s="1177">
        <v>19.144444</v>
      </c>
      <c r="AS40" s="1177">
        <v>26.030158</v>
      </c>
      <c r="AT40" s="1177"/>
      <c r="AU40" s="1179">
        <f t="shared" si="50"/>
        <v>50.283442750000006</v>
      </c>
      <c r="AV40" s="1180">
        <v>20.444054999999999</v>
      </c>
      <c r="AW40" s="1177">
        <v>12.750529</v>
      </c>
      <c r="AX40" s="1177">
        <v>55.354216999999998</v>
      </c>
      <c r="AY40" s="1177">
        <v>50.546880999999999</v>
      </c>
      <c r="AZ40" s="1177">
        <v>19.672549</v>
      </c>
      <c r="BA40" s="1177"/>
      <c r="BB40" s="1177"/>
      <c r="BC40" s="1177"/>
      <c r="BD40" s="1177"/>
      <c r="BE40" s="1177"/>
      <c r="BF40" s="1177"/>
      <c r="BG40" s="1177"/>
      <c r="BH40" s="1177">
        <f t="shared" si="51"/>
        <v>31.753646200000002</v>
      </c>
      <c r="BI40" s="1182" cm="1">
        <f t="array" ref="BI40">INDEX(BL40:BW40,$BL$1)</f>
        <v>22.156548089046012</v>
      </c>
      <c r="BJ40" s="1184"/>
      <c r="BK40" s="1503"/>
      <c r="BL40" s="1177">
        <v>28.236673763481367</v>
      </c>
      <c r="BM40" s="1177">
        <v>18.738793089046009</v>
      </c>
      <c r="BN40" s="1177">
        <v>93.074561007065583</v>
      </c>
      <c r="BO40" s="1177">
        <v>24.782627772524272</v>
      </c>
      <c r="BP40" s="1177">
        <v>22.156548089046012</v>
      </c>
      <c r="BQ40" s="1177">
        <v>84.271990307065593</v>
      </c>
      <c r="BR40" s="1177">
        <v>94.812720772524273</v>
      </c>
      <c r="BS40" s="1177">
        <v>20.974808089046011</v>
      </c>
      <c r="BT40" s="1177">
        <v>76.810359990543844</v>
      </c>
      <c r="BU40" s="1177">
        <v>16.054344772524271</v>
      </c>
      <c r="BV40" s="1177">
        <v>16.809483089046008</v>
      </c>
      <c r="BW40" s="1177">
        <v>73.395758280287438</v>
      </c>
      <c r="BX40" s="797">
        <f t="shared" si="54"/>
        <v>570.11866902220061</v>
      </c>
      <c r="BY40" s="1491">
        <f t="shared" si="52"/>
        <v>0</v>
      </c>
      <c r="BZ40" s="1177"/>
      <c r="CA40" s="1177"/>
      <c r="CB40" s="1177"/>
      <c r="CC40" s="1177"/>
      <c r="CD40" s="1177"/>
      <c r="CE40" s="1177"/>
      <c r="CF40" s="1177"/>
      <c r="CG40" s="1177"/>
      <c r="CH40" s="1177"/>
      <c r="CI40" s="1177"/>
      <c r="CJ40" s="1177"/>
      <c r="CK40" s="1177"/>
      <c r="CL40" s="797">
        <f t="shared" si="55"/>
        <v>0</v>
      </c>
      <c r="CN40" s="1177"/>
      <c r="CO40" s="1177"/>
      <c r="CP40" s="1177"/>
      <c r="CQ40" s="1177"/>
      <c r="CR40" s="1177"/>
      <c r="CS40" s="1177"/>
      <c r="CT40" s="1177"/>
      <c r="CU40" s="1177"/>
      <c r="CV40" s="1177"/>
      <c r="CW40" s="1177"/>
      <c r="CX40" s="1177"/>
      <c r="CY40" s="1177"/>
      <c r="CZ40" s="797">
        <f t="shared" si="56"/>
        <v>0</v>
      </c>
      <c r="DB40" s="1177">
        <v>18.178705763481368</v>
      </c>
      <c r="DC40" s="1177">
        <v>18.687665089046011</v>
      </c>
      <c r="DD40" s="1177">
        <v>78.398543007065584</v>
      </c>
      <c r="DE40" s="1177">
        <v>24.758499772524271</v>
      </c>
      <c r="DF40" s="1177">
        <v>22.132420089046011</v>
      </c>
      <c r="DG40" s="1177">
        <v>80.747862307065589</v>
      </c>
      <c r="DH40" s="1177">
        <v>37.423631772524267</v>
      </c>
      <c r="DI40" s="1177">
        <v>17.868680089046013</v>
      </c>
      <c r="DJ40" s="1177">
        <v>76.78623199054384</v>
      </c>
      <c r="DK40" s="1177">
        <v>16.03021677252427</v>
      </c>
      <c r="DL40" s="1177">
        <v>16.785355089046011</v>
      </c>
      <c r="DM40" s="1177">
        <v>73.371630280287448</v>
      </c>
      <c r="DN40" s="797">
        <f t="shared" si="57"/>
        <v>481.16944202220066</v>
      </c>
      <c r="DP40" s="1177"/>
      <c r="DQ40" s="1177"/>
      <c r="DR40" s="1177"/>
      <c r="DS40" s="1177"/>
      <c r="DT40" s="1177"/>
      <c r="DU40" s="1177"/>
      <c r="DV40" s="1177"/>
      <c r="DW40" s="1177"/>
      <c r="DX40" s="1177"/>
      <c r="DY40" s="1177"/>
      <c r="DZ40" s="1177"/>
      <c r="EA40" s="1177"/>
      <c r="EB40" s="797">
        <f t="shared" si="58"/>
        <v>0</v>
      </c>
      <c r="ED40" s="1177">
        <v>0</v>
      </c>
      <c r="EE40" s="1177">
        <v>0</v>
      </c>
      <c r="EF40" s="1177">
        <v>0</v>
      </c>
      <c r="EG40" s="1177">
        <v>0</v>
      </c>
      <c r="EH40" s="1177">
        <v>0</v>
      </c>
      <c r="EI40" s="1177">
        <v>0</v>
      </c>
      <c r="EJ40" s="1177">
        <v>0</v>
      </c>
      <c r="EK40" s="1177">
        <v>3.0550000000000002</v>
      </c>
      <c r="EL40" s="1177">
        <v>0</v>
      </c>
      <c r="EM40" s="1177">
        <v>0</v>
      </c>
      <c r="EN40" s="1177">
        <v>0</v>
      </c>
      <c r="EO40" s="1177">
        <v>0</v>
      </c>
      <c r="EP40" s="797">
        <f t="shared" si="59"/>
        <v>3.0550000000000002</v>
      </c>
      <c r="ER40" s="1177">
        <v>10.057968000000001</v>
      </c>
      <c r="ES40" s="1177">
        <v>5.1128E-2</v>
      </c>
      <c r="ET40" s="1177">
        <v>14.676017999999999</v>
      </c>
      <c r="EU40" s="1177">
        <v>2.4128E-2</v>
      </c>
      <c r="EV40" s="1177">
        <v>2.4128E-2</v>
      </c>
      <c r="EW40" s="1177">
        <v>3.5241280000000001</v>
      </c>
      <c r="EX40" s="1177">
        <v>57.389088999999998</v>
      </c>
      <c r="EY40" s="1177">
        <v>5.1128E-2</v>
      </c>
      <c r="EZ40" s="1177">
        <v>2.4128E-2</v>
      </c>
      <c r="FA40" s="1177">
        <v>2.4128E-2</v>
      </c>
      <c r="FB40" s="1177">
        <v>2.4128E-2</v>
      </c>
      <c r="FC40" s="1177">
        <v>2.4128E-2</v>
      </c>
      <c r="FD40" s="797">
        <f t="shared" si="60"/>
        <v>85.894227000000029</v>
      </c>
      <c r="FF40" s="1177"/>
      <c r="FG40" s="1177"/>
      <c r="FH40" s="1177"/>
      <c r="FI40" s="1177"/>
      <c r="FJ40" s="1177"/>
      <c r="FK40" s="1177"/>
      <c r="FL40" s="1177"/>
      <c r="FM40" s="1177"/>
      <c r="FN40" s="1177"/>
      <c r="FO40" s="1177"/>
      <c r="FP40" s="1177"/>
      <c r="FQ40" s="1177"/>
      <c r="FR40" s="797">
        <f t="shared" si="61"/>
        <v>0</v>
      </c>
    </row>
    <row r="41" spans="1:174" hidden="1">
      <c r="A41" s="422">
        <f t="shared" si="62"/>
        <v>19</v>
      </c>
      <c r="B41" s="422" t="s">
        <v>440</v>
      </c>
      <c r="C41" s="422" t="s">
        <v>444</v>
      </c>
      <c r="D41" s="1175" t="s">
        <v>851</v>
      </c>
      <c r="E41" s="1176" t="s">
        <v>827</v>
      </c>
      <c r="F41" s="1177">
        <v>14.902789</v>
      </c>
      <c r="G41" s="1177">
        <v>32.796922000000002</v>
      </c>
      <c r="H41" s="1177">
        <v>29.695512000000001</v>
      </c>
      <c r="I41" s="1177">
        <v>42.775143</v>
      </c>
      <c r="J41" s="1177">
        <v>24.245177999999999</v>
      </c>
      <c r="K41" s="1177">
        <v>23.663377000000001</v>
      </c>
      <c r="L41" s="1177">
        <v>21.186199999999999</v>
      </c>
      <c r="M41" s="1177">
        <v>30.418555999999999</v>
      </c>
      <c r="N41" s="1177">
        <v>12.573283999999999</v>
      </c>
      <c r="O41" s="1177">
        <v>35.385041999999999</v>
      </c>
      <c r="P41" s="1177">
        <v>26.851098</v>
      </c>
      <c r="Q41" s="1178">
        <v>11.944687</v>
      </c>
      <c r="R41" s="1179">
        <f t="shared" si="53"/>
        <v>25.536482333333336</v>
      </c>
      <c r="S41" s="1180">
        <f>33.773772+10.6146</f>
        <v>44.388372000000004</v>
      </c>
      <c r="T41" s="1177">
        <f>27.227336+6.9642</f>
        <v>34.191535999999999</v>
      </c>
      <c r="U41" s="1177">
        <f>22.906742+11.0855</f>
        <v>33.992242000000005</v>
      </c>
      <c r="V41" s="1177">
        <v>39.008340000000004</v>
      </c>
      <c r="W41" s="1177">
        <v>43.710771000000001</v>
      </c>
      <c r="X41" s="1177">
        <v>33.201211999999998</v>
      </c>
      <c r="Y41" s="1177">
        <v>33.631901999999997</v>
      </c>
      <c r="Z41" s="1177">
        <v>34.032521000000003</v>
      </c>
      <c r="AA41" s="1177">
        <v>33.587733999999998</v>
      </c>
      <c r="AB41" s="1177">
        <v>35.998179</v>
      </c>
      <c r="AC41" s="1177">
        <v>47.978396000000004</v>
      </c>
      <c r="AD41" s="1177">
        <v>43.856952999999997</v>
      </c>
      <c r="AE41" s="1177">
        <v>0</v>
      </c>
      <c r="AF41" s="1181">
        <f t="shared" si="63"/>
        <v>457.57815799999992</v>
      </c>
      <c r="AG41" s="1179">
        <f t="shared" si="49"/>
        <v>38.131513166666657</v>
      </c>
      <c r="AH41" s="1180">
        <v>27.167777000000001</v>
      </c>
      <c r="AI41" s="1177">
        <v>49.904510000000002</v>
      </c>
      <c r="AJ41" s="1177">
        <v>36.687182999999997</v>
      </c>
      <c r="AK41" s="1177">
        <v>39.222298000000002</v>
      </c>
      <c r="AL41" s="1177">
        <v>32.598101</v>
      </c>
      <c r="AM41" s="1177">
        <v>35.293920999999997</v>
      </c>
      <c r="AN41" s="1177">
        <v>34.367049000000002</v>
      </c>
      <c r="AO41" s="1177">
        <v>41.756278999999999</v>
      </c>
      <c r="AP41" s="1177">
        <v>34.755802000000003</v>
      </c>
      <c r="AQ41" s="1177">
        <v>42.207104999999999</v>
      </c>
      <c r="AR41" s="1177">
        <v>32.153771999999996</v>
      </c>
      <c r="AS41" s="1177">
        <v>28.299986000000001</v>
      </c>
      <c r="AT41" s="1177"/>
      <c r="AU41" s="1179">
        <f t="shared" si="50"/>
        <v>36.201148583333335</v>
      </c>
      <c r="AV41" s="1180">
        <v>31.554361</v>
      </c>
      <c r="AW41" s="1177">
        <v>35.823087000000001</v>
      </c>
      <c r="AX41" s="1177">
        <v>33.790357</v>
      </c>
      <c r="AY41" s="1177">
        <v>30.648384</v>
      </c>
      <c r="AZ41" s="1177">
        <v>33.565358000000003</v>
      </c>
      <c r="BA41" s="1177"/>
      <c r="BB41" s="1177"/>
      <c r="BC41" s="1177"/>
      <c r="BD41" s="1177"/>
      <c r="BE41" s="1177"/>
      <c r="BF41" s="1177"/>
      <c r="BG41" s="1177"/>
      <c r="BH41" s="1177">
        <f t="shared" si="51"/>
        <v>33.0763094</v>
      </c>
      <c r="BI41" s="1182" cm="1">
        <f t="array" ref="BI41">INDEX(BL41:BW41,$BL$1)</f>
        <v>38.104019740505066</v>
      </c>
      <c r="BJ41" s="1192"/>
      <c r="BK41" s="1503"/>
      <c r="BL41" s="1177">
        <v>54.873327607072312</v>
      </c>
      <c r="BM41" s="1177">
        <v>32.113333797162262</v>
      </c>
      <c r="BN41" s="1177">
        <v>38.088634541742799</v>
      </c>
      <c r="BO41" s="1177">
        <v>40.332166865950924</v>
      </c>
      <c r="BP41" s="1177">
        <v>38.104019740505066</v>
      </c>
      <c r="BQ41" s="1177">
        <v>39.313982592136128</v>
      </c>
      <c r="BR41" s="1177">
        <v>39.458675169574569</v>
      </c>
      <c r="BS41" s="1177">
        <v>35.855789990609942</v>
      </c>
      <c r="BT41" s="1177">
        <v>36.745908486499367</v>
      </c>
      <c r="BU41" s="1177">
        <v>40.906340821148348</v>
      </c>
      <c r="BV41" s="1177">
        <v>35.942688369850835</v>
      </c>
      <c r="BW41" s="1177">
        <v>35.559358584970397</v>
      </c>
      <c r="BX41" s="797">
        <f t="shared" si="54"/>
        <v>467.29422656722306</v>
      </c>
      <c r="BY41" s="1491">
        <f t="shared" si="52"/>
        <v>0</v>
      </c>
      <c r="BZ41" s="1177"/>
      <c r="CA41" s="1177"/>
      <c r="CB41" s="1177"/>
      <c r="CC41" s="1177"/>
      <c r="CD41" s="1177"/>
      <c r="CE41" s="1177"/>
      <c r="CF41" s="1177"/>
      <c r="CG41" s="1177"/>
      <c r="CH41" s="1177"/>
      <c r="CI41" s="1177"/>
      <c r="CJ41" s="1177"/>
      <c r="CK41" s="1177"/>
      <c r="CL41" s="797">
        <f t="shared" si="55"/>
        <v>0</v>
      </c>
      <c r="CN41" s="1177"/>
      <c r="CO41" s="1177"/>
      <c r="CP41" s="1177"/>
      <c r="CQ41" s="1177"/>
      <c r="CR41" s="1177"/>
      <c r="CS41" s="1177"/>
      <c r="CT41" s="1177"/>
      <c r="CU41" s="1177"/>
      <c r="CV41" s="1177"/>
      <c r="CW41" s="1177"/>
      <c r="CX41" s="1177"/>
      <c r="CY41" s="1177"/>
      <c r="CZ41" s="797">
        <f t="shared" si="56"/>
        <v>0</v>
      </c>
      <c r="DB41" s="1177">
        <v>17.12840698272591</v>
      </c>
      <c r="DC41" s="1177">
        <v>8.2930981775889627</v>
      </c>
      <c r="DD41" s="1177">
        <v>10.587167701898148</v>
      </c>
      <c r="DE41" s="1177">
        <v>12.552949419251778</v>
      </c>
      <c r="DF41" s="1177">
        <v>9.6107098256691934</v>
      </c>
      <c r="DG41" s="1177">
        <v>9.8293674654568903</v>
      </c>
      <c r="DH41" s="1177">
        <v>12.59114579324093</v>
      </c>
      <c r="DI41" s="1177">
        <v>9.3579816009729697</v>
      </c>
      <c r="DJ41" s="1177">
        <v>10.259512719271887</v>
      </c>
      <c r="DK41" s="1177">
        <v>10.584702753908049</v>
      </c>
      <c r="DL41" s="1177">
        <v>9.3002366527399012</v>
      </c>
      <c r="DM41" s="1177">
        <v>9.6881205718820613</v>
      </c>
      <c r="DN41" s="797">
        <f t="shared" si="57"/>
        <v>129.78339966460663</v>
      </c>
      <c r="DP41" s="1177"/>
      <c r="DQ41" s="1177"/>
      <c r="DR41" s="1177"/>
      <c r="DS41" s="1177"/>
      <c r="DT41" s="1177"/>
      <c r="DU41" s="1177"/>
      <c r="DV41" s="1177"/>
      <c r="DW41" s="1177"/>
      <c r="DX41" s="1177"/>
      <c r="DY41" s="1177"/>
      <c r="DZ41" s="1177"/>
      <c r="EA41" s="1177"/>
      <c r="EB41" s="797">
        <f t="shared" si="58"/>
        <v>0</v>
      </c>
      <c r="ED41" s="1177">
        <v>0</v>
      </c>
      <c r="EE41" s="1177">
        <v>0</v>
      </c>
      <c r="EF41" s="1177">
        <v>0</v>
      </c>
      <c r="EG41" s="1177">
        <v>0</v>
      </c>
      <c r="EH41" s="1177">
        <v>0</v>
      </c>
      <c r="EI41" s="1177">
        <v>0</v>
      </c>
      <c r="EJ41" s="1177">
        <v>0</v>
      </c>
      <c r="EK41" s="1177">
        <v>0</v>
      </c>
      <c r="EL41" s="1177">
        <v>0</v>
      </c>
      <c r="EM41" s="1177">
        <v>0</v>
      </c>
      <c r="EN41" s="1177">
        <v>0</v>
      </c>
      <c r="EO41" s="1177">
        <v>0</v>
      </c>
      <c r="EP41" s="797">
        <f t="shared" si="59"/>
        <v>0</v>
      </c>
      <c r="ER41" s="1177">
        <v>37.744920624346406</v>
      </c>
      <c r="ES41" s="1177">
        <v>23.8202356195733</v>
      </c>
      <c r="ET41" s="1177">
        <v>27.50146683984466</v>
      </c>
      <c r="EU41" s="1177">
        <v>27.779217446699146</v>
      </c>
      <c r="EV41" s="1177">
        <v>28.493309914835876</v>
      </c>
      <c r="EW41" s="1177">
        <v>29.484615126679238</v>
      </c>
      <c r="EX41" s="1177">
        <v>26.867529376333632</v>
      </c>
      <c r="EY41" s="1177">
        <v>26.497808389636969</v>
      </c>
      <c r="EZ41" s="1177">
        <v>26.486395767227481</v>
      </c>
      <c r="FA41" s="1177">
        <v>30.321638067240301</v>
      </c>
      <c r="FB41" s="1177">
        <v>26.642451717110937</v>
      </c>
      <c r="FC41" s="1177">
        <v>25.871238013088337</v>
      </c>
      <c r="FD41" s="797">
        <f t="shared" si="60"/>
        <v>337.51082690261626</v>
      </c>
      <c r="FF41" s="1177"/>
      <c r="FG41" s="1177"/>
      <c r="FH41" s="1177"/>
      <c r="FI41" s="1177"/>
      <c r="FJ41" s="1177"/>
      <c r="FK41" s="1177"/>
      <c r="FL41" s="1177"/>
      <c r="FM41" s="1177"/>
      <c r="FN41" s="1177"/>
      <c r="FO41" s="1177"/>
      <c r="FP41" s="1177"/>
      <c r="FQ41" s="1177"/>
      <c r="FR41" s="797">
        <f t="shared" si="61"/>
        <v>0</v>
      </c>
    </row>
    <row r="42" spans="1:174" ht="14.15" hidden="1" customHeight="1">
      <c r="A42" s="422">
        <f t="shared" si="62"/>
        <v>20</v>
      </c>
      <c r="B42" s="422" t="s">
        <v>440</v>
      </c>
      <c r="C42" s="422" t="s">
        <v>444</v>
      </c>
      <c r="D42" s="1175" t="s">
        <v>852</v>
      </c>
      <c r="E42" s="1176" t="s">
        <v>827</v>
      </c>
      <c r="F42" s="1177">
        <v>3.900055</v>
      </c>
      <c r="G42" s="1177">
        <v>25.839738000000001</v>
      </c>
      <c r="H42" s="1177">
        <v>19.134971</v>
      </c>
      <c r="I42" s="1177">
        <v>20.581887999999999</v>
      </c>
      <c r="J42" s="1177">
        <v>13.083740000000001</v>
      </c>
      <c r="K42" s="1177">
        <v>20.192288999999999</v>
      </c>
      <c r="L42" s="1177">
        <v>17.991709</v>
      </c>
      <c r="M42" s="1177">
        <v>12.646045000000001</v>
      </c>
      <c r="N42" s="1177">
        <v>17.342427000000001</v>
      </c>
      <c r="O42" s="1177">
        <v>29.264686999999999</v>
      </c>
      <c r="P42" s="1177">
        <v>34.473452000000002</v>
      </c>
      <c r="Q42" s="1178">
        <v>22.529751000000001</v>
      </c>
      <c r="R42" s="1179">
        <f t="shared" si="53"/>
        <v>19.748396</v>
      </c>
      <c r="S42" s="1180">
        <v>35.176611999999999</v>
      </c>
      <c r="T42" s="1177">
        <f>24.714821</f>
        <v>24.714821000000001</v>
      </c>
      <c r="U42" s="1177">
        <v>45.526432999999997</v>
      </c>
      <c r="V42" s="1177">
        <v>57.321264999999997</v>
      </c>
      <c r="W42" s="1177">
        <v>33.796748999999998</v>
      </c>
      <c r="X42" s="1177">
        <v>39.515033000000003</v>
      </c>
      <c r="Y42" s="1177">
        <v>36.550106999999997</v>
      </c>
      <c r="Z42" s="1177">
        <v>51.494363</v>
      </c>
      <c r="AA42" s="1177">
        <v>63.339232000000003</v>
      </c>
      <c r="AB42" s="1177">
        <v>46.186079999999997</v>
      </c>
      <c r="AC42" s="1177">
        <v>39.410212000000001</v>
      </c>
      <c r="AD42" s="1177">
        <v>32.704628</v>
      </c>
      <c r="AE42" s="1177">
        <v>0</v>
      </c>
      <c r="AF42" s="1181">
        <f t="shared" si="63"/>
        <v>505.73553499999997</v>
      </c>
      <c r="AG42" s="1179">
        <f t="shared" si="49"/>
        <v>42.144627916666664</v>
      </c>
      <c r="AH42" s="1180">
        <v>12.987935999999999</v>
      </c>
      <c r="AI42" s="1177">
        <v>34.928173999999999</v>
      </c>
      <c r="AJ42" s="1177">
        <v>66.731050999999994</v>
      </c>
      <c r="AK42" s="1177">
        <v>69.029410999999996</v>
      </c>
      <c r="AL42" s="1177">
        <v>63.620043000000003</v>
      </c>
      <c r="AM42" s="1177">
        <v>77.053933999999998</v>
      </c>
      <c r="AN42" s="1177">
        <v>66.951458000000002</v>
      </c>
      <c r="AO42" s="1177">
        <v>52.493482</v>
      </c>
      <c r="AP42" s="1177">
        <v>56.293844999999997</v>
      </c>
      <c r="AQ42" s="1177">
        <v>55.673859</v>
      </c>
      <c r="AR42" s="1177">
        <v>32.716394999999999</v>
      </c>
      <c r="AS42" s="1177">
        <v>35.851851000000003</v>
      </c>
      <c r="AT42" s="1177"/>
      <c r="AU42" s="1179">
        <f t="shared" si="50"/>
        <v>52.027619916666673</v>
      </c>
      <c r="AV42" s="1180">
        <v>40.410780000000003</v>
      </c>
      <c r="AW42" s="1177">
        <v>17.647026</v>
      </c>
      <c r="AX42" s="1177">
        <v>50.694330999999998</v>
      </c>
      <c r="AY42" s="1177">
        <v>74.426728999999995</v>
      </c>
      <c r="AZ42" s="1177">
        <v>20.772565</v>
      </c>
      <c r="BA42" s="1177"/>
      <c r="BB42" s="1177"/>
      <c r="BC42" s="1177"/>
      <c r="BD42" s="1177"/>
      <c r="BE42" s="1177"/>
      <c r="BF42" s="1177"/>
      <c r="BG42" s="1177"/>
      <c r="BH42" s="1177">
        <f t="shared" si="51"/>
        <v>40.790286200000004</v>
      </c>
      <c r="BI42" s="1182" cm="1">
        <f t="array" ref="BI42">INDEX(BL42:BW42,$BL$1)</f>
        <v>55.983018025000007</v>
      </c>
      <c r="BJ42" s="1184"/>
      <c r="BK42" s="1503"/>
      <c r="BL42" s="1177">
        <v>55.983018025000007</v>
      </c>
      <c r="BM42" s="1177">
        <v>55.983018025000007</v>
      </c>
      <c r="BN42" s="1177">
        <v>59.033468525000004</v>
      </c>
      <c r="BO42" s="1177">
        <v>55.983018025000007</v>
      </c>
      <c r="BP42" s="1177">
        <v>55.983018025000007</v>
      </c>
      <c r="BQ42" s="1177">
        <v>59.033468525000004</v>
      </c>
      <c r="BR42" s="1177">
        <v>55.983018025000007</v>
      </c>
      <c r="BS42" s="1177">
        <v>55.983018025000007</v>
      </c>
      <c r="BT42" s="1177">
        <v>59.033468525000004</v>
      </c>
      <c r="BU42" s="1177">
        <v>55.983018025000007</v>
      </c>
      <c r="BV42" s="1177">
        <v>55.983018025000007</v>
      </c>
      <c r="BW42" s="1177">
        <v>55.983018025000007</v>
      </c>
      <c r="BX42" s="797">
        <f t="shared" si="54"/>
        <v>680.94756779999989</v>
      </c>
      <c r="BY42" s="1491">
        <f t="shared" si="52"/>
        <v>0</v>
      </c>
      <c r="BZ42" s="1177"/>
      <c r="CA42" s="1177"/>
      <c r="CB42" s="1177"/>
      <c r="CC42" s="1177"/>
      <c r="CD42" s="1177"/>
      <c r="CE42" s="1177"/>
      <c r="CF42" s="1177"/>
      <c r="CG42" s="1177"/>
      <c r="CH42" s="1177"/>
      <c r="CI42" s="1177"/>
      <c r="CJ42" s="1177"/>
      <c r="CK42" s="1177"/>
      <c r="CL42" s="797">
        <f t="shared" si="55"/>
        <v>0</v>
      </c>
      <c r="CN42" s="1177"/>
      <c r="CO42" s="1177"/>
      <c r="CP42" s="1177"/>
      <c r="CQ42" s="1177"/>
      <c r="CR42" s="1177"/>
      <c r="CS42" s="1177"/>
      <c r="CT42" s="1177"/>
      <c r="CU42" s="1177"/>
      <c r="CV42" s="1177"/>
      <c r="CW42" s="1177"/>
      <c r="CX42" s="1177"/>
      <c r="CY42" s="1177"/>
      <c r="CZ42" s="797">
        <f t="shared" si="56"/>
        <v>0</v>
      </c>
      <c r="DB42" s="1177">
        <v>0</v>
      </c>
      <c r="DC42" s="1177">
        <v>0</v>
      </c>
      <c r="DD42" s="1177">
        <v>0</v>
      </c>
      <c r="DE42" s="1177">
        <v>0</v>
      </c>
      <c r="DF42" s="1177">
        <v>0</v>
      </c>
      <c r="DG42" s="1177">
        <v>0</v>
      </c>
      <c r="DH42" s="1177">
        <v>0</v>
      </c>
      <c r="DI42" s="1177">
        <v>0</v>
      </c>
      <c r="DJ42" s="1177">
        <v>0</v>
      </c>
      <c r="DK42" s="1177">
        <v>0</v>
      </c>
      <c r="DL42" s="1177">
        <v>0</v>
      </c>
      <c r="DM42" s="1177">
        <v>0</v>
      </c>
      <c r="DN42" s="797">
        <f t="shared" si="57"/>
        <v>0</v>
      </c>
      <c r="DP42" s="1177"/>
      <c r="DQ42" s="1177"/>
      <c r="DR42" s="1177"/>
      <c r="DS42" s="1177"/>
      <c r="DT42" s="1177"/>
      <c r="DU42" s="1177"/>
      <c r="DV42" s="1177"/>
      <c r="DW42" s="1177"/>
      <c r="DX42" s="1177"/>
      <c r="DY42" s="1177"/>
      <c r="DZ42" s="1177"/>
      <c r="EA42" s="1177"/>
      <c r="EB42" s="797">
        <f t="shared" si="58"/>
        <v>0</v>
      </c>
      <c r="ED42" s="1177">
        <v>0</v>
      </c>
      <c r="EE42" s="1177">
        <v>0</v>
      </c>
      <c r="EF42" s="1177">
        <v>0</v>
      </c>
      <c r="EG42" s="1177">
        <v>0</v>
      </c>
      <c r="EH42" s="1177">
        <v>0</v>
      </c>
      <c r="EI42" s="1177">
        <v>0</v>
      </c>
      <c r="EJ42" s="1177">
        <v>0</v>
      </c>
      <c r="EK42" s="1177">
        <v>0</v>
      </c>
      <c r="EL42" s="1177">
        <v>0</v>
      </c>
      <c r="EM42" s="1177">
        <v>0</v>
      </c>
      <c r="EN42" s="1177">
        <v>0</v>
      </c>
      <c r="EO42" s="1177">
        <v>0</v>
      </c>
      <c r="EP42" s="797">
        <f t="shared" si="59"/>
        <v>0</v>
      </c>
      <c r="ER42" s="1177">
        <v>55.983018025000007</v>
      </c>
      <c r="ES42" s="1177">
        <v>55.983018025000007</v>
      </c>
      <c r="ET42" s="1177">
        <v>59.033468525000004</v>
      </c>
      <c r="EU42" s="1177">
        <v>55.983018025000007</v>
      </c>
      <c r="EV42" s="1177">
        <v>55.983018025000007</v>
      </c>
      <c r="EW42" s="1177">
        <v>59.033468525000004</v>
      </c>
      <c r="EX42" s="1177">
        <v>55.983018025000007</v>
      </c>
      <c r="EY42" s="1177">
        <v>55.983018025000007</v>
      </c>
      <c r="EZ42" s="1177">
        <v>59.033468525000004</v>
      </c>
      <c r="FA42" s="1177">
        <v>55.983018025000007</v>
      </c>
      <c r="FB42" s="1177">
        <v>55.983018025000007</v>
      </c>
      <c r="FC42" s="1177">
        <v>55.983018025000007</v>
      </c>
      <c r="FD42" s="797">
        <f t="shared" si="60"/>
        <v>680.94756779999989</v>
      </c>
      <c r="FF42" s="1177"/>
      <c r="FG42" s="1177"/>
      <c r="FH42" s="1177"/>
      <c r="FI42" s="1177"/>
      <c r="FJ42" s="1177"/>
      <c r="FK42" s="1177"/>
      <c r="FL42" s="1177"/>
      <c r="FM42" s="1177"/>
      <c r="FN42" s="1177"/>
      <c r="FO42" s="1177"/>
      <c r="FP42" s="1177"/>
      <c r="FQ42" s="1177"/>
      <c r="FR42" s="797">
        <f t="shared" si="61"/>
        <v>0</v>
      </c>
    </row>
    <row r="43" spans="1:174" hidden="1">
      <c r="A43" s="422">
        <f t="shared" si="62"/>
        <v>21</v>
      </c>
      <c r="B43" s="422" t="s">
        <v>440</v>
      </c>
      <c r="C43" s="422" t="s">
        <v>444</v>
      </c>
      <c r="D43" s="1175" t="s">
        <v>853</v>
      </c>
      <c r="E43" s="1176" t="s">
        <v>827</v>
      </c>
      <c r="F43" s="1177">
        <v>14.852086999999999</v>
      </c>
      <c r="G43" s="1177">
        <v>14.452522999999999</v>
      </c>
      <c r="H43" s="1177">
        <v>17.747572000000002</v>
      </c>
      <c r="I43" s="1177">
        <v>16.079049999999999</v>
      </c>
      <c r="J43" s="1177">
        <v>17.698176</v>
      </c>
      <c r="K43" s="1177">
        <v>16.598043000000001</v>
      </c>
      <c r="L43" s="1177">
        <v>18.297974</v>
      </c>
      <c r="M43" s="1177">
        <v>18.633724000000001</v>
      </c>
      <c r="N43" s="1177">
        <v>15.428998999999999</v>
      </c>
      <c r="O43" s="1177">
        <v>16.325431999999999</v>
      </c>
      <c r="P43" s="1177">
        <v>16.167007999999999</v>
      </c>
      <c r="Q43" s="1178">
        <v>16.997128</v>
      </c>
      <c r="R43" s="1179">
        <f t="shared" si="53"/>
        <v>16.606476333333337</v>
      </c>
      <c r="S43" s="1180">
        <v>17.057953000000001</v>
      </c>
      <c r="T43" s="1177">
        <v>16.805278000000001</v>
      </c>
      <c r="U43" s="1177">
        <v>19.937936000000001</v>
      </c>
      <c r="V43" s="1177">
        <v>18.346574</v>
      </c>
      <c r="W43" s="1177">
        <v>19.751833000000001</v>
      </c>
      <c r="X43" s="1177">
        <v>19.554998000000001</v>
      </c>
      <c r="Y43" s="1177">
        <v>20.204713000000002</v>
      </c>
      <c r="Z43" s="1177">
        <v>19.507752</v>
      </c>
      <c r="AA43" s="1177">
        <v>21.620757000000001</v>
      </c>
      <c r="AB43" s="1177">
        <v>20.415956000000001</v>
      </c>
      <c r="AC43" s="1177">
        <v>20.376441</v>
      </c>
      <c r="AD43" s="1177">
        <v>21.131751000000001</v>
      </c>
      <c r="AE43" s="1177">
        <v>0</v>
      </c>
      <c r="AF43" s="1181">
        <f t="shared" si="63"/>
        <v>234.71194200000002</v>
      </c>
      <c r="AG43" s="1179">
        <f t="shared" si="49"/>
        <v>19.559328500000003</v>
      </c>
      <c r="AH43" s="1180">
        <v>19.458721000000001</v>
      </c>
      <c r="AI43" s="1177">
        <v>21.041729</v>
      </c>
      <c r="AJ43" s="1177">
        <v>22.316302</v>
      </c>
      <c r="AK43" s="1177">
        <v>32.307096999999999</v>
      </c>
      <c r="AL43" s="1177">
        <v>21.730995</v>
      </c>
      <c r="AM43" s="1177">
        <v>28.017543</v>
      </c>
      <c r="AN43" s="1177">
        <v>20.167563000000001</v>
      </c>
      <c r="AO43" s="1177">
        <v>32.372385000000001</v>
      </c>
      <c r="AP43" s="1177">
        <v>23.161104999999999</v>
      </c>
      <c r="AQ43" s="1177">
        <v>23.542577999999999</v>
      </c>
      <c r="AR43" s="1177">
        <v>23.825256</v>
      </c>
      <c r="AS43" s="1177">
        <v>24.390778000000001</v>
      </c>
      <c r="AT43" s="1177"/>
      <c r="AU43" s="1179">
        <f t="shared" si="50"/>
        <v>24.361004333333337</v>
      </c>
      <c r="AV43" s="1180">
        <v>26.450624999999999</v>
      </c>
      <c r="AW43" s="1177">
        <v>23.262432</v>
      </c>
      <c r="AX43" s="1177">
        <v>25.829564999999999</v>
      </c>
      <c r="AY43" s="1177">
        <v>46.097794</v>
      </c>
      <c r="AZ43" s="1177">
        <v>48.728395999999996</v>
      </c>
      <c r="BA43" s="1177"/>
      <c r="BB43" s="1177"/>
      <c r="BC43" s="1177"/>
      <c r="BD43" s="1177"/>
      <c r="BE43" s="1177"/>
      <c r="BF43" s="1177"/>
      <c r="BG43" s="1177"/>
      <c r="BH43" s="1177">
        <f t="shared" si="51"/>
        <v>34.0737624</v>
      </c>
      <c r="BI43" s="1182" cm="1">
        <f t="array" ref="BI43">INDEX(BL43:BW43,$BL$1)</f>
        <v>24.767142857142858</v>
      </c>
      <c r="BJ43" s="1184"/>
      <c r="BK43" s="1503"/>
      <c r="BL43" s="1177">
        <v>28.10972244047619</v>
      </c>
      <c r="BM43" s="1177">
        <v>27.528656523809527</v>
      </c>
      <c r="BN43" s="1177">
        <v>26.803142857142859</v>
      </c>
      <c r="BO43" s="1177">
        <v>26.60314285714286</v>
      </c>
      <c r="BP43" s="1177">
        <v>24.767142857142858</v>
      </c>
      <c r="BQ43" s="1177">
        <v>24.767142857142858</v>
      </c>
      <c r="BR43" s="1177">
        <v>24.767142857142858</v>
      </c>
      <c r="BS43" s="1177">
        <v>27.87</v>
      </c>
      <c r="BT43" s="1177">
        <v>27.87</v>
      </c>
      <c r="BU43" s="1177">
        <v>27.87</v>
      </c>
      <c r="BV43" s="1177">
        <v>27.87</v>
      </c>
      <c r="BW43" s="1177">
        <v>27.87</v>
      </c>
      <c r="BX43" s="797">
        <f t="shared" si="54"/>
        <v>322.69609325000005</v>
      </c>
      <c r="BY43" s="1491">
        <f t="shared" si="52"/>
        <v>0</v>
      </c>
      <c r="BZ43" s="1177"/>
      <c r="CA43" s="1177"/>
      <c r="CB43" s="1177"/>
      <c r="CC43" s="1177"/>
      <c r="CD43" s="1177"/>
      <c r="CE43" s="1177"/>
      <c r="CF43" s="1177"/>
      <c r="CG43" s="1177"/>
      <c r="CH43" s="1177"/>
      <c r="CI43" s="1177"/>
      <c r="CJ43" s="1177"/>
      <c r="CK43" s="1177"/>
      <c r="CL43" s="797">
        <f t="shared" si="55"/>
        <v>0</v>
      </c>
      <c r="CN43" s="1177"/>
      <c r="CO43" s="1177"/>
      <c r="CP43" s="1177"/>
      <c r="CQ43" s="1177"/>
      <c r="CR43" s="1177"/>
      <c r="CS43" s="1177"/>
      <c r="CT43" s="1177"/>
      <c r="CU43" s="1177"/>
      <c r="CV43" s="1177"/>
      <c r="CW43" s="1177"/>
      <c r="CX43" s="1177"/>
      <c r="CY43" s="1177"/>
      <c r="CZ43" s="797">
        <f t="shared" si="56"/>
        <v>0</v>
      </c>
      <c r="DB43" s="1177">
        <v>2.4</v>
      </c>
      <c r="DC43" s="1177">
        <v>2.4</v>
      </c>
      <c r="DD43" s="1177">
        <v>2.4</v>
      </c>
      <c r="DE43" s="1177">
        <v>2.4</v>
      </c>
      <c r="DF43" s="1177">
        <v>2.4</v>
      </c>
      <c r="DG43" s="1177">
        <v>2.4</v>
      </c>
      <c r="DH43" s="1177">
        <v>2.4</v>
      </c>
      <c r="DI43" s="1177">
        <v>2.4</v>
      </c>
      <c r="DJ43" s="1177">
        <v>2.4</v>
      </c>
      <c r="DK43" s="1177">
        <v>2.4</v>
      </c>
      <c r="DL43" s="1177">
        <v>2.4</v>
      </c>
      <c r="DM43" s="1177">
        <v>2.4</v>
      </c>
      <c r="DN43" s="797">
        <f t="shared" si="57"/>
        <v>28.799999999999994</v>
      </c>
      <c r="DP43" s="1177"/>
      <c r="DQ43" s="1177"/>
      <c r="DR43" s="1177"/>
      <c r="DS43" s="1177"/>
      <c r="DT43" s="1177"/>
      <c r="DU43" s="1177"/>
      <c r="DV43" s="1177"/>
      <c r="DW43" s="1177"/>
      <c r="DX43" s="1177"/>
      <c r="DY43" s="1177"/>
      <c r="DZ43" s="1177"/>
      <c r="EA43" s="1177"/>
      <c r="EB43" s="797">
        <f t="shared" si="58"/>
        <v>0</v>
      </c>
      <c r="ED43" s="1177">
        <v>2.5</v>
      </c>
      <c r="EE43" s="1177">
        <v>2.5</v>
      </c>
      <c r="EF43" s="1177">
        <v>2.5</v>
      </c>
      <c r="EG43" s="1177">
        <v>2.5</v>
      </c>
      <c r="EH43" s="1177">
        <v>2.5</v>
      </c>
      <c r="EI43" s="1177">
        <v>2.5</v>
      </c>
      <c r="EJ43" s="1177">
        <v>2.5</v>
      </c>
      <c r="EK43" s="1177">
        <v>2.5</v>
      </c>
      <c r="EL43" s="1177">
        <v>2.5</v>
      </c>
      <c r="EM43" s="1177">
        <v>2.5</v>
      </c>
      <c r="EN43" s="1177">
        <v>2.5</v>
      </c>
      <c r="EO43" s="1177">
        <v>2.5</v>
      </c>
      <c r="EP43" s="797">
        <f t="shared" si="59"/>
        <v>30</v>
      </c>
      <c r="ER43" s="1177">
        <v>23.209722440476195</v>
      </c>
      <c r="ES43" s="1177">
        <v>22.628656523809525</v>
      </c>
      <c r="ET43" s="1177">
        <v>21.903142857142857</v>
      </c>
      <c r="EU43" s="1177">
        <v>21.703142857142858</v>
      </c>
      <c r="EV43" s="1177">
        <v>19.867142857142859</v>
      </c>
      <c r="EW43" s="1177">
        <v>19.867142857142859</v>
      </c>
      <c r="EX43" s="1177">
        <v>19.867142857142859</v>
      </c>
      <c r="EY43" s="1177">
        <v>22.97</v>
      </c>
      <c r="EZ43" s="1177">
        <v>22.97</v>
      </c>
      <c r="FA43" s="1177">
        <v>22.97</v>
      </c>
      <c r="FB43" s="1177">
        <v>22.97</v>
      </c>
      <c r="FC43" s="1177">
        <v>22.97</v>
      </c>
      <c r="FD43" s="797">
        <f t="shared" si="60"/>
        <v>263.89609324999998</v>
      </c>
      <c r="FF43" s="1177"/>
      <c r="FG43" s="1177"/>
      <c r="FH43" s="1177"/>
      <c r="FI43" s="1177"/>
      <c r="FJ43" s="1177"/>
      <c r="FK43" s="1177"/>
      <c r="FL43" s="1177"/>
      <c r="FM43" s="1177"/>
      <c r="FN43" s="1177"/>
      <c r="FO43" s="1177"/>
      <c r="FP43" s="1177"/>
      <c r="FQ43" s="1177"/>
      <c r="FR43" s="797">
        <f t="shared" si="61"/>
        <v>0</v>
      </c>
    </row>
    <row r="44" spans="1:174" hidden="1">
      <c r="A44" s="422">
        <f t="shared" si="62"/>
        <v>22</v>
      </c>
      <c r="B44" s="422" t="s">
        <v>440</v>
      </c>
      <c r="C44" s="422" t="s">
        <v>444</v>
      </c>
      <c r="D44" s="1175" t="s">
        <v>854</v>
      </c>
      <c r="E44" s="1176" t="s">
        <v>827</v>
      </c>
      <c r="F44" s="1177">
        <v>13.295</v>
      </c>
      <c r="G44" s="1177">
        <v>4.2290910000000004</v>
      </c>
      <c r="H44" s="1177">
        <v>2.1549999999999998</v>
      </c>
      <c r="I44" s="1177">
        <v>6.9763640000000002</v>
      </c>
      <c r="J44" s="1177">
        <v>20.195</v>
      </c>
      <c r="K44" s="1177">
        <v>0.92489900000000003</v>
      </c>
      <c r="L44" s="1177">
        <v>0.83872500000000005</v>
      </c>
      <c r="M44" s="1177">
        <v>9.0039230000000003</v>
      </c>
      <c r="N44" s="1177">
        <v>5.1834189999999998</v>
      </c>
      <c r="O44" s="1177">
        <v>62.280033000000003</v>
      </c>
      <c r="P44" s="1177">
        <v>3.6966770000000002</v>
      </c>
      <c r="Q44" s="1178">
        <v>11.589375</v>
      </c>
      <c r="R44" s="1179">
        <f t="shared" si="53"/>
        <v>11.697292166666665</v>
      </c>
      <c r="S44" s="1180">
        <v>4.2172830000000001</v>
      </c>
      <c r="T44" s="1177">
        <v>12.421058</v>
      </c>
      <c r="U44" s="1177">
        <v>51.562522000000001</v>
      </c>
      <c r="V44" s="1177">
        <v>34.48507</v>
      </c>
      <c r="W44" s="1177">
        <v>153.30958100000001</v>
      </c>
      <c r="X44" s="1177">
        <v>17.177243000000001</v>
      </c>
      <c r="Y44" s="1177">
        <v>10.484112</v>
      </c>
      <c r="Z44" s="1177">
        <v>60.043438999999999</v>
      </c>
      <c r="AA44" s="1177">
        <v>98.663909000000004</v>
      </c>
      <c r="AB44" s="1177">
        <v>110.889121</v>
      </c>
      <c r="AC44" s="1177">
        <v>134.01951500000001</v>
      </c>
      <c r="AD44" s="1177">
        <v>65.946956</v>
      </c>
      <c r="AE44" s="1232">
        <v>0.74037799999999998</v>
      </c>
      <c r="AF44" s="1181">
        <f t="shared" si="63"/>
        <v>753.96018699999991</v>
      </c>
      <c r="AG44" s="1179">
        <f t="shared" si="49"/>
        <v>62.830015583333328</v>
      </c>
      <c r="AH44" s="1180">
        <v>126.061397</v>
      </c>
      <c r="AI44" s="1177">
        <v>45.979889</v>
      </c>
      <c r="AJ44" s="1177">
        <v>78.218783999999999</v>
      </c>
      <c r="AK44" s="1177">
        <v>13.524540999999999</v>
      </c>
      <c r="AL44" s="1177">
        <v>17.10031</v>
      </c>
      <c r="AM44" s="1177">
        <v>92.607264000000001</v>
      </c>
      <c r="AN44" s="1177">
        <v>76.397372000000004</v>
      </c>
      <c r="AO44" s="1177">
        <v>86.746757000000002</v>
      </c>
      <c r="AP44" s="1177">
        <v>29.584879000000001</v>
      </c>
      <c r="AQ44" s="1177">
        <v>95.007823000000002</v>
      </c>
      <c r="AR44" s="1177">
        <v>247.23207400000001</v>
      </c>
      <c r="AS44" s="1177">
        <f>189.735664-35</f>
        <v>154.73566400000001</v>
      </c>
      <c r="AT44" s="1177"/>
      <c r="AU44" s="1179">
        <f t="shared" si="50"/>
        <v>88.599729500000009</v>
      </c>
      <c r="AV44" s="1180">
        <v>92.283135999999999</v>
      </c>
      <c r="AW44" s="1177">
        <v>220.19408899999999</v>
      </c>
      <c r="AX44" s="1177">
        <v>114.525139</v>
      </c>
      <c r="AY44" s="1177">
        <v>47.530028000000001</v>
      </c>
      <c r="AZ44" s="1177">
        <v>79.103027999999995</v>
      </c>
      <c r="BA44" s="1177"/>
      <c r="BB44" s="1177"/>
      <c r="BC44" s="1177"/>
      <c r="BD44" s="1177"/>
      <c r="BE44" s="1177"/>
      <c r="BF44" s="1177"/>
      <c r="BG44" s="1177"/>
      <c r="BH44" s="1177">
        <f t="shared" si="51"/>
        <v>110.72708399999999</v>
      </c>
      <c r="BI44" s="1182" cm="1">
        <f t="array" ref="BI44">INDEX(BL44:BW44,$BL$1)</f>
        <v>82.522814833333328</v>
      </c>
      <c r="BJ44" s="1184"/>
      <c r="BK44" s="1503"/>
      <c r="BL44" s="1177">
        <v>123.90281483333332</v>
      </c>
      <c r="BM44" s="1177">
        <v>39.402814833333331</v>
      </c>
      <c r="BN44" s="1177">
        <v>73.902814833333323</v>
      </c>
      <c r="BO44" s="1177">
        <v>64.402814833333323</v>
      </c>
      <c r="BP44" s="1177">
        <v>82.522814833333328</v>
      </c>
      <c r="BQ44" s="1177">
        <v>56.022814833333328</v>
      </c>
      <c r="BR44" s="1177">
        <v>50.522814833333328</v>
      </c>
      <c r="BS44" s="1177">
        <v>56.022814833333328</v>
      </c>
      <c r="BT44" s="1177">
        <v>128.52281483333334</v>
      </c>
      <c r="BU44" s="1177">
        <v>55.522814833333328</v>
      </c>
      <c r="BV44" s="1177">
        <v>49.022814833333328</v>
      </c>
      <c r="BW44" s="1177">
        <v>36.022814833333328</v>
      </c>
      <c r="BX44" s="797">
        <f t="shared" si="54"/>
        <v>815.79377799999986</v>
      </c>
      <c r="BY44" s="1491">
        <f t="shared" si="52"/>
        <v>0</v>
      </c>
      <c r="BZ44" s="1177"/>
      <c r="CA44" s="1177"/>
      <c r="CB44" s="1177"/>
      <c r="CC44" s="1177"/>
      <c r="CD44" s="1177"/>
      <c r="CE44" s="1177"/>
      <c r="CF44" s="1177"/>
      <c r="CG44" s="1177"/>
      <c r="CH44" s="1177"/>
      <c r="CI44" s="1177"/>
      <c r="CJ44" s="1177"/>
      <c r="CK44" s="1177"/>
      <c r="CL44" s="797">
        <f t="shared" si="55"/>
        <v>0</v>
      </c>
      <c r="CN44" s="1177"/>
      <c r="CO44" s="1177"/>
      <c r="CP44" s="1177"/>
      <c r="CQ44" s="1177"/>
      <c r="CR44" s="1177"/>
      <c r="CS44" s="1177"/>
      <c r="CT44" s="1177"/>
      <c r="CU44" s="1177"/>
      <c r="CV44" s="1177"/>
      <c r="CW44" s="1177"/>
      <c r="CX44" s="1177"/>
      <c r="CY44" s="1177"/>
      <c r="CZ44" s="797">
        <f t="shared" si="56"/>
        <v>0</v>
      </c>
      <c r="DB44" s="1177">
        <v>1.9166666666666665</v>
      </c>
      <c r="DC44" s="1177">
        <v>0.91666666666666663</v>
      </c>
      <c r="DD44" s="1177">
        <v>1.9166666666666665</v>
      </c>
      <c r="DE44" s="1177">
        <v>0.91666666666666663</v>
      </c>
      <c r="DF44" s="1177">
        <v>6.916666666666667</v>
      </c>
      <c r="DG44" s="1177">
        <v>0.91666666666666663</v>
      </c>
      <c r="DH44" s="1177">
        <v>1.9166666666666665</v>
      </c>
      <c r="DI44" s="1177">
        <v>0.91666666666666663</v>
      </c>
      <c r="DJ44" s="1177">
        <v>1.9166666666666665</v>
      </c>
      <c r="DK44" s="1177">
        <v>5.916666666666667</v>
      </c>
      <c r="DL44" s="1177">
        <v>1.9166666666666665</v>
      </c>
      <c r="DM44" s="1177">
        <v>0.91666666666666663</v>
      </c>
      <c r="DN44" s="797">
        <f t="shared" si="57"/>
        <v>27.000000000000004</v>
      </c>
      <c r="DP44" s="1177"/>
      <c r="DQ44" s="1177"/>
      <c r="DR44" s="1177"/>
      <c r="DS44" s="1177"/>
      <c r="DT44" s="1177"/>
      <c r="DU44" s="1177"/>
      <c r="DV44" s="1177"/>
      <c r="DW44" s="1177"/>
      <c r="DX44" s="1177"/>
      <c r="DY44" s="1177"/>
      <c r="DZ44" s="1177"/>
      <c r="EA44" s="1177"/>
      <c r="EB44" s="797">
        <f t="shared" si="58"/>
        <v>0</v>
      </c>
      <c r="ED44" s="1177">
        <v>23</v>
      </c>
      <c r="EE44" s="1177">
        <v>3</v>
      </c>
      <c r="EF44" s="1177">
        <v>3</v>
      </c>
      <c r="EG44" s="1177">
        <v>3</v>
      </c>
      <c r="EH44" s="1177">
        <v>3</v>
      </c>
      <c r="EI44" s="1177">
        <v>3</v>
      </c>
      <c r="EJ44" s="1177">
        <v>8</v>
      </c>
      <c r="EK44" s="1177">
        <v>3</v>
      </c>
      <c r="EL44" s="1177">
        <v>23</v>
      </c>
      <c r="EM44" s="1177">
        <v>3</v>
      </c>
      <c r="EN44" s="1177">
        <v>3</v>
      </c>
      <c r="EO44" s="1177">
        <v>3</v>
      </c>
      <c r="EP44" s="797">
        <f t="shared" si="59"/>
        <v>81</v>
      </c>
      <c r="ER44" s="1177">
        <v>98.986148166666666</v>
      </c>
      <c r="ES44" s="1177">
        <v>35.486148166666666</v>
      </c>
      <c r="ET44" s="1177">
        <v>68.986148166666652</v>
      </c>
      <c r="EU44" s="1177">
        <v>60.486148166666666</v>
      </c>
      <c r="EV44" s="1177">
        <v>72.606148166666657</v>
      </c>
      <c r="EW44" s="1177">
        <v>52.106148166666664</v>
      </c>
      <c r="EX44" s="1177">
        <v>40.606148166666664</v>
      </c>
      <c r="EY44" s="1177">
        <v>52.106148166666664</v>
      </c>
      <c r="EZ44" s="1177">
        <v>103.60614816666666</v>
      </c>
      <c r="FA44" s="1177">
        <v>46.606148166666664</v>
      </c>
      <c r="FB44" s="1177">
        <v>44.106148166666664</v>
      </c>
      <c r="FC44" s="1177">
        <v>32.106148166666664</v>
      </c>
      <c r="FD44" s="797">
        <f t="shared" si="60"/>
        <v>707.79377800000009</v>
      </c>
      <c r="FF44" s="1177"/>
      <c r="FG44" s="1177"/>
      <c r="FH44" s="1177"/>
      <c r="FI44" s="1177"/>
      <c r="FJ44" s="1177"/>
      <c r="FK44" s="1177"/>
      <c r="FL44" s="1177"/>
      <c r="FM44" s="1177"/>
      <c r="FN44" s="1177"/>
      <c r="FO44" s="1177"/>
      <c r="FP44" s="1177"/>
      <c r="FQ44" s="1177"/>
      <c r="FR44" s="797">
        <f t="shared" si="61"/>
        <v>0</v>
      </c>
    </row>
    <row r="45" spans="1:174">
      <c r="A45" s="422">
        <f t="shared" si="62"/>
        <v>23</v>
      </c>
      <c r="B45" s="422" t="s">
        <v>440</v>
      </c>
      <c r="C45" s="422" t="s">
        <v>446</v>
      </c>
      <c r="D45" s="1175" t="s">
        <v>855</v>
      </c>
      <c r="E45" s="1176" t="s">
        <v>827</v>
      </c>
      <c r="F45" s="1177">
        <v>0.65749999999999997</v>
      </c>
      <c r="G45" s="1177">
        <v>24.825189999999999</v>
      </c>
      <c r="H45" s="1177">
        <v>3.3308330000000002</v>
      </c>
      <c r="I45" s="1177">
        <v>18.234473999999999</v>
      </c>
      <c r="J45" s="1177">
        <v>30.550239999999999</v>
      </c>
      <c r="K45" s="1177">
        <v>43.027766999999997</v>
      </c>
      <c r="L45" s="1177">
        <v>0.03</v>
      </c>
      <c r="M45" s="1177">
        <v>7.2750750000000002</v>
      </c>
      <c r="N45" s="1177">
        <v>0</v>
      </c>
      <c r="O45" s="1177">
        <v>2.098004</v>
      </c>
      <c r="P45" s="1177">
        <v>3.5877189999999999</v>
      </c>
      <c r="Q45" s="1178">
        <v>2.7735690000000002</v>
      </c>
      <c r="R45" s="1179">
        <f t="shared" si="53"/>
        <v>11.36586425</v>
      </c>
      <c r="S45" s="1180">
        <v>2.8209659999999999</v>
      </c>
      <c r="T45" s="1177">
        <v>7.6574920000000004</v>
      </c>
      <c r="U45" s="1177">
        <v>-0.97659399999999996</v>
      </c>
      <c r="V45" s="1177">
        <v>3.7606760000000001</v>
      </c>
      <c r="W45" s="1177">
        <v>1.451579</v>
      </c>
      <c r="X45" s="1177">
        <v>9.8274989999999995</v>
      </c>
      <c r="Y45" s="1177">
        <v>1.843011</v>
      </c>
      <c r="Z45" s="1177">
        <v>5.1319100000000004</v>
      </c>
      <c r="AA45" s="1177">
        <v>3.975498</v>
      </c>
      <c r="AB45" s="1177">
        <v>1.804932</v>
      </c>
      <c r="AC45" s="1177">
        <v>4.5161129999999998</v>
      </c>
      <c r="AD45" s="1177">
        <v>9.8617539999999995</v>
      </c>
      <c r="AE45" s="1232">
        <v>-3.36313</v>
      </c>
      <c r="AF45" s="1181">
        <f t="shared" si="63"/>
        <v>48.311706000000001</v>
      </c>
      <c r="AG45" s="1179">
        <f t="shared" si="49"/>
        <v>4.0259755000000004</v>
      </c>
      <c r="AH45" s="1180">
        <v>1.121111</v>
      </c>
      <c r="AI45" s="1177">
        <v>1.5145789999999999</v>
      </c>
      <c r="AJ45" s="1177">
        <v>6.9200480000000004</v>
      </c>
      <c r="AK45" s="1177">
        <v>4.5740740000000004</v>
      </c>
      <c r="AL45" s="1177">
        <v>4.2530109999999999</v>
      </c>
      <c r="AM45" s="1177">
        <v>3.7258559999999998</v>
      </c>
      <c r="AN45" s="1177">
        <v>4.5115780000000001</v>
      </c>
      <c r="AO45" s="1177">
        <v>1.9074070000000001</v>
      </c>
      <c r="AP45" s="1177">
        <v>7.8541040000000004</v>
      </c>
      <c r="AQ45" s="1177">
        <v>5.0715669999999999</v>
      </c>
      <c r="AR45" s="1177">
        <v>4.629372</v>
      </c>
      <c r="AS45" s="1177">
        <v>4.4369740000000002</v>
      </c>
      <c r="AT45" s="1177"/>
      <c r="AU45" s="1179">
        <f t="shared" si="50"/>
        <v>4.2099734166666662</v>
      </c>
      <c r="AV45" s="1180">
        <v>4.1496360000000001</v>
      </c>
      <c r="AW45" s="1177">
        <v>3.7029390000000002</v>
      </c>
      <c r="AX45" s="1177">
        <v>5.241206</v>
      </c>
      <c r="AY45" s="1177">
        <v>3.6619709999999999</v>
      </c>
      <c r="AZ45" s="1177">
        <v>3.261644</v>
      </c>
      <c r="BA45" s="1177"/>
      <c r="BB45" s="1177"/>
      <c r="BC45" s="1177"/>
      <c r="BD45" s="1177"/>
      <c r="BE45" s="1177"/>
      <c r="BF45" s="1177"/>
      <c r="BG45" s="1177"/>
      <c r="BH45" s="1177">
        <f t="shared" si="51"/>
        <v>4.0034792000000001</v>
      </c>
      <c r="BI45" s="1182" cm="1">
        <f t="array" ref="BI45">INDEX(BL45:BW45,$BL$1)</f>
        <v>8</v>
      </c>
      <c r="BJ45" s="1184"/>
      <c r="BK45" s="1503"/>
      <c r="BL45" s="1177">
        <v>8</v>
      </c>
      <c r="BM45" s="1177">
        <v>8</v>
      </c>
      <c r="BN45" s="1177">
        <v>8</v>
      </c>
      <c r="BO45" s="1177">
        <v>8</v>
      </c>
      <c r="BP45" s="1177">
        <v>8</v>
      </c>
      <c r="BQ45" s="1177">
        <v>8</v>
      </c>
      <c r="BR45" s="1177">
        <v>8</v>
      </c>
      <c r="BS45" s="1177">
        <v>8</v>
      </c>
      <c r="BT45" s="1177">
        <v>8</v>
      </c>
      <c r="BU45" s="1177">
        <v>8</v>
      </c>
      <c r="BV45" s="1177">
        <v>8</v>
      </c>
      <c r="BW45" s="1177">
        <v>8</v>
      </c>
      <c r="BX45" s="797">
        <f t="shared" si="54"/>
        <v>96</v>
      </c>
      <c r="BY45" s="1491">
        <f t="shared" si="52"/>
        <v>0</v>
      </c>
      <c r="BZ45" s="1177"/>
      <c r="CA45" s="1177"/>
      <c r="CB45" s="1177"/>
      <c r="CC45" s="1177"/>
      <c r="CD45" s="1177"/>
      <c r="CE45" s="1177"/>
      <c r="CF45" s="1177"/>
      <c r="CG45" s="1177"/>
      <c r="CH45" s="1177"/>
      <c r="CI45" s="1177"/>
      <c r="CJ45" s="1177"/>
      <c r="CK45" s="1177"/>
      <c r="CL45" s="797">
        <f t="shared" si="55"/>
        <v>0</v>
      </c>
      <c r="CN45" s="1177"/>
      <c r="CO45" s="1177"/>
      <c r="CP45" s="1177"/>
      <c r="CQ45" s="1177"/>
      <c r="CR45" s="1177"/>
      <c r="CS45" s="1177"/>
      <c r="CT45" s="1177"/>
      <c r="CU45" s="1177"/>
      <c r="CV45" s="1177"/>
      <c r="CW45" s="1177"/>
      <c r="CX45" s="1177"/>
      <c r="CY45" s="1177"/>
      <c r="CZ45" s="797">
        <f t="shared" si="56"/>
        <v>0</v>
      </c>
      <c r="DB45" s="1177">
        <v>0</v>
      </c>
      <c r="DC45" s="1177">
        <v>0</v>
      </c>
      <c r="DD45" s="1177">
        <v>0</v>
      </c>
      <c r="DE45" s="1177">
        <v>0</v>
      </c>
      <c r="DF45" s="1177">
        <v>0</v>
      </c>
      <c r="DG45" s="1177">
        <v>0</v>
      </c>
      <c r="DH45" s="1177">
        <v>0</v>
      </c>
      <c r="DI45" s="1177">
        <v>0</v>
      </c>
      <c r="DJ45" s="1177">
        <v>0</v>
      </c>
      <c r="DK45" s="1177">
        <v>0</v>
      </c>
      <c r="DL45" s="1177">
        <v>0</v>
      </c>
      <c r="DM45" s="1177">
        <v>0</v>
      </c>
      <c r="DN45" s="797">
        <f t="shared" si="57"/>
        <v>0</v>
      </c>
      <c r="DP45" s="1177"/>
      <c r="DQ45" s="1177"/>
      <c r="DR45" s="1177"/>
      <c r="DS45" s="1177"/>
      <c r="DT45" s="1177"/>
      <c r="DU45" s="1177"/>
      <c r="DV45" s="1177"/>
      <c r="DW45" s="1177"/>
      <c r="DX45" s="1177"/>
      <c r="DY45" s="1177"/>
      <c r="DZ45" s="1177"/>
      <c r="EA45" s="1177"/>
      <c r="EB45" s="797">
        <f t="shared" si="58"/>
        <v>0</v>
      </c>
      <c r="ED45" s="1177">
        <v>2</v>
      </c>
      <c r="EE45" s="1177">
        <v>2</v>
      </c>
      <c r="EF45" s="1177">
        <v>2</v>
      </c>
      <c r="EG45" s="1177">
        <v>2</v>
      </c>
      <c r="EH45" s="1177">
        <v>2</v>
      </c>
      <c r="EI45" s="1177">
        <v>2</v>
      </c>
      <c r="EJ45" s="1177">
        <v>2</v>
      </c>
      <c r="EK45" s="1177">
        <v>2</v>
      </c>
      <c r="EL45" s="1177">
        <v>2</v>
      </c>
      <c r="EM45" s="1177">
        <v>2</v>
      </c>
      <c r="EN45" s="1177">
        <v>2</v>
      </c>
      <c r="EO45" s="1177">
        <v>2</v>
      </c>
      <c r="EP45" s="797">
        <f t="shared" si="59"/>
        <v>24</v>
      </c>
      <c r="ER45" s="1177">
        <v>6</v>
      </c>
      <c r="ES45" s="1177">
        <v>6</v>
      </c>
      <c r="ET45" s="1177">
        <v>6</v>
      </c>
      <c r="EU45" s="1177">
        <v>6</v>
      </c>
      <c r="EV45" s="1177">
        <v>6</v>
      </c>
      <c r="EW45" s="1177">
        <v>6</v>
      </c>
      <c r="EX45" s="1177">
        <v>6</v>
      </c>
      <c r="EY45" s="1177">
        <v>6</v>
      </c>
      <c r="EZ45" s="1177">
        <v>6</v>
      </c>
      <c r="FA45" s="1177">
        <v>6</v>
      </c>
      <c r="FB45" s="1177">
        <v>6</v>
      </c>
      <c r="FC45" s="1177">
        <v>6</v>
      </c>
      <c r="FD45" s="797">
        <f t="shared" si="60"/>
        <v>72</v>
      </c>
      <c r="FF45" s="1177"/>
      <c r="FG45" s="1177"/>
      <c r="FH45" s="1177"/>
      <c r="FI45" s="1177"/>
      <c r="FJ45" s="1177"/>
      <c r="FK45" s="1177"/>
      <c r="FL45" s="1177"/>
      <c r="FM45" s="1177"/>
      <c r="FN45" s="1177"/>
      <c r="FO45" s="1177"/>
      <c r="FP45" s="1177"/>
      <c r="FQ45" s="1177"/>
      <c r="FR45" s="797">
        <f t="shared" si="61"/>
        <v>0</v>
      </c>
    </row>
    <row r="46" spans="1:174" hidden="1">
      <c r="A46" s="422">
        <f t="shared" si="62"/>
        <v>24</v>
      </c>
      <c r="B46" s="422" t="s">
        <v>440</v>
      </c>
      <c r="C46" s="422" t="s">
        <v>444</v>
      </c>
      <c r="D46" s="1175" t="s">
        <v>856</v>
      </c>
      <c r="E46" s="1176" t="s">
        <v>827</v>
      </c>
      <c r="F46" s="1177">
        <v>4.983333</v>
      </c>
      <c r="G46" s="1177">
        <v>0</v>
      </c>
      <c r="H46" s="1177">
        <v>0</v>
      </c>
      <c r="I46" s="1177">
        <v>0</v>
      </c>
      <c r="J46" s="1177">
        <v>0</v>
      </c>
      <c r="K46" s="1177">
        <v>0</v>
      </c>
      <c r="L46" s="1177">
        <v>71.5</v>
      </c>
      <c r="M46" s="1177">
        <v>0</v>
      </c>
      <c r="N46" s="1177">
        <v>0</v>
      </c>
      <c r="O46" s="1177">
        <v>34.5</v>
      </c>
      <c r="P46" s="1177">
        <v>0</v>
      </c>
      <c r="Q46" s="1178">
        <v>0</v>
      </c>
      <c r="R46" s="1179">
        <f t="shared" si="53"/>
        <v>9.2486110833333335</v>
      </c>
      <c r="S46" s="1180">
        <v>9.2616669999999992</v>
      </c>
      <c r="T46" s="1177">
        <v>9.2616669999999992</v>
      </c>
      <c r="U46" s="1177">
        <v>9.2616669999999992</v>
      </c>
      <c r="V46" s="1177">
        <v>9.2616669999999992</v>
      </c>
      <c r="W46" s="1177">
        <v>9.2616669999999992</v>
      </c>
      <c r="X46" s="1177">
        <v>47.540225</v>
      </c>
      <c r="Y46" s="1177">
        <v>12.3675</v>
      </c>
      <c r="Z46" s="1177">
        <v>14.352499999999999</v>
      </c>
      <c r="AA46" s="1177">
        <v>15.459908</v>
      </c>
      <c r="AB46" s="1177">
        <v>14.352499999999999</v>
      </c>
      <c r="AC46" s="1177">
        <v>57.879353000000002</v>
      </c>
      <c r="AD46" s="1177">
        <v>14.352499999999999</v>
      </c>
      <c r="AE46" s="1177">
        <v>0</v>
      </c>
      <c r="AF46" s="1181">
        <f t="shared" si="63"/>
        <v>222.612821</v>
      </c>
      <c r="AG46" s="1179">
        <f t="shared" si="49"/>
        <v>18.551068416666666</v>
      </c>
      <c r="AH46" s="1180">
        <v>3.8558330000000001</v>
      </c>
      <c r="AI46" s="1177">
        <v>189.65363300000001</v>
      </c>
      <c r="AJ46" s="1177">
        <v>4.6058329999999996</v>
      </c>
      <c r="AK46" s="1177">
        <v>3.1058330000000001</v>
      </c>
      <c r="AL46" s="1177">
        <v>3.1058330000000001</v>
      </c>
      <c r="AM46" s="1177">
        <v>0</v>
      </c>
      <c r="AN46" s="1177">
        <v>20</v>
      </c>
      <c r="AO46" s="1177">
        <v>14.947072</v>
      </c>
      <c r="AP46" s="1177">
        <v>58.925150000000002</v>
      </c>
      <c r="AQ46" s="1177">
        <v>41.1</v>
      </c>
      <c r="AR46" s="1177">
        <v>0</v>
      </c>
      <c r="AS46" s="1177">
        <v>0</v>
      </c>
      <c r="AT46" s="1177"/>
      <c r="AU46" s="1179">
        <f t="shared" si="50"/>
        <v>28.274932249999996</v>
      </c>
      <c r="AV46" s="1180">
        <v>0</v>
      </c>
      <c r="AW46" s="1177">
        <v>0</v>
      </c>
      <c r="AX46" s="1177">
        <v>7</v>
      </c>
      <c r="AY46" s="1177">
        <v>89.995999999999995</v>
      </c>
      <c r="AZ46" s="1177">
        <v>28.625146000000001</v>
      </c>
      <c r="BA46" s="1177"/>
      <c r="BB46" s="1177"/>
      <c r="BC46" s="1177"/>
      <c r="BD46" s="1177"/>
      <c r="BE46" s="1177"/>
      <c r="BF46" s="1177"/>
      <c r="BG46" s="1177"/>
      <c r="BH46" s="1177">
        <f t="shared" si="51"/>
        <v>25.124229199999998</v>
      </c>
      <c r="BI46" s="1182" cm="1">
        <f t="array" ref="BI46">INDEX(BL46:BW46,$BL$1)</f>
        <v>20.833333333333336</v>
      </c>
      <c r="BJ46" s="1184"/>
      <c r="BK46" s="1503"/>
      <c r="BL46" s="1177">
        <v>27.512233333333334</v>
      </c>
      <c r="BM46" s="1177">
        <v>66.36333333333333</v>
      </c>
      <c r="BN46" s="1177">
        <v>80.833333333333343</v>
      </c>
      <c r="BO46" s="1177">
        <v>80.833333333333343</v>
      </c>
      <c r="BP46" s="1177">
        <v>20.833333333333336</v>
      </c>
      <c r="BQ46" s="1177">
        <v>20.833333333333336</v>
      </c>
      <c r="BR46" s="1177">
        <v>20.833333333333336</v>
      </c>
      <c r="BS46" s="1177">
        <v>20.833333333333336</v>
      </c>
      <c r="BT46" s="1177">
        <v>20.833333333333336</v>
      </c>
      <c r="BU46" s="1177">
        <v>20.833333333333336</v>
      </c>
      <c r="BV46" s="1177">
        <v>20.833333333333336</v>
      </c>
      <c r="BW46" s="1177">
        <v>20.833333333333336</v>
      </c>
      <c r="BX46" s="797">
        <f t="shared" si="54"/>
        <v>422.20889999999986</v>
      </c>
      <c r="BY46" s="1491">
        <f t="shared" si="52"/>
        <v>0</v>
      </c>
      <c r="BZ46" s="1177"/>
      <c r="CA46" s="1177"/>
      <c r="CB46" s="1177"/>
      <c r="CC46" s="1177"/>
      <c r="CD46" s="1177"/>
      <c r="CE46" s="1177"/>
      <c r="CF46" s="1177"/>
      <c r="CG46" s="1177"/>
      <c r="CH46" s="1177"/>
      <c r="CI46" s="1177"/>
      <c r="CJ46" s="1177"/>
      <c r="CK46" s="1177"/>
      <c r="CL46" s="797">
        <f t="shared" si="55"/>
        <v>0</v>
      </c>
      <c r="CN46" s="1177"/>
      <c r="CO46" s="1177"/>
      <c r="CP46" s="1177"/>
      <c r="CQ46" s="1177"/>
      <c r="CR46" s="1177"/>
      <c r="CS46" s="1177"/>
      <c r="CT46" s="1177"/>
      <c r="CU46" s="1177"/>
      <c r="CV46" s="1177"/>
      <c r="CW46" s="1177"/>
      <c r="CX46" s="1177"/>
      <c r="CY46" s="1177"/>
      <c r="CZ46" s="797">
        <f t="shared" si="56"/>
        <v>0</v>
      </c>
      <c r="DB46" s="1177">
        <v>0</v>
      </c>
      <c r="DC46" s="1177">
        <v>0</v>
      </c>
      <c r="DD46" s="1177">
        <v>0</v>
      </c>
      <c r="DE46" s="1177">
        <v>0</v>
      </c>
      <c r="DF46" s="1177">
        <v>0</v>
      </c>
      <c r="DG46" s="1177">
        <v>0</v>
      </c>
      <c r="DH46" s="1177">
        <v>0</v>
      </c>
      <c r="DI46" s="1177">
        <v>0</v>
      </c>
      <c r="DJ46" s="1177">
        <v>0</v>
      </c>
      <c r="DK46" s="1177">
        <v>0</v>
      </c>
      <c r="DL46" s="1177">
        <v>0</v>
      </c>
      <c r="DM46" s="1177">
        <v>0</v>
      </c>
      <c r="DN46" s="797">
        <f t="shared" si="57"/>
        <v>0</v>
      </c>
      <c r="DP46" s="1177"/>
      <c r="DQ46" s="1177"/>
      <c r="DR46" s="1177"/>
      <c r="DS46" s="1177"/>
      <c r="DT46" s="1177"/>
      <c r="DU46" s="1177"/>
      <c r="DV46" s="1177"/>
      <c r="DW46" s="1177"/>
      <c r="DX46" s="1177"/>
      <c r="DY46" s="1177"/>
      <c r="DZ46" s="1177"/>
      <c r="EA46" s="1177"/>
      <c r="EB46" s="797">
        <f t="shared" si="58"/>
        <v>0</v>
      </c>
      <c r="ED46" s="1177">
        <v>0</v>
      </c>
      <c r="EE46" s="1177">
        <v>0</v>
      </c>
      <c r="EF46" s="1177">
        <v>0</v>
      </c>
      <c r="EG46" s="1177">
        <v>0</v>
      </c>
      <c r="EH46" s="1177">
        <v>0</v>
      </c>
      <c r="EI46" s="1177">
        <v>0</v>
      </c>
      <c r="EJ46" s="1177">
        <v>0</v>
      </c>
      <c r="EK46" s="1177">
        <v>0</v>
      </c>
      <c r="EL46" s="1177">
        <v>0</v>
      </c>
      <c r="EM46" s="1177">
        <v>0</v>
      </c>
      <c r="EN46" s="1177">
        <v>0</v>
      </c>
      <c r="EO46" s="1177">
        <v>0</v>
      </c>
      <c r="EP46" s="797">
        <f t="shared" si="59"/>
        <v>0</v>
      </c>
      <c r="ER46" s="1177">
        <v>27.512233333333334</v>
      </c>
      <c r="ES46" s="1177">
        <v>66.36333333333333</v>
      </c>
      <c r="ET46" s="1177">
        <v>80.833333333333343</v>
      </c>
      <c r="EU46" s="1177">
        <v>80.833333333333343</v>
      </c>
      <c r="EV46" s="1177">
        <v>20.833333333333336</v>
      </c>
      <c r="EW46" s="1177">
        <v>20.833333333333336</v>
      </c>
      <c r="EX46" s="1177">
        <v>20.833333333333336</v>
      </c>
      <c r="EY46" s="1177">
        <v>20.833333333333336</v>
      </c>
      <c r="EZ46" s="1177">
        <v>20.833333333333336</v>
      </c>
      <c r="FA46" s="1177">
        <v>20.833333333333336</v>
      </c>
      <c r="FB46" s="1177">
        <v>20.833333333333336</v>
      </c>
      <c r="FC46" s="1177">
        <v>20.833333333333336</v>
      </c>
      <c r="FD46" s="797">
        <f t="shared" si="60"/>
        <v>422.20889999999986</v>
      </c>
      <c r="FF46" s="1177"/>
      <c r="FG46" s="1177"/>
      <c r="FH46" s="1177"/>
      <c r="FI46" s="1177"/>
      <c r="FJ46" s="1177"/>
      <c r="FK46" s="1177"/>
      <c r="FL46" s="1177"/>
      <c r="FM46" s="1177"/>
      <c r="FN46" s="1177"/>
      <c r="FO46" s="1177"/>
      <c r="FP46" s="1177"/>
      <c r="FQ46" s="1177"/>
      <c r="FR46" s="797">
        <f t="shared" si="61"/>
        <v>0</v>
      </c>
    </row>
    <row r="47" spans="1:174" hidden="1">
      <c r="A47" s="422">
        <f t="shared" si="62"/>
        <v>25</v>
      </c>
      <c r="B47" s="422" t="s">
        <v>440</v>
      </c>
      <c r="C47" s="422" t="s">
        <v>444</v>
      </c>
      <c r="D47" s="1175" t="s">
        <v>857</v>
      </c>
      <c r="E47" s="1176" t="s">
        <v>827</v>
      </c>
      <c r="F47" s="1177">
        <v>0</v>
      </c>
      <c r="G47" s="1177">
        <v>3.2</v>
      </c>
      <c r="H47" s="1177">
        <v>7</v>
      </c>
      <c r="I47" s="1177">
        <v>0</v>
      </c>
      <c r="J47" s="1177">
        <v>0</v>
      </c>
      <c r="K47" s="1177">
        <v>0</v>
      </c>
      <c r="L47" s="1177">
        <v>0</v>
      </c>
      <c r="M47" s="1177">
        <v>0</v>
      </c>
      <c r="N47" s="1177">
        <v>0</v>
      </c>
      <c r="O47" s="1177">
        <v>2.2000000000000002</v>
      </c>
      <c r="P47" s="1177">
        <v>3</v>
      </c>
      <c r="Q47" s="1178">
        <v>6.08</v>
      </c>
      <c r="R47" s="1179">
        <f t="shared" si="53"/>
        <v>1.7899999999999998</v>
      </c>
      <c r="S47" s="1180">
        <v>0</v>
      </c>
      <c r="T47" s="1177">
        <v>0</v>
      </c>
      <c r="U47" s="1177">
        <v>69.69</v>
      </c>
      <c r="V47" s="1177">
        <v>28.833333</v>
      </c>
      <c r="W47" s="1177">
        <v>17.333333</v>
      </c>
      <c r="X47" s="1177">
        <v>42.17474</v>
      </c>
      <c r="Y47" s="1177">
        <v>18.17474</v>
      </c>
      <c r="Z47" s="1177">
        <v>20.67474</v>
      </c>
      <c r="AA47" s="1177">
        <v>66.441980000000001</v>
      </c>
      <c r="AB47" s="1177">
        <v>5.8333329999999997</v>
      </c>
      <c r="AC47" s="1177">
        <v>5.8333329999999997</v>
      </c>
      <c r="AD47" s="1177">
        <v>5.8333329999999997</v>
      </c>
      <c r="AE47" s="1177">
        <v>0</v>
      </c>
      <c r="AF47" s="1181">
        <f t="shared" si="63"/>
        <v>280.82286499999992</v>
      </c>
      <c r="AG47" s="1179">
        <f t="shared" si="49"/>
        <v>23.401905416666661</v>
      </c>
      <c r="AH47" s="1180">
        <v>43.533332999999999</v>
      </c>
      <c r="AI47" s="1177">
        <v>3.3333330000000001</v>
      </c>
      <c r="AJ47" s="1177">
        <v>7.6833330000000002</v>
      </c>
      <c r="AK47" s="1177">
        <v>48.075000000000003</v>
      </c>
      <c r="AL47" s="1177">
        <v>10.455</v>
      </c>
      <c r="AM47" s="1177">
        <v>6.7296459999999998</v>
      </c>
      <c r="AN47" s="1177">
        <v>6.9727509999999997</v>
      </c>
      <c r="AO47" s="1177">
        <v>45.516109</v>
      </c>
      <c r="AP47" s="1177">
        <v>39.393518999999998</v>
      </c>
      <c r="AQ47" s="1177">
        <v>123.204628</v>
      </c>
      <c r="AR47" s="1177">
        <v>17.454999999999998</v>
      </c>
      <c r="AS47" s="1177">
        <v>134.41388900000001</v>
      </c>
      <c r="AT47" s="1177"/>
      <c r="AU47" s="1179">
        <f t="shared" si="50"/>
        <v>40.563795083333332</v>
      </c>
      <c r="AV47" s="1180">
        <v>41.041666999999997</v>
      </c>
      <c r="AW47" s="1177">
        <v>5.0416670000000003</v>
      </c>
      <c r="AX47" s="1177">
        <v>20.912666999999999</v>
      </c>
      <c r="AY47" s="1177">
        <v>1.1666669999999999</v>
      </c>
      <c r="AZ47" s="1177">
        <v>24.166667</v>
      </c>
      <c r="BA47" s="1177"/>
      <c r="BB47" s="1177"/>
      <c r="BC47" s="1177"/>
      <c r="BD47" s="1177"/>
      <c r="BE47" s="1177"/>
      <c r="BF47" s="1177"/>
      <c r="BG47" s="1177"/>
      <c r="BH47" s="1177">
        <f t="shared" si="51"/>
        <v>18.465866999999999</v>
      </c>
      <c r="BI47" s="1182" cm="1">
        <f t="array" ref="BI47">INDEX(BL47:BW47,$BL$1)</f>
        <v>55.733333333333327</v>
      </c>
      <c r="BJ47" s="1184"/>
      <c r="BK47" s="1503"/>
      <c r="BL47" s="1177">
        <v>34.208333333333329</v>
      </c>
      <c r="BM47" s="1177">
        <v>42.398333333333326</v>
      </c>
      <c r="BN47" s="1177">
        <v>99.208333333333329</v>
      </c>
      <c r="BO47" s="1177">
        <v>30.333333333333332</v>
      </c>
      <c r="BP47" s="1177">
        <v>55.733333333333327</v>
      </c>
      <c r="BQ47" s="1177">
        <v>52.333333333333329</v>
      </c>
      <c r="BR47" s="1177">
        <v>48.833333333333329</v>
      </c>
      <c r="BS47" s="1177">
        <v>42.333333333333329</v>
      </c>
      <c r="BT47" s="1177">
        <v>56.333333333333329</v>
      </c>
      <c r="BU47" s="1177">
        <v>40.333333333333329</v>
      </c>
      <c r="BV47" s="1177">
        <v>30.333333333333332</v>
      </c>
      <c r="BW47" s="1177">
        <v>30.333333333333332</v>
      </c>
      <c r="BX47" s="797">
        <f t="shared" si="54"/>
        <v>562.71499999999992</v>
      </c>
      <c r="BY47" s="1491">
        <f t="shared" si="52"/>
        <v>0</v>
      </c>
      <c r="BZ47" s="1177"/>
      <c r="CA47" s="1177"/>
      <c r="CB47" s="1177"/>
      <c r="CC47" s="1177"/>
      <c r="CD47" s="1177"/>
      <c r="CE47" s="1177"/>
      <c r="CF47" s="1177"/>
      <c r="CG47" s="1177"/>
      <c r="CH47" s="1177"/>
      <c r="CI47" s="1177"/>
      <c r="CJ47" s="1177"/>
      <c r="CK47" s="1177"/>
      <c r="CL47" s="797">
        <f t="shared" si="55"/>
        <v>0</v>
      </c>
      <c r="CN47" s="1177"/>
      <c r="CO47" s="1177"/>
      <c r="CP47" s="1177"/>
      <c r="CQ47" s="1177"/>
      <c r="CR47" s="1177"/>
      <c r="CS47" s="1177"/>
      <c r="CT47" s="1177"/>
      <c r="CU47" s="1177"/>
      <c r="CV47" s="1177"/>
      <c r="CW47" s="1177"/>
      <c r="CX47" s="1177"/>
      <c r="CY47" s="1177"/>
      <c r="CZ47" s="797">
        <f t="shared" si="56"/>
        <v>0</v>
      </c>
      <c r="DB47" s="1177">
        <v>3.875</v>
      </c>
      <c r="DC47" s="1177">
        <v>6.875</v>
      </c>
      <c r="DD47" s="1177">
        <v>68.875</v>
      </c>
      <c r="DE47" s="1177">
        <v>0</v>
      </c>
      <c r="DF47" s="1177">
        <v>20.399999999999999</v>
      </c>
      <c r="DG47" s="1177">
        <v>19</v>
      </c>
      <c r="DH47" s="1177">
        <v>18.5</v>
      </c>
      <c r="DI47" s="1177">
        <v>2</v>
      </c>
      <c r="DJ47" s="1177">
        <v>16</v>
      </c>
      <c r="DK47" s="1177">
        <v>0</v>
      </c>
      <c r="DL47" s="1177">
        <v>0</v>
      </c>
      <c r="DM47" s="1177">
        <v>0</v>
      </c>
      <c r="DN47" s="797">
        <f t="shared" si="57"/>
        <v>155.52500000000001</v>
      </c>
      <c r="DP47" s="1177"/>
      <c r="DQ47" s="1177"/>
      <c r="DR47" s="1177"/>
      <c r="DS47" s="1177"/>
      <c r="DT47" s="1177"/>
      <c r="DU47" s="1177"/>
      <c r="DV47" s="1177"/>
      <c r="DW47" s="1177"/>
      <c r="DX47" s="1177"/>
      <c r="DY47" s="1177"/>
      <c r="DZ47" s="1177"/>
      <c r="EA47" s="1177"/>
      <c r="EB47" s="797">
        <f t="shared" si="58"/>
        <v>0</v>
      </c>
      <c r="ED47" s="1177">
        <v>0</v>
      </c>
      <c r="EE47" s="1177">
        <v>0</v>
      </c>
      <c r="EF47" s="1177">
        <v>0</v>
      </c>
      <c r="EG47" s="1177">
        <v>0</v>
      </c>
      <c r="EH47" s="1177">
        <v>0</v>
      </c>
      <c r="EI47" s="1177">
        <v>0</v>
      </c>
      <c r="EJ47" s="1177">
        <v>0</v>
      </c>
      <c r="EK47" s="1177">
        <v>0</v>
      </c>
      <c r="EL47" s="1177">
        <v>0</v>
      </c>
      <c r="EM47" s="1177">
        <v>0</v>
      </c>
      <c r="EN47" s="1177">
        <v>0</v>
      </c>
      <c r="EO47" s="1177">
        <v>0</v>
      </c>
      <c r="EP47" s="797">
        <f t="shared" si="59"/>
        <v>0</v>
      </c>
      <c r="ER47" s="1177">
        <v>30.333333333333332</v>
      </c>
      <c r="ES47" s="1177">
        <v>35.523333333333326</v>
      </c>
      <c r="ET47" s="1177">
        <v>30.333333333333332</v>
      </c>
      <c r="EU47" s="1177">
        <v>30.333333333333332</v>
      </c>
      <c r="EV47" s="1177">
        <v>35.333333333333329</v>
      </c>
      <c r="EW47" s="1177">
        <v>33.333333333333329</v>
      </c>
      <c r="EX47" s="1177">
        <v>30.333333333333332</v>
      </c>
      <c r="EY47" s="1177">
        <v>40.333333333333329</v>
      </c>
      <c r="EZ47" s="1177">
        <v>40.333333333333329</v>
      </c>
      <c r="FA47" s="1177">
        <v>40.333333333333329</v>
      </c>
      <c r="FB47" s="1177">
        <v>30.333333333333332</v>
      </c>
      <c r="FC47" s="1177">
        <v>30.333333333333332</v>
      </c>
      <c r="FD47" s="797">
        <f t="shared" si="60"/>
        <v>407.18999999999988</v>
      </c>
      <c r="FF47" s="1177"/>
      <c r="FG47" s="1177"/>
      <c r="FH47" s="1177"/>
      <c r="FI47" s="1177"/>
      <c r="FJ47" s="1177"/>
      <c r="FK47" s="1177"/>
      <c r="FL47" s="1177"/>
      <c r="FM47" s="1177"/>
      <c r="FN47" s="1177"/>
      <c r="FO47" s="1177"/>
      <c r="FP47" s="1177"/>
      <c r="FQ47" s="1177"/>
      <c r="FR47" s="797">
        <f t="shared" si="61"/>
        <v>0</v>
      </c>
    </row>
    <row r="48" spans="1:174" ht="14.15" hidden="1" customHeight="1">
      <c r="A48" s="422">
        <f t="shared" si="62"/>
        <v>26</v>
      </c>
      <c r="B48" s="422" t="s">
        <v>440</v>
      </c>
      <c r="C48" s="1193" t="s">
        <v>444</v>
      </c>
      <c r="D48" s="1194" t="s">
        <v>858</v>
      </c>
      <c r="E48" s="1195" t="s">
        <v>827</v>
      </c>
      <c r="F48" s="1177">
        <v>0.2</v>
      </c>
      <c r="G48" s="1177">
        <v>12.983599999999999</v>
      </c>
      <c r="H48" s="1177">
        <v>6.1733349999999998</v>
      </c>
      <c r="I48" s="1177">
        <v>6.8479999999999999</v>
      </c>
      <c r="J48" s="1177">
        <v>5.9101999999999997</v>
      </c>
      <c r="K48" s="1177">
        <v>0</v>
      </c>
      <c r="L48" s="1177">
        <v>12.211333</v>
      </c>
      <c r="M48" s="1177">
        <v>8.2653999999999996</v>
      </c>
      <c r="N48" s="1177">
        <v>10.46</v>
      </c>
      <c r="O48" s="1177">
        <v>8.8777000000000008</v>
      </c>
      <c r="P48" s="1177">
        <v>9.8262999999999998</v>
      </c>
      <c r="Q48" s="1178">
        <v>8.9922000000000004</v>
      </c>
      <c r="R48" s="1179">
        <f t="shared" si="53"/>
        <v>7.5623389999999988</v>
      </c>
      <c r="S48" s="1180"/>
      <c r="T48" s="1177"/>
      <c r="U48" s="1177">
        <f>0.79</f>
        <v>0.79</v>
      </c>
      <c r="V48" s="1177">
        <v>0</v>
      </c>
      <c r="W48" s="1177">
        <v>1.1399999999999999</v>
      </c>
      <c r="X48" s="1177">
        <v>0</v>
      </c>
      <c r="Y48" s="1177">
        <v>0.84</v>
      </c>
      <c r="Z48" s="1177">
        <v>0</v>
      </c>
      <c r="AA48" s="1177">
        <v>0</v>
      </c>
      <c r="AB48" s="1177">
        <v>0</v>
      </c>
      <c r="AC48" s="1177">
        <v>0</v>
      </c>
      <c r="AD48" s="1177">
        <v>0</v>
      </c>
      <c r="AE48" s="1177">
        <v>0</v>
      </c>
      <c r="AF48" s="1181">
        <f t="shared" si="63"/>
        <v>2.77</v>
      </c>
      <c r="AG48" s="1179">
        <f t="shared" si="49"/>
        <v>0.23083333333333333</v>
      </c>
      <c r="AH48" s="1180">
        <v>0</v>
      </c>
      <c r="AI48" s="1177">
        <v>0</v>
      </c>
      <c r="AJ48" s="1177">
        <v>0</v>
      </c>
      <c r="AK48" s="1177">
        <v>0</v>
      </c>
      <c r="AL48" s="1177">
        <v>0</v>
      </c>
      <c r="AM48" s="1177">
        <v>0</v>
      </c>
      <c r="AN48" s="1177">
        <v>0</v>
      </c>
      <c r="AO48" s="1177">
        <v>0</v>
      </c>
      <c r="AP48" s="1177">
        <v>0</v>
      </c>
      <c r="AQ48" s="1177">
        <v>0</v>
      </c>
      <c r="AR48" s="1177">
        <v>0</v>
      </c>
      <c r="AS48" s="1177">
        <v>0</v>
      </c>
      <c r="AT48" s="1177"/>
      <c r="AU48" s="1179">
        <f t="shared" si="50"/>
        <v>0</v>
      </c>
      <c r="AV48" s="1180">
        <v>0</v>
      </c>
      <c r="AW48" s="1177">
        <v>0</v>
      </c>
      <c r="AX48" s="1177">
        <v>0</v>
      </c>
      <c r="AY48" s="1177">
        <v>0</v>
      </c>
      <c r="AZ48" s="1177">
        <v>0</v>
      </c>
      <c r="BA48" s="1177"/>
      <c r="BB48" s="1177"/>
      <c r="BC48" s="1177"/>
      <c r="BD48" s="1177"/>
      <c r="BE48" s="1177"/>
      <c r="BF48" s="1177"/>
      <c r="BG48" s="1177"/>
      <c r="BH48" s="1177">
        <f t="shared" si="51"/>
        <v>0</v>
      </c>
      <c r="BI48" s="1182" cm="1">
        <f t="array" ref="BI48">INDEX(BL48:BW48,$BL$1)</f>
        <v>0</v>
      </c>
      <c r="BJ48" s="1196"/>
      <c r="BK48" s="1503"/>
      <c r="BL48" s="1177">
        <v>0</v>
      </c>
      <c r="BM48" s="1177">
        <v>0</v>
      </c>
      <c r="BN48" s="1177">
        <v>0</v>
      </c>
      <c r="BO48" s="1177">
        <v>0</v>
      </c>
      <c r="BP48" s="1177">
        <v>0</v>
      </c>
      <c r="BQ48" s="1177">
        <v>0</v>
      </c>
      <c r="BR48" s="1177">
        <v>0</v>
      </c>
      <c r="BS48" s="1177">
        <v>0</v>
      </c>
      <c r="BT48" s="1177">
        <v>0</v>
      </c>
      <c r="BU48" s="1177">
        <v>0</v>
      </c>
      <c r="BV48" s="1177">
        <v>0</v>
      </c>
      <c r="BW48" s="1177">
        <v>0</v>
      </c>
      <c r="BX48" s="797">
        <f t="shared" si="54"/>
        <v>0</v>
      </c>
      <c r="BY48" s="1491">
        <f t="shared" si="52"/>
        <v>0</v>
      </c>
      <c r="BZ48" s="1177"/>
      <c r="CA48" s="1177"/>
      <c r="CB48" s="1177"/>
      <c r="CC48" s="1177"/>
      <c r="CD48" s="1177"/>
      <c r="CE48" s="1177"/>
      <c r="CF48" s="1177"/>
      <c r="CG48" s="1177"/>
      <c r="CH48" s="1177"/>
      <c r="CI48" s="1177"/>
      <c r="CJ48" s="1177"/>
      <c r="CK48" s="1177"/>
      <c r="CL48" s="797">
        <f t="shared" si="55"/>
        <v>0</v>
      </c>
      <c r="CN48" s="1177"/>
      <c r="CO48" s="1177"/>
      <c r="CP48" s="1177"/>
      <c r="CQ48" s="1177"/>
      <c r="CR48" s="1177"/>
      <c r="CS48" s="1177"/>
      <c r="CT48" s="1177"/>
      <c r="CU48" s="1177"/>
      <c r="CV48" s="1177"/>
      <c r="CW48" s="1177"/>
      <c r="CX48" s="1177"/>
      <c r="CY48" s="1177"/>
      <c r="CZ48" s="797">
        <f t="shared" si="56"/>
        <v>0</v>
      </c>
      <c r="DB48" s="1177">
        <v>0</v>
      </c>
      <c r="DC48" s="1177">
        <v>0</v>
      </c>
      <c r="DD48" s="1177">
        <v>0</v>
      </c>
      <c r="DE48" s="1177">
        <v>0</v>
      </c>
      <c r="DF48" s="1177">
        <v>0</v>
      </c>
      <c r="DG48" s="1177">
        <v>0</v>
      </c>
      <c r="DH48" s="1177">
        <v>0</v>
      </c>
      <c r="DI48" s="1177">
        <v>0</v>
      </c>
      <c r="DJ48" s="1177">
        <v>0</v>
      </c>
      <c r="DK48" s="1177">
        <v>0</v>
      </c>
      <c r="DL48" s="1177">
        <v>0</v>
      </c>
      <c r="DM48" s="1177">
        <v>0</v>
      </c>
      <c r="DN48" s="797">
        <f t="shared" si="57"/>
        <v>0</v>
      </c>
      <c r="DP48" s="1177"/>
      <c r="DQ48" s="1177"/>
      <c r="DR48" s="1177"/>
      <c r="DS48" s="1177"/>
      <c r="DT48" s="1177"/>
      <c r="DU48" s="1177"/>
      <c r="DV48" s="1177"/>
      <c r="DW48" s="1177"/>
      <c r="DX48" s="1177"/>
      <c r="DY48" s="1177"/>
      <c r="DZ48" s="1177"/>
      <c r="EA48" s="1177"/>
      <c r="EB48" s="797">
        <f t="shared" si="58"/>
        <v>0</v>
      </c>
      <c r="ED48" s="1177">
        <v>0</v>
      </c>
      <c r="EE48" s="1177">
        <v>0</v>
      </c>
      <c r="EF48" s="1177">
        <v>0</v>
      </c>
      <c r="EG48" s="1177">
        <v>0</v>
      </c>
      <c r="EH48" s="1177">
        <v>0</v>
      </c>
      <c r="EI48" s="1177">
        <v>0</v>
      </c>
      <c r="EJ48" s="1177">
        <v>0</v>
      </c>
      <c r="EK48" s="1177">
        <v>0</v>
      </c>
      <c r="EL48" s="1177">
        <v>0</v>
      </c>
      <c r="EM48" s="1177">
        <v>0</v>
      </c>
      <c r="EN48" s="1177">
        <v>0</v>
      </c>
      <c r="EO48" s="1177">
        <v>0</v>
      </c>
      <c r="EP48" s="797">
        <f t="shared" si="59"/>
        <v>0</v>
      </c>
      <c r="ER48" s="1177">
        <v>0</v>
      </c>
      <c r="ES48" s="1177">
        <v>0</v>
      </c>
      <c r="ET48" s="1177">
        <v>0</v>
      </c>
      <c r="EU48" s="1177">
        <v>0</v>
      </c>
      <c r="EV48" s="1177">
        <v>0</v>
      </c>
      <c r="EW48" s="1177">
        <v>0</v>
      </c>
      <c r="EX48" s="1177">
        <v>0</v>
      </c>
      <c r="EY48" s="1177">
        <v>0</v>
      </c>
      <c r="EZ48" s="1177">
        <v>0</v>
      </c>
      <c r="FA48" s="1177">
        <v>0</v>
      </c>
      <c r="FB48" s="1177">
        <v>0</v>
      </c>
      <c r="FC48" s="1177">
        <v>0</v>
      </c>
      <c r="FD48" s="797">
        <f t="shared" si="60"/>
        <v>0</v>
      </c>
      <c r="FF48" s="1177"/>
      <c r="FG48" s="1177"/>
      <c r="FH48" s="1177"/>
      <c r="FI48" s="1177"/>
      <c r="FJ48" s="1177"/>
      <c r="FK48" s="1177"/>
      <c r="FL48" s="1177"/>
      <c r="FM48" s="1177"/>
      <c r="FN48" s="1177"/>
      <c r="FO48" s="1177"/>
      <c r="FP48" s="1177"/>
      <c r="FQ48" s="1177"/>
      <c r="FR48" s="797">
        <f t="shared" si="61"/>
        <v>0</v>
      </c>
    </row>
    <row r="49" spans="1:174" ht="14.15" hidden="1" customHeight="1">
      <c r="A49" s="422">
        <v>27</v>
      </c>
      <c r="B49" s="422" t="s">
        <v>440</v>
      </c>
      <c r="C49" s="1193" t="s">
        <v>444</v>
      </c>
      <c r="D49" s="1197" t="s">
        <v>859</v>
      </c>
      <c r="E49" s="1195" t="s">
        <v>827</v>
      </c>
      <c r="F49" s="1177"/>
      <c r="G49" s="1177"/>
      <c r="H49" s="1177"/>
      <c r="I49" s="1177"/>
      <c r="J49" s="1177"/>
      <c r="K49" s="1177"/>
      <c r="L49" s="1177"/>
      <c r="M49" s="1177"/>
      <c r="N49" s="1177"/>
      <c r="O49" s="1177"/>
      <c r="P49" s="1177"/>
      <c r="Q49" s="1178"/>
      <c r="R49" s="1179"/>
      <c r="S49" s="1180"/>
      <c r="T49" s="1177"/>
      <c r="U49" s="1177"/>
      <c r="V49" s="1177"/>
      <c r="W49" s="1177"/>
      <c r="X49" s="1177"/>
      <c r="Y49" s="1177"/>
      <c r="Z49" s="1177"/>
      <c r="AA49" s="1177"/>
      <c r="AB49" s="1177"/>
      <c r="AC49" s="1177"/>
      <c r="AD49" s="1177">
        <v>145</v>
      </c>
      <c r="AE49" s="1177">
        <v>0</v>
      </c>
      <c r="AF49" s="1181">
        <f t="shared" si="63"/>
        <v>145</v>
      </c>
      <c r="AG49" s="1179">
        <f t="shared" si="49"/>
        <v>12.083333333333334</v>
      </c>
      <c r="AH49" s="1180">
        <v>0</v>
      </c>
      <c r="AI49" s="1177">
        <v>145</v>
      </c>
      <c r="AJ49" s="1177">
        <v>132.69999999999999</v>
      </c>
      <c r="AK49" s="1177">
        <v>97.1</v>
      </c>
      <c r="AL49" s="1177">
        <v>152</v>
      </c>
      <c r="AM49" s="1177">
        <v>162.01666700000001</v>
      </c>
      <c r="AN49" s="1177">
        <v>175.40322599999999</v>
      </c>
      <c r="AO49" s="1177">
        <v>192</v>
      </c>
      <c r="AP49" s="1177">
        <v>212.94399999999999</v>
      </c>
      <c r="AQ49" s="1177">
        <v>207.708</v>
      </c>
      <c r="AR49" s="1177">
        <v>197</v>
      </c>
      <c r="AS49" s="1177">
        <v>193</v>
      </c>
      <c r="AT49" s="1177"/>
      <c r="AU49" s="1179">
        <f t="shared" si="50"/>
        <v>155.57265774999999</v>
      </c>
      <c r="AV49" s="1180">
        <v>180.129032</v>
      </c>
      <c r="AW49" s="1177">
        <v>224</v>
      </c>
      <c r="AX49" s="1177">
        <v>214.064516</v>
      </c>
      <c r="AY49" s="1177">
        <v>238.433333</v>
      </c>
      <c r="AZ49" s="1177">
        <v>238.433333</v>
      </c>
      <c r="BA49" s="1177"/>
      <c r="BB49" s="1177"/>
      <c r="BC49" s="1177"/>
      <c r="BD49" s="1177"/>
      <c r="BE49" s="1177"/>
      <c r="BF49" s="1177"/>
      <c r="BG49" s="1177"/>
      <c r="BH49" s="1177">
        <f t="shared" si="51"/>
        <v>219.01204279999996</v>
      </c>
      <c r="BI49" s="1182" cm="1">
        <f t="array" ref="BI49">INDEX(BL49:BW49,$BL$1)</f>
        <v>294.5</v>
      </c>
      <c r="BJ49" s="1196"/>
      <c r="BK49" s="1503"/>
      <c r="BL49" s="1177">
        <v>294.5</v>
      </c>
      <c r="BM49" s="1177">
        <v>294.5</v>
      </c>
      <c r="BN49" s="1177">
        <v>344.5</v>
      </c>
      <c r="BO49" s="1177">
        <v>294.5</v>
      </c>
      <c r="BP49" s="1177">
        <v>294.5</v>
      </c>
      <c r="BQ49" s="1177">
        <v>294.5</v>
      </c>
      <c r="BR49" s="1177">
        <v>294.5</v>
      </c>
      <c r="BS49" s="1177">
        <v>294.5</v>
      </c>
      <c r="BT49" s="1177">
        <v>294.5</v>
      </c>
      <c r="BU49" s="1177">
        <v>294.5</v>
      </c>
      <c r="BV49" s="1177">
        <v>294.5</v>
      </c>
      <c r="BW49" s="1177">
        <v>294.5</v>
      </c>
      <c r="BX49" s="797">
        <f t="shared" si="54"/>
        <v>3584</v>
      </c>
      <c r="BY49" s="1491">
        <f t="shared" si="52"/>
        <v>0</v>
      </c>
      <c r="BZ49" s="1177"/>
      <c r="CA49" s="1177"/>
      <c r="CB49" s="1177"/>
      <c r="CC49" s="1177"/>
      <c r="CD49" s="1177"/>
      <c r="CE49" s="1177"/>
      <c r="CF49" s="1177"/>
      <c r="CG49" s="1177"/>
      <c r="CH49" s="1177"/>
      <c r="CI49" s="1177"/>
      <c r="CJ49" s="1177"/>
      <c r="CK49" s="1177"/>
      <c r="CL49" s="797">
        <f t="shared" si="55"/>
        <v>0</v>
      </c>
      <c r="CN49" s="1177"/>
      <c r="CO49" s="1177"/>
      <c r="CP49" s="1177"/>
      <c r="CQ49" s="1177"/>
      <c r="CR49" s="1177"/>
      <c r="CS49" s="1177"/>
      <c r="CT49" s="1177"/>
      <c r="CU49" s="1177"/>
      <c r="CV49" s="1177"/>
      <c r="CW49" s="1177"/>
      <c r="CX49" s="1177"/>
      <c r="CY49" s="1177"/>
      <c r="CZ49" s="797">
        <f t="shared" si="56"/>
        <v>0</v>
      </c>
      <c r="DB49" s="1177">
        <v>294.5</v>
      </c>
      <c r="DC49" s="1177">
        <v>294.5</v>
      </c>
      <c r="DD49" s="1177">
        <v>344.5</v>
      </c>
      <c r="DE49" s="1177">
        <v>294.5</v>
      </c>
      <c r="DF49" s="1177">
        <v>294.5</v>
      </c>
      <c r="DG49" s="1177">
        <v>294.5</v>
      </c>
      <c r="DH49" s="1177">
        <v>294.5</v>
      </c>
      <c r="DI49" s="1177">
        <v>294.5</v>
      </c>
      <c r="DJ49" s="1177">
        <v>294.5</v>
      </c>
      <c r="DK49" s="1177">
        <v>294.5</v>
      </c>
      <c r="DL49" s="1177">
        <v>294.5</v>
      </c>
      <c r="DM49" s="1177">
        <v>294.5</v>
      </c>
      <c r="DN49" s="797">
        <f t="shared" si="57"/>
        <v>3584</v>
      </c>
      <c r="DP49" s="1177"/>
      <c r="DQ49" s="1177"/>
      <c r="DR49" s="1177"/>
      <c r="DS49" s="1177"/>
      <c r="DT49" s="1177"/>
      <c r="DU49" s="1177"/>
      <c r="DV49" s="1177"/>
      <c r="DW49" s="1177"/>
      <c r="DX49" s="1177"/>
      <c r="DY49" s="1177"/>
      <c r="DZ49" s="1177"/>
      <c r="EA49" s="1177"/>
      <c r="EB49" s="797">
        <f t="shared" si="58"/>
        <v>0</v>
      </c>
      <c r="ED49" s="1177">
        <v>0</v>
      </c>
      <c r="EE49" s="1177">
        <v>0</v>
      </c>
      <c r="EF49" s="1177">
        <v>0</v>
      </c>
      <c r="EG49" s="1177">
        <v>0</v>
      </c>
      <c r="EH49" s="1177">
        <v>0</v>
      </c>
      <c r="EI49" s="1177">
        <v>0</v>
      </c>
      <c r="EJ49" s="1177">
        <v>0</v>
      </c>
      <c r="EK49" s="1177">
        <v>0</v>
      </c>
      <c r="EL49" s="1177">
        <v>0</v>
      </c>
      <c r="EM49" s="1177">
        <v>0</v>
      </c>
      <c r="EN49" s="1177">
        <v>0</v>
      </c>
      <c r="EO49" s="1177">
        <v>0</v>
      </c>
      <c r="EP49" s="797">
        <f t="shared" si="59"/>
        <v>0</v>
      </c>
      <c r="ER49" s="1177">
        <v>0</v>
      </c>
      <c r="ES49" s="1177">
        <v>0</v>
      </c>
      <c r="ET49" s="1177">
        <v>0</v>
      </c>
      <c r="EU49" s="1177">
        <v>0</v>
      </c>
      <c r="EV49" s="1177">
        <v>0</v>
      </c>
      <c r="EW49" s="1177">
        <v>0</v>
      </c>
      <c r="EX49" s="1177">
        <v>0</v>
      </c>
      <c r="EY49" s="1177">
        <v>0</v>
      </c>
      <c r="EZ49" s="1177">
        <v>0</v>
      </c>
      <c r="FA49" s="1177">
        <v>0</v>
      </c>
      <c r="FB49" s="1177">
        <v>0</v>
      </c>
      <c r="FC49" s="1177">
        <v>0</v>
      </c>
      <c r="FD49" s="797">
        <f t="shared" si="60"/>
        <v>0</v>
      </c>
      <c r="FF49" s="1177"/>
      <c r="FG49" s="1177"/>
      <c r="FH49" s="1177"/>
      <c r="FI49" s="1177"/>
      <c r="FJ49" s="1177"/>
      <c r="FK49" s="1177"/>
      <c r="FL49" s="1177"/>
      <c r="FM49" s="1177"/>
      <c r="FN49" s="1177"/>
      <c r="FO49" s="1177"/>
      <c r="FP49" s="1177"/>
      <c r="FQ49" s="1177"/>
      <c r="FR49" s="797">
        <f t="shared" si="61"/>
        <v>0</v>
      </c>
    </row>
    <row r="50" spans="1:174" s="1206" customFormat="1" ht="14.15" hidden="1" customHeight="1" thickBot="1">
      <c r="A50" s="1198"/>
      <c r="B50" s="1199"/>
      <c r="C50" s="1199"/>
      <c r="D50" s="1198" t="s">
        <v>860</v>
      </c>
      <c r="E50" s="1200"/>
      <c r="F50" s="436">
        <f t="shared" ref="F50:AE50" si="64">SUM(F4:F48)</f>
        <v>34705.756335089281</v>
      </c>
      <c r="G50" s="436">
        <f t="shared" si="64"/>
        <v>46830.567915292297</v>
      </c>
      <c r="H50" s="436">
        <f t="shared" si="64"/>
        <v>57032.908285049292</v>
      </c>
      <c r="I50" s="436">
        <f t="shared" si="64"/>
        <v>49216.549124914287</v>
      </c>
      <c r="J50" s="436">
        <f t="shared" si="64"/>
        <v>59773.187487103271</v>
      </c>
      <c r="K50" s="436">
        <f t="shared" si="64"/>
        <v>52501.971580714264</v>
      </c>
      <c r="L50" s="436">
        <f t="shared" si="64"/>
        <v>60631.468516214278</v>
      </c>
      <c r="M50" s="436">
        <f t="shared" si="64"/>
        <v>63732.915281499983</v>
      </c>
      <c r="N50" s="436">
        <f t="shared" si="64"/>
        <v>55971.92156556002</v>
      </c>
      <c r="O50" s="436">
        <f t="shared" si="64"/>
        <v>63770.502859999979</v>
      </c>
      <c r="P50" s="436">
        <f t="shared" si="64"/>
        <v>51999.252872000005</v>
      </c>
      <c r="Q50" s="1201">
        <f t="shared" si="64"/>
        <v>98701.753947917518</v>
      </c>
      <c r="R50" s="1202">
        <f t="shared" si="64"/>
        <v>57905.729647612927</v>
      </c>
      <c r="S50" s="1203">
        <f t="shared" si="64"/>
        <v>115228.39517860064</v>
      </c>
      <c r="T50" s="436">
        <f t="shared" si="64"/>
        <v>82308.467316309761</v>
      </c>
      <c r="U50" s="436">
        <f t="shared" si="64"/>
        <v>128217.74905364485</v>
      </c>
      <c r="V50" s="436">
        <f t="shared" si="64"/>
        <v>121555.08469479335</v>
      </c>
      <c r="W50" s="436">
        <f t="shared" si="64"/>
        <v>121347.51978554096</v>
      </c>
      <c r="X50" s="436">
        <f t="shared" si="64"/>
        <v>97496.107456854821</v>
      </c>
      <c r="Y50" s="436">
        <f t="shared" si="64"/>
        <v>64877.739682960215</v>
      </c>
      <c r="Z50" s="436">
        <f t="shared" si="64"/>
        <v>77688.687926751358</v>
      </c>
      <c r="AA50" s="436">
        <f t="shared" si="64"/>
        <v>93763.659360791935</v>
      </c>
      <c r="AB50" s="436">
        <f t="shared" si="64"/>
        <v>119614.09176392519</v>
      </c>
      <c r="AC50" s="436">
        <f t="shared" si="64"/>
        <v>125598.03056838282</v>
      </c>
      <c r="AD50" s="436">
        <f>SUM(AD4:AD49)</f>
        <v>100294.66443034637</v>
      </c>
      <c r="AE50" s="436">
        <f t="shared" si="64"/>
        <v>3756.3801549999998</v>
      </c>
      <c r="AF50" s="1201">
        <f>SUM(AF4:AF48)</f>
        <v>1251601.5773739018</v>
      </c>
      <c r="AG50" s="1202">
        <f>SUM(AG4:AG48)</f>
        <v>104300.13144782519</v>
      </c>
      <c r="AH50" s="436">
        <f t="shared" ref="AH50:AI50" si="65">SUM(AH4:AH49)</f>
        <v>70014.277274729946</v>
      </c>
      <c r="AI50" s="436">
        <f t="shared" si="65"/>
        <v>94604.468298730208</v>
      </c>
      <c r="AJ50" s="436">
        <f>SUM(AJ4:AJ49)</f>
        <v>135464.00962234999</v>
      </c>
      <c r="AK50" s="436">
        <f t="shared" ref="AK50:BI50" si="66">SUM(AK4:AK49)</f>
        <v>123357.30299051284</v>
      </c>
      <c r="AL50" s="436">
        <f t="shared" si="66"/>
        <v>141736.63236089979</v>
      </c>
      <c r="AM50" s="436">
        <f t="shared" si="66"/>
        <v>127841.21378199873</v>
      </c>
      <c r="AN50" s="436">
        <f t="shared" si="66"/>
        <v>139252.49948994356</v>
      </c>
      <c r="AO50" s="436">
        <f t="shared" si="66"/>
        <v>140349.22763938981</v>
      </c>
      <c r="AP50" s="436">
        <f t="shared" si="66"/>
        <v>139368.91138751016</v>
      </c>
      <c r="AQ50" s="436">
        <f>SUM(AQ4:AQ49)</f>
        <v>105197.67820408293</v>
      </c>
      <c r="AR50" s="436">
        <f t="shared" si="66"/>
        <v>83291.550956523977</v>
      </c>
      <c r="AS50" s="436">
        <f t="shared" si="66"/>
        <v>111888.34297518275</v>
      </c>
      <c r="AT50" s="436">
        <f t="shared" si="66"/>
        <v>5839.8093530000006</v>
      </c>
      <c r="AU50" s="1202">
        <f>SUM(AU4:AU49)</f>
        <v>118183.82702790455</v>
      </c>
      <c r="AV50" s="436">
        <f t="shared" ref="AV50:AW50" si="67">SUM(AV4:AV49)</f>
        <v>96232.580259348615</v>
      </c>
      <c r="AW50" s="436">
        <f t="shared" si="67"/>
        <v>68966.268484026281</v>
      </c>
      <c r="AX50" s="436">
        <f>SUM(AX4:AX49)</f>
        <v>124440.21239328403</v>
      </c>
      <c r="AY50" s="436">
        <f t="shared" ref="AY50:BD50" si="68">SUM(AY4:AY49)</f>
        <v>124796.66228645046</v>
      </c>
      <c r="AZ50" s="436">
        <f t="shared" si="68"/>
        <v>114318.49041836834</v>
      </c>
      <c r="BA50" s="436">
        <f t="shared" si="68"/>
        <v>0</v>
      </c>
      <c r="BB50" s="436">
        <f t="shared" si="68"/>
        <v>0</v>
      </c>
      <c r="BC50" s="436">
        <f t="shared" si="68"/>
        <v>0</v>
      </c>
      <c r="BD50" s="436">
        <f t="shared" si="68"/>
        <v>0</v>
      </c>
      <c r="BE50" s="436">
        <f>SUM(BE4:BE49)</f>
        <v>0</v>
      </c>
      <c r="BF50" s="436">
        <f t="shared" ref="BF50:BG50" si="69">SUM(BF4:BF49)</f>
        <v>0</v>
      </c>
      <c r="BG50" s="436">
        <f t="shared" si="69"/>
        <v>0</v>
      </c>
      <c r="BH50" s="436">
        <f>SUM(BH4:BH49)</f>
        <v>105750.84276829554</v>
      </c>
      <c r="BI50" s="436">
        <f t="shared" si="66"/>
        <v>122863.18238057743</v>
      </c>
      <c r="BJ50" s="1204"/>
      <c r="BK50" s="1503"/>
      <c r="BL50" s="1205">
        <f t="shared" ref="BL50:BW50" si="70">SUM(BL4:BL49)</f>
        <v>118106.03307548947</v>
      </c>
      <c r="BM50" s="1205">
        <f t="shared" si="70"/>
        <v>101903.70634678968</v>
      </c>
      <c r="BN50" s="1205">
        <f t="shared" si="70"/>
        <v>121400.51430197207</v>
      </c>
      <c r="BO50" s="1205">
        <f t="shared" si="70"/>
        <v>121634.07162660011</v>
      </c>
      <c r="BP50" s="1205">
        <f t="shared" si="70"/>
        <v>122863.18238057743</v>
      </c>
      <c r="BQ50" s="1205">
        <f t="shared" si="70"/>
        <v>125329.36028888382</v>
      </c>
      <c r="BR50" s="1205">
        <f t="shared" si="70"/>
        <v>127061.64916469138</v>
      </c>
      <c r="BS50" s="1205">
        <f t="shared" si="70"/>
        <v>127935.56868398622</v>
      </c>
      <c r="BT50" s="1205">
        <f t="shared" si="70"/>
        <v>129376.51366167335</v>
      </c>
      <c r="BU50" s="1205">
        <f t="shared" si="70"/>
        <v>127281.22757626731</v>
      </c>
      <c r="BV50" s="1205">
        <f t="shared" si="70"/>
        <v>126745.55968199352</v>
      </c>
      <c r="BW50" s="1205">
        <f t="shared" si="70"/>
        <v>129783.4305930009</v>
      </c>
      <c r="BX50" s="1205">
        <f>SUM(BX4:BX49)</f>
        <v>1479420.8173819259</v>
      </c>
      <c r="BY50" s="1496">
        <f t="shared" si="52"/>
        <v>0</v>
      </c>
      <c r="BZ50" s="1205">
        <f t="shared" ref="BZ50:CK50" si="71">SUM(BZ4:BZ49)</f>
        <v>72897.478190204987</v>
      </c>
      <c r="CA50" s="1205">
        <f t="shared" si="71"/>
        <v>59875.033941768925</v>
      </c>
      <c r="CB50" s="1205">
        <f t="shared" si="71"/>
        <v>76428.141214605217</v>
      </c>
      <c r="CC50" s="1205">
        <f t="shared" si="71"/>
        <v>76609.017812741295</v>
      </c>
      <c r="CD50" s="1205">
        <f t="shared" si="71"/>
        <v>76428.141214605217</v>
      </c>
      <c r="CE50" s="1205">
        <f t="shared" si="71"/>
        <v>78020.98443412497</v>
      </c>
      <c r="CF50" s="1205">
        <f t="shared" si="71"/>
        <v>79858.023199772404</v>
      </c>
      <c r="CG50" s="1205">
        <f t="shared" si="71"/>
        <v>80636.921727679801</v>
      </c>
      <c r="CH50" s="1205">
        <f t="shared" si="71"/>
        <v>80310.214695112605</v>
      </c>
      <c r="CI50" s="1205">
        <f t="shared" si="71"/>
        <v>80817.798325815878</v>
      </c>
      <c r="CJ50" s="1205">
        <f t="shared" si="71"/>
        <v>79677.146601636327</v>
      </c>
      <c r="CK50" s="1205">
        <f t="shared" si="71"/>
        <v>80636.921727679801</v>
      </c>
      <c r="CL50" s="1205">
        <f>SUM(CL4:CL49)</f>
        <v>922195.82308574743</v>
      </c>
      <c r="CN50" s="1205">
        <f t="shared" ref="CN50:CY50" si="72">SUM(CN4:CN49)</f>
        <v>3897.2468261153845</v>
      </c>
      <c r="CO50" s="1205">
        <f t="shared" si="72"/>
        <v>3657.4129616923074</v>
      </c>
      <c r="CP50" s="1205">
        <f t="shared" si="72"/>
        <v>3561.7950848461537</v>
      </c>
      <c r="CQ50" s="1205">
        <f t="shared" si="72"/>
        <v>3875.3872236923075</v>
      </c>
      <c r="CR50" s="1205">
        <f t="shared" si="72"/>
        <v>3716.3069672307693</v>
      </c>
      <c r="CS50" s="1205">
        <f t="shared" si="72"/>
        <v>3875.3872236923075</v>
      </c>
      <c r="CT50" s="1205">
        <f t="shared" si="72"/>
        <v>3788.2974989999998</v>
      </c>
      <c r="CU50" s="1205">
        <f t="shared" si="72"/>
        <v>3788.2974989999998</v>
      </c>
      <c r="CV50" s="1205">
        <f t="shared" si="72"/>
        <v>3867.8532653076927</v>
      </c>
      <c r="CW50" s="1205">
        <f t="shared" si="72"/>
        <v>3701.2077533076927</v>
      </c>
      <c r="CX50" s="1205">
        <f t="shared" si="72"/>
        <v>3875.3872236923075</v>
      </c>
      <c r="CY50" s="1205">
        <f t="shared" si="72"/>
        <v>3788.2974989999998</v>
      </c>
      <c r="CZ50" s="1205">
        <f>SUM(CZ4:CZ49)</f>
        <v>45392.877026576927</v>
      </c>
      <c r="DB50" s="1205">
        <f t="shared" ref="DB50:DM50" si="73">SUM(DB4:DB49)</f>
        <v>25280.489109824051</v>
      </c>
      <c r="DC50" s="1205">
        <f t="shared" si="73"/>
        <v>24013.937529578026</v>
      </c>
      <c r="DD50" s="1205">
        <f t="shared" si="73"/>
        <v>26022.973355668146</v>
      </c>
      <c r="DE50" s="1205">
        <f t="shared" si="73"/>
        <v>26400.015472723768</v>
      </c>
      <c r="DF50" s="1205">
        <f t="shared" si="73"/>
        <v>25903.095987695382</v>
      </c>
      <c r="DG50" s="1205">
        <f t="shared" si="73"/>
        <v>26883.461235133709</v>
      </c>
      <c r="DH50" s="1205">
        <f t="shared" si="73"/>
        <v>26862.221748389045</v>
      </c>
      <c r="DI50" s="1205">
        <f t="shared" si="73"/>
        <v>26702.391693773938</v>
      </c>
      <c r="DJ50" s="1205">
        <f t="shared" si="73"/>
        <v>27125.702861694914</v>
      </c>
      <c r="DK50" s="1205">
        <f t="shared" si="73"/>
        <v>26936.76379258656</v>
      </c>
      <c r="DL50" s="1205">
        <f t="shared" si="73"/>
        <v>26894.187000092836</v>
      </c>
      <c r="DM50" s="1205">
        <f t="shared" si="73"/>
        <v>26939.912313012344</v>
      </c>
      <c r="DN50" s="1205">
        <f>SUM(DN4:DN49)</f>
        <v>315965.15210017271</v>
      </c>
      <c r="DP50" s="1205">
        <f t="shared" ref="DP50:EA50" si="74">SUM(DP4:DP49)</f>
        <v>1440.7291910893346</v>
      </c>
      <c r="DQ50" s="1205">
        <f t="shared" si="74"/>
        <v>2314.4014916227866</v>
      </c>
      <c r="DR50" s="1205">
        <f t="shared" si="74"/>
        <v>2754.8451088531456</v>
      </c>
      <c r="DS50" s="1205">
        <f t="shared" si="74"/>
        <v>2658.9739779450151</v>
      </c>
      <c r="DT50" s="1205">
        <f t="shared" si="74"/>
        <v>2984.5638576971396</v>
      </c>
      <c r="DU50" s="1205">
        <f t="shared" si="74"/>
        <v>3083.7658926644508</v>
      </c>
      <c r="DV50" s="1205">
        <f t="shared" si="74"/>
        <v>3139.6191586549103</v>
      </c>
      <c r="DW50" s="1205">
        <f t="shared" si="74"/>
        <v>3321.5810537279758</v>
      </c>
      <c r="DX50" s="1205">
        <f t="shared" si="74"/>
        <v>3248.3418835147654</v>
      </c>
      <c r="DY50" s="1205">
        <f t="shared" si="74"/>
        <v>3254.7331846761322</v>
      </c>
      <c r="DZ50" s="1205">
        <f t="shared" si="74"/>
        <v>3261.9944609206568</v>
      </c>
      <c r="EA50" s="1205">
        <f t="shared" si="74"/>
        <v>3102.3550620342407</v>
      </c>
      <c r="EB50" s="1205">
        <f>SUM(EB4:EB49)</f>
        <v>34565.904323400558</v>
      </c>
      <c r="ED50" s="1205">
        <f t="shared" ref="ED50:EO50" si="75">SUM(ED4:ED49)</f>
        <v>5085.051683268488</v>
      </c>
      <c r="EE50" s="1205">
        <f t="shared" si="75"/>
        <v>4093.1969817930785</v>
      </c>
      <c r="EF50" s="1205">
        <f t="shared" si="75"/>
        <v>4600.8648657930771</v>
      </c>
      <c r="EG50" s="1205">
        <f t="shared" si="75"/>
        <v>3968.8609187165757</v>
      </c>
      <c r="EH50" s="1205">
        <f t="shared" si="75"/>
        <v>5549.0188261701269</v>
      </c>
      <c r="EI50" s="1205">
        <f t="shared" si="75"/>
        <v>4908.2808702522898</v>
      </c>
      <c r="EJ50" s="1205">
        <f t="shared" si="75"/>
        <v>4272.0471088742461</v>
      </c>
      <c r="EK50" s="1205">
        <f t="shared" si="75"/>
        <v>4169.3822236283459</v>
      </c>
      <c r="EL50" s="1205">
        <f t="shared" si="75"/>
        <v>6178.6846668742464</v>
      </c>
      <c r="EM50" s="1205">
        <f t="shared" si="75"/>
        <v>4321.8674913478353</v>
      </c>
      <c r="EN50" s="1205">
        <f t="shared" si="75"/>
        <v>4663.0392557631358</v>
      </c>
      <c r="EO50" s="1205">
        <f t="shared" si="75"/>
        <v>4745.4802467248846</v>
      </c>
      <c r="EP50" s="1205">
        <f>SUM(EP4:EP49)</f>
        <v>56555.775139206329</v>
      </c>
      <c r="ER50" s="1205">
        <f t="shared" ref="ER50:FC50" si="76">SUM(ER4:ER49)</f>
        <v>9071.4130749872184</v>
      </c>
      <c r="ES50" s="1205">
        <f t="shared" si="76"/>
        <v>7516.0984403346129</v>
      </c>
      <c r="ET50" s="1205">
        <f t="shared" si="76"/>
        <v>7598.2696722063793</v>
      </c>
      <c r="EU50" s="1205">
        <f t="shared" si="76"/>
        <v>7688.191220781182</v>
      </c>
      <c r="EV50" s="1205">
        <f t="shared" si="76"/>
        <v>7848.4305271788044</v>
      </c>
      <c r="EW50" s="1205">
        <f t="shared" si="76"/>
        <v>8123.8556330161073</v>
      </c>
      <c r="EX50" s="1205">
        <f t="shared" si="76"/>
        <v>8707.8154500008077</v>
      </c>
      <c r="EY50" s="1205">
        <f t="shared" si="76"/>
        <v>8883.369486176196</v>
      </c>
      <c r="EZ50" s="1205">
        <f t="shared" si="76"/>
        <v>8212.0912891691733</v>
      </c>
      <c r="FA50" s="1205">
        <f t="shared" si="76"/>
        <v>7815.2320285332862</v>
      </c>
      <c r="FB50" s="1205">
        <f t="shared" si="76"/>
        <v>7940.1801398882853</v>
      </c>
      <c r="FC50" s="1205">
        <f t="shared" si="76"/>
        <v>10136.838744549648</v>
      </c>
      <c r="FD50" s="1205">
        <f>SUM(FD4:FD49)</f>
        <v>99541.785706821684</v>
      </c>
      <c r="FF50" s="1205">
        <f t="shared" ref="FF50:FQ50" si="77">SUM(FF4:FF49)</f>
        <v>433.62499999999994</v>
      </c>
      <c r="FG50" s="1205">
        <f t="shared" si="77"/>
        <v>433.62499999999994</v>
      </c>
      <c r="FH50" s="1205">
        <f t="shared" si="77"/>
        <v>433.62499999999994</v>
      </c>
      <c r="FI50" s="1205">
        <f t="shared" si="77"/>
        <v>433.62499999999994</v>
      </c>
      <c r="FJ50" s="1205">
        <f t="shared" si="77"/>
        <v>433.62499999999994</v>
      </c>
      <c r="FK50" s="1205">
        <f t="shared" si="77"/>
        <v>433.62499999999994</v>
      </c>
      <c r="FL50" s="1205">
        <f t="shared" si="77"/>
        <v>433.62499999999994</v>
      </c>
      <c r="FM50" s="1205">
        <f t="shared" si="77"/>
        <v>433.62499999999994</v>
      </c>
      <c r="FN50" s="1205">
        <f t="shared" si="77"/>
        <v>433.62499999999994</v>
      </c>
      <c r="FO50" s="1205">
        <f t="shared" si="77"/>
        <v>433.62499999999994</v>
      </c>
      <c r="FP50" s="1205">
        <f t="shared" si="77"/>
        <v>433.62499999999994</v>
      </c>
      <c r="FQ50" s="1205">
        <f t="shared" si="77"/>
        <v>433.62499999999994</v>
      </c>
      <c r="FR50" s="1205">
        <f>SUM(FR4:FR49)</f>
        <v>5203.4999999999991</v>
      </c>
    </row>
    <row r="51" spans="1:174" ht="17.149999999999999" hidden="1" customHeight="1">
      <c r="A51" s="422">
        <f>A6+1</f>
        <v>4</v>
      </c>
      <c r="B51" s="422" t="s">
        <v>440</v>
      </c>
      <c r="C51" s="422" t="s">
        <v>861</v>
      </c>
      <c r="D51" s="1175" t="s">
        <v>861</v>
      </c>
      <c r="E51" s="1176" t="s">
        <v>827</v>
      </c>
      <c r="F51" s="1188">
        <v>144.99251699999999</v>
      </c>
      <c r="G51" s="1188">
        <v>0</v>
      </c>
      <c r="H51" s="1188">
        <v>0</v>
      </c>
      <c r="I51" s="1188">
        <v>0</v>
      </c>
      <c r="J51" s="1188">
        <v>0</v>
      </c>
      <c r="K51" s="1177">
        <v>5795.5619790000001</v>
      </c>
      <c r="L51" s="1177">
        <v>885.79427199999998</v>
      </c>
      <c r="M51" s="1177">
        <v>2481.6058050000001</v>
      </c>
      <c r="N51" s="1177">
        <v>4580.2871949999999</v>
      </c>
      <c r="O51" s="1177">
        <v>0</v>
      </c>
      <c r="P51" s="1177">
        <v>0</v>
      </c>
      <c r="Q51" s="1177">
        <v>0</v>
      </c>
      <c r="R51" s="1207"/>
      <c r="S51" s="1177">
        <v>0</v>
      </c>
      <c r="T51" s="1177">
        <v>0</v>
      </c>
      <c r="U51" s="1177">
        <v>0</v>
      </c>
      <c r="V51" s="1177">
        <v>0</v>
      </c>
      <c r="W51" s="1177"/>
      <c r="X51" s="1177"/>
      <c r="Y51" s="1177"/>
      <c r="Z51" s="1177"/>
      <c r="AA51" s="1177"/>
      <c r="AB51" s="1177"/>
      <c r="AC51" s="1177"/>
      <c r="AD51" s="1177"/>
      <c r="AE51" s="1177"/>
      <c r="AF51" s="1177">
        <f>SUM(F51:AD51)</f>
        <v>13888.241768</v>
      </c>
      <c r="AG51" s="1207"/>
      <c r="AH51" s="1177"/>
      <c r="AI51" s="1177"/>
      <c r="AJ51" s="1177"/>
      <c r="AK51" s="1177"/>
      <c r="AL51" s="1177"/>
      <c r="AM51" s="1177"/>
      <c r="AN51" s="1177"/>
      <c r="AO51" s="1177"/>
      <c r="AP51" s="1177"/>
      <c r="AQ51" s="1177"/>
      <c r="AR51" s="1177"/>
      <c r="AS51" s="1177"/>
      <c r="AT51" s="1177"/>
      <c r="AU51" s="1207"/>
      <c r="AV51" s="1177"/>
      <c r="AW51" s="1177"/>
      <c r="AX51" s="1177"/>
      <c r="AY51" s="1177"/>
      <c r="AZ51" s="1177"/>
      <c r="BA51" s="1177"/>
      <c r="BB51" s="1177"/>
      <c r="BC51" s="1177"/>
      <c r="BD51" s="1177"/>
      <c r="BE51" s="1177"/>
      <c r="BF51" s="1177"/>
      <c r="BG51" s="1177"/>
      <c r="BH51" s="1177"/>
      <c r="BI51" s="1177"/>
      <c r="BJ51" s="1189" t="s">
        <v>862</v>
      </c>
      <c r="BK51" s="1503"/>
      <c r="BL51" s="1188"/>
      <c r="BM51" s="1188"/>
      <c r="BN51" s="1188"/>
      <c r="BO51" s="1188"/>
      <c r="BP51" s="1188"/>
      <c r="BQ51" s="1188"/>
      <c r="BR51" s="1188"/>
      <c r="BS51" s="1188"/>
      <c r="BT51" s="1188"/>
      <c r="BU51" s="1188"/>
      <c r="BV51" s="1188"/>
      <c r="BW51" s="1188"/>
      <c r="BX51" s="1169"/>
      <c r="BZ51" s="1188"/>
      <c r="CA51" s="1188"/>
      <c r="CB51" s="1188"/>
      <c r="CC51" s="1188"/>
      <c r="CD51" s="1188"/>
      <c r="CE51" s="1188"/>
      <c r="CF51" s="1188"/>
      <c r="CG51" s="1188"/>
      <c r="CH51" s="1188"/>
      <c r="CI51" s="1188"/>
      <c r="CJ51" s="1188"/>
      <c r="CK51" s="1188"/>
      <c r="CL51" s="1169"/>
      <c r="CN51" s="1188"/>
      <c r="CO51" s="1188"/>
      <c r="CP51" s="1188"/>
      <c r="CQ51" s="1188"/>
      <c r="CR51" s="1188"/>
      <c r="CS51" s="1188"/>
      <c r="CT51" s="1188"/>
      <c r="CU51" s="1188"/>
      <c r="CV51" s="1188"/>
      <c r="CW51" s="1188"/>
      <c r="CX51" s="1188"/>
      <c r="CY51" s="1188"/>
      <c r="CZ51" s="1169"/>
      <c r="DB51" s="1188"/>
      <c r="DC51" s="1188"/>
      <c r="DD51" s="1188"/>
      <c r="DE51" s="1188"/>
      <c r="DF51" s="1188"/>
      <c r="DG51" s="1188"/>
      <c r="DH51" s="1188"/>
      <c r="DI51" s="1188"/>
      <c r="DJ51" s="1188"/>
      <c r="DK51" s="1188"/>
      <c r="DL51" s="1188"/>
      <c r="DM51" s="1188"/>
      <c r="DN51" s="1169"/>
      <c r="DP51" s="1188"/>
      <c r="DQ51" s="1188"/>
      <c r="DR51" s="1188"/>
      <c r="DS51" s="1188"/>
      <c r="DT51" s="1188"/>
      <c r="DU51" s="1188"/>
      <c r="DV51" s="1188"/>
      <c r="DW51" s="1188"/>
      <c r="DX51" s="1188"/>
      <c r="DY51" s="1188"/>
      <c r="DZ51" s="1188"/>
      <c r="EA51" s="1188"/>
      <c r="EB51" s="1169"/>
      <c r="ED51" s="1188"/>
      <c r="EE51" s="1188"/>
      <c r="EF51" s="1188"/>
      <c r="EG51" s="1188"/>
      <c r="EH51" s="1188"/>
      <c r="EI51" s="1188"/>
      <c r="EJ51" s="1188"/>
      <c r="EK51" s="1188"/>
      <c r="EL51" s="1188"/>
      <c r="EM51" s="1188"/>
      <c r="EN51" s="1188"/>
      <c r="EO51" s="1188"/>
      <c r="EP51" s="1169"/>
      <c r="ER51" s="1188"/>
      <c r="ES51" s="1188"/>
      <c r="ET51" s="1188"/>
      <c r="EU51" s="1188"/>
      <c r="EV51" s="1188"/>
      <c r="EW51" s="1188"/>
      <c r="EX51" s="1188"/>
      <c r="EY51" s="1188"/>
      <c r="EZ51" s="1188"/>
      <c r="FA51" s="1188"/>
      <c r="FB51" s="1188"/>
      <c r="FC51" s="1188"/>
      <c r="FD51" s="1169"/>
      <c r="FF51" s="1188"/>
      <c r="FG51" s="1188"/>
      <c r="FH51" s="1188"/>
      <c r="FI51" s="1188"/>
      <c r="FJ51" s="1188"/>
      <c r="FK51" s="1188"/>
      <c r="FL51" s="1188"/>
      <c r="FM51" s="1188"/>
      <c r="FN51" s="1188"/>
      <c r="FO51" s="1188"/>
      <c r="FP51" s="1188"/>
      <c r="FQ51" s="1188"/>
      <c r="FR51" s="1169"/>
    </row>
    <row r="52" spans="1:174" ht="17.149999999999999" hidden="1" customHeight="1">
      <c r="A52" s="422">
        <f>A48+1</f>
        <v>27</v>
      </c>
      <c r="B52" s="422" t="s">
        <v>440</v>
      </c>
      <c r="C52" s="422"/>
      <c r="D52" s="1175" t="s">
        <v>863</v>
      </c>
      <c r="E52" s="1176" t="s">
        <v>827</v>
      </c>
      <c r="F52" s="1188">
        <v>-5.5565300000000004</v>
      </c>
      <c r="G52" s="1188">
        <v>160.116297</v>
      </c>
      <c r="H52" s="1188">
        <v>-155.217794</v>
      </c>
      <c r="I52" s="1188">
        <v>967.21512299999995</v>
      </c>
      <c r="J52" s="1188">
        <v>883.68432499999994</v>
      </c>
      <c r="K52" s="1177">
        <v>770.03358600000001</v>
      </c>
      <c r="L52" s="1177">
        <v>590.11258299999997</v>
      </c>
      <c r="M52" s="1177">
        <v>-2459.193479</v>
      </c>
      <c r="N52" s="1177">
        <v>-826.644319</v>
      </c>
      <c r="O52" s="1177">
        <v>-800.77633500000002</v>
      </c>
      <c r="P52" s="1177">
        <v>-1017.852556</v>
      </c>
      <c r="Q52" s="1177">
        <v>-672.57486300000005</v>
      </c>
      <c r="R52" s="1177"/>
      <c r="S52" s="1177">
        <v>-361.85201699999999</v>
      </c>
      <c r="T52" s="1177">
        <v>-969.27241400000003</v>
      </c>
      <c r="U52" s="1177">
        <v>-896.72884199999999</v>
      </c>
      <c r="V52" s="1177">
        <v>-1085.4048929999999</v>
      </c>
      <c r="W52" s="1177"/>
      <c r="X52" s="1177"/>
      <c r="Y52" s="1177"/>
      <c r="Z52" s="1177"/>
      <c r="AA52" s="1177"/>
      <c r="AB52" s="1177"/>
      <c r="AC52" s="1177"/>
      <c r="AD52" s="1177"/>
      <c r="AE52" s="1177"/>
      <c r="AF52" s="1177">
        <f>SUM(F52:AD52)</f>
        <v>-5879.9121279999999</v>
      </c>
      <c r="AG52" s="1177"/>
      <c r="AH52" s="1177"/>
      <c r="AI52" s="1177"/>
      <c r="AJ52" s="1177"/>
      <c r="AK52" s="1177"/>
      <c r="AL52" s="1177"/>
      <c r="AM52" s="1177"/>
      <c r="AN52" s="1177"/>
      <c r="AO52" s="1177"/>
      <c r="AP52" s="1177"/>
      <c r="AQ52" s="1177"/>
      <c r="AR52" s="1177"/>
      <c r="AS52" s="1177"/>
      <c r="AT52" s="1177"/>
      <c r="AU52" s="1177"/>
      <c r="AV52" s="1177"/>
      <c r="AW52" s="1177"/>
      <c r="AX52" s="1177"/>
      <c r="AY52" s="1177"/>
      <c r="AZ52" s="1177"/>
      <c r="BA52" s="1177"/>
      <c r="BB52" s="1177"/>
      <c r="BC52" s="1177"/>
      <c r="BD52" s="1177"/>
      <c r="BE52" s="1177"/>
      <c r="BF52" s="1177"/>
      <c r="BG52" s="1177"/>
      <c r="BH52" s="1177"/>
      <c r="BI52" s="1177"/>
      <c r="BJ52" s="1189" t="s">
        <v>864</v>
      </c>
      <c r="BK52" s="1503"/>
      <c r="BL52" s="1188"/>
      <c r="BM52" s="1188"/>
      <c r="BN52" s="1188"/>
      <c r="BO52" s="1188"/>
      <c r="BP52" s="1188"/>
      <c r="BQ52" s="1188"/>
      <c r="BR52" s="1188"/>
      <c r="BS52" s="1188"/>
      <c r="BT52" s="1188"/>
      <c r="BU52" s="1188"/>
      <c r="BV52" s="1188"/>
      <c r="BW52" s="1188"/>
      <c r="BX52" s="797">
        <f>SUM(BL52:BW52)</f>
        <v>0</v>
      </c>
      <c r="BZ52" s="1188"/>
      <c r="CA52" s="1188"/>
      <c r="CB52" s="1188"/>
      <c r="CC52" s="1188"/>
      <c r="CD52" s="1188"/>
      <c r="CE52" s="1188"/>
      <c r="CF52" s="1188"/>
      <c r="CG52" s="1188"/>
      <c r="CH52" s="1188"/>
      <c r="CI52" s="1188"/>
      <c r="CJ52" s="1188"/>
      <c r="CK52" s="1188"/>
      <c r="CL52" s="797">
        <f>SUM(BZ52:CK52)</f>
        <v>0</v>
      </c>
      <c r="CN52" s="1188"/>
      <c r="CO52" s="1188"/>
      <c r="CP52" s="1188"/>
      <c r="CQ52" s="1188"/>
      <c r="CR52" s="1188"/>
      <c r="CS52" s="1188"/>
      <c r="CT52" s="1188"/>
      <c r="CU52" s="1188"/>
      <c r="CV52" s="1188"/>
      <c r="CW52" s="1188"/>
      <c r="CX52" s="1188"/>
      <c r="CY52" s="1188"/>
      <c r="CZ52" s="797">
        <f>SUM(CN52:CY52)</f>
        <v>0</v>
      </c>
      <c r="DB52" s="1188"/>
      <c r="DC52" s="1188"/>
      <c r="DD52" s="1188"/>
      <c r="DE52" s="1188"/>
      <c r="DF52" s="1188"/>
      <c r="DG52" s="1188"/>
      <c r="DH52" s="1188"/>
      <c r="DI52" s="1188"/>
      <c r="DJ52" s="1188"/>
      <c r="DK52" s="1188"/>
      <c r="DL52" s="1188"/>
      <c r="DM52" s="1188"/>
      <c r="DN52" s="797">
        <f>SUM(DB52:DM52)</f>
        <v>0</v>
      </c>
      <c r="DP52" s="1188"/>
      <c r="DQ52" s="1188"/>
      <c r="DR52" s="1188"/>
      <c r="DS52" s="1188"/>
      <c r="DT52" s="1188"/>
      <c r="DU52" s="1188"/>
      <c r="DV52" s="1188"/>
      <c r="DW52" s="1188"/>
      <c r="DX52" s="1188"/>
      <c r="DY52" s="1188"/>
      <c r="DZ52" s="1188"/>
      <c r="EA52" s="1188"/>
      <c r="EB52" s="797">
        <f>SUM(DP52:EA52)</f>
        <v>0</v>
      </c>
      <c r="ED52" s="1188"/>
      <c r="EE52" s="1188"/>
      <c r="EF52" s="1188"/>
      <c r="EG52" s="1188"/>
      <c r="EH52" s="1188"/>
      <c r="EI52" s="1188"/>
      <c r="EJ52" s="1188"/>
      <c r="EK52" s="1188"/>
      <c r="EL52" s="1188"/>
      <c r="EM52" s="1188"/>
      <c r="EN52" s="1188"/>
      <c r="EO52" s="1188"/>
      <c r="EP52" s="797">
        <f>SUM(ED52:EO52)</f>
        <v>0</v>
      </c>
      <c r="ER52" s="1188"/>
      <c r="ES52" s="1188"/>
      <c r="ET52" s="1188"/>
      <c r="EU52" s="1188"/>
      <c r="EV52" s="1188"/>
      <c r="EW52" s="1188"/>
      <c r="EX52" s="1188"/>
      <c r="EY52" s="1188"/>
      <c r="EZ52" s="1188"/>
      <c r="FA52" s="1188"/>
      <c r="FB52" s="1188"/>
      <c r="FC52" s="1188"/>
      <c r="FD52" s="797">
        <f>SUM(ER52:FC52)</f>
        <v>0</v>
      </c>
      <c r="FF52" s="1188"/>
      <c r="FG52" s="1188"/>
      <c r="FH52" s="1188"/>
      <c r="FI52" s="1188"/>
      <c r="FJ52" s="1188"/>
      <c r="FK52" s="1188"/>
      <c r="FL52" s="1188"/>
      <c r="FM52" s="1188"/>
      <c r="FN52" s="1188"/>
      <c r="FO52" s="1188"/>
      <c r="FP52" s="1188"/>
      <c r="FQ52" s="1188"/>
      <c r="FR52" s="797">
        <f>SUM(FF52:FQ52)</f>
        <v>0</v>
      </c>
    </row>
    <row r="53" spans="1:174" s="445" customFormat="1" ht="15" hidden="1" customHeight="1">
      <c r="A53" s="422">
        <f>A52+1</f>
        <v>28</v>
      </c>
      <c r="B53" s="422"/>
      <c r="C53" s="429" t="s">
        <v>865</v>
      </c>
      <c r="D53" s="1208" t="s">
        <v>865</v>
      </c>
      <c r="E53" s="1209" t="s">
        <v>827</v>
      </c>
      <c r="F53" s="1210">
        <v>579.97006699999997</v>
      </c>
      <c r="G53" s="1210">
        <v>-2654.7858190000002</v>
      </c>
      <c r="H53" s="1210">
        <v>-7224.6203409999998</v>
      </c>
      <c r="I53" s="1210">
        <v>-2945.8157729999998</v>
      </c>
      <c r="J53" s="1205">
        <v>2782.8241240000002</v>
      </c>
      <c r="K53" s="1205">
        <v>33224.645724000002</v>
      </c>
      <c r="L53" s="1205">
        <v>3543.1770889999998</v>
      </c>
      <c r="M53" s="1205">
        <f>9926423222/10^6</f>
        <v>9926.4232219999994</v>
      </c>
      <c r="N53" s="1205">
        <v>18321.148781</v>
      </c>
      <c r="O53" s="1205">
        <v>14008.554587000001</v>
      </c>
      <c r="P53" s="1205">
        <v>7360.0907479999996</v>
      </c>
      <c r="Q53" s="1205">
        <v>17436.5677192</v>
      </c>
      <c r="R53" s="1205"/>
      <c r="S53" s="1205"/>
      <c r="T53" s="1205"/>
      <c r="U53" s="1205"/>
      <c r="V53" s="1205"/>
      <c r="W53" s="1205"/>
      <c r="X53" s="1205"/>
      <c r="Y53" s="1205"/>
      <c r="Z53" s="1205"/>
      <c r="AA53" s="1205"/>
      <c r="AB53" s="1205"/>
      <c r="AC53" s="1205"/>
      <c r="AD53" s="1205"/>
      <c r="AE53" s="1205"/>
      <c r="AF53" s="1177">
        <f>SUM(F53:AD53)</f>
        <v>94358.180128200009</v>
      </c>
      <c r="AG53" s="1177"/>
      <c r="AH53" s="1177"/>
      <c r="AI53" s="1177"/>
      <c r="AJ53" s="1177"/>
      <c r="AK53" s="1177"/>
      <c r="AL53" s="1177"/>
      <c r="AM53" s="1177"/>
      <c r="AN53" s="1177"/>
      <c r="AO53" s="1177"/>
      <c r="AP53" s="1177"/>
      <c r="AQ53" s="1177"/>
      <c r="AR53" s="1177"/>
      <c r="AS53" s="1177"/>
      <c r="AT53" s="1177"/>
      <c r="AU53" s="1177"/>
      <c r="AV53" s="1177"/>
      <c r="AW53" s="1177"/>
      <c r="AX53" s="1177"/>
      <c r="AY53" s="1177"/>
      <c r="AZ53" s="1177"/>
      <c r="BA53" s="1177"/>
      <c r="BB53" s="1177"/>
      <c r="BC53" s="1177"/>
      <c r="BD53" s="1177"/>
      <c r="BE53" s="1177"/>
      <c r="BF53" s="1177"/>
      <c r="BG53" s="1177"/>
      <c r="BH53" s="1177"/>
      <c r="BI53" s="1177"/>
      <c r="BJ53" s="1211"/>
      <c r="BK53" s="1503"/>
      <c r="BL53" s="1188"/>
      <c r="BM53" s="1188"/>
      <c r="BN53" s="1188"/>
      <c r="BO53" s="1188"/>
      <c r="BP53" s="1188"/>
      <c r="BQ53" s="1188"/>
      <c r="BR53" s="1188"/>
      <c r="BS53" s="1188"/>
      <c r="BT53" s="1188"/>
      <c r="BU53" s="1188"/>
      <c r="BV53" s="1188"/>
      <c r="BW53" s="1188"/>
      <c r="BX53" s="1169"/>
      <c r="BZ53" s="1188"/>
      <c r="CA53" s="1188"/>
      <c r="CB53" s="1188"/>
      <c r="CC53" s="1188"/>
      <c r="CD53" s="1188"/>
      <c r="CE53" s="1188"/>
      <c r="CF53" s="1188"/>
      <c r="CG53" s="1188"/>
      <c r="CH53" s="1188"/>
      <c r="CI53" s="1188"/>
      <c r="CJ53" s="1188"/>
      <c r="CK53" s="1188"/>
      <c r="CL53" s="1169"/>
      <c r="CN53" s="1188"/>
      <c r="CO53" s="1188"/>
      <c r="CP53" s="1188"/>
      <c r="CQ53" s="1188"/>
      <c r="CR53" s="1188"/>
      <c r="CS53" s="1188"/>
      <c r="CT53" s="1188"/>
      <c r="CU53" s="1188"/>
      <c r="CV53" s="1188"/>
      <c r="CW53" s="1188"/>
      <c r="CX53" s="1188"/>
      <c r="CY53" s="1188"/>
      <c r="CZ53" s="1169"/>
      <c r="DB53" s="1188"/>
      <c r="DC53" s="1188"/>
      <c r="DD53" s="1188"/>
      <c r="DE53" s="1188"/>
      <c r="DF53" s="1188"/>
      <c r="DG53" s="1188"/>
      <c r="DH53" s="1188"/>
      <c r="DI53" s="1188"/>
      <c r="DJ53" s="1188"/>
      <c r="DK53" s="1188"/>
      <c r="DL53" s="1188"/>
      <c r="DM53" s="1188"/>
      <c r="DN53" s="1169"/>
      <c r="DP53" s="1188"/>
      <c r="DQ53" s="1188"/>
      <c r="DR53" s="1188"/>
      <c r="DS53" s="1188"/>
      <c r="DT53" s="1188"/>
      <c r="DU53" s="1188"/>
      <c r="DV53" s="1188"/>
      <c r="DW53" s="1188"/>
      <c r="DX53" s="1188"/>
      <c r="DY53" s="1188"/>
      <c r="DZ53" s="1188"/>
      <c r="EA53" s="1188"/>
      <c r="EB53" s="1169"/>
      <c r="ED53" s="1188"/>
      <c r="EE53" s="1188"/>
      <c r="EF53" s="1188"/>
      <c r="EG53" s="1188"/>
      <c r="EH53" s="1188"/>
      <c r="EI53" s="1188"/>
      <c r="EJ53" s="1188"/>
      <c r="EK53" s="1188"/>
      <c r="EL53" s="1188"/>
      <c r="EM53" s="1188"/>
      <c r="EN53" s="1188"/>
      <c r="EO53" s="1188"/>
      <c r="EP53" s="1169"/>
      <c r="ER53" s="1188"/>
      <c r="ES53" s="1188"/>
      <c r="ET53" s="1188"/>
      <c r="EU53" s="1188"/>
      <c r="EV53" s="1188"/>
      <c r="EW53" s="1188"/>
      <c r="EX53" s="1188"/>
      <c r="EY53" s="1188"/>
      <c r="EZ53" s="1188"/>
      <c r="FA53" s="1188"/>
      <c r="FB53" s="1188"/>
      <c r="FC53" s="1188"/>
      <c r="FD53" s="1169"/>
      <c r="FF53" s="1188"/>
      <c r="FG53" s="1188"/>
      <c r="FH53" s="1188"/>
      <c r="FI53" s="1188"/>
      <c r="FJ53" s="1188"/>
      <c r="FK53" s="1188"/>
      <c r="FL53" s="1188"/>
      <c r="FM53" s="1188"/>
      <c r="FN53" s="1188"/>
      <c r="FO53" s="1188"/>
      <c r="FP53" s="1188"/>
      <c r="FQ53" s="1188"/>
      <c r="FR53" s="1169"/>
    </row>
    <row r="54" spans="1:174">
      <c r="BN54" s="1169"/>
      <c r="BO54" s="1169"/>
      <c r="BP54" s="1169"/>
      <c r="BQ54" s="1169"/>
      <c r="BR54" s="1169"/>
      <c r="BS54" s="1169"/>
      <c r="BT54" s="1169"/>
      <c r="BU54" s="1169"/>
      <c r="BV54" s="1169"/>
      <c r="BW54" s="1169"/>
      <c r="BX54" s="1169"/>
      <c r="BZ54" s="1491">
        <f>BZ50/'18 KMP- Tháng'!BH26</f>
        <v>18.4317264703426</v>
      </c>
      <c r="CA54" s="1491">
        <f>CA50/'18 KMP- Tháng'!BI26</f>
        <v>18.451474250159915</v>
      </c>
      <c r="CB54" s="1491">
        <f>CB50/'18 KMP- Tháng'!BJ26</f>
        <v>18.438634792425866</v>
      </c>
      <c r="CC54" s="1491">
        <f>CC50/'18 KMP- Tháng'!BK26</f>
        <v>18.437790087302357</v>
      </c>
      <c r="CD54" s="1491">
        <f>CD50/'18 KMP- Tháng'!BL26</f>
        <v>18.438634792425866</v>
      </c>
      <c r="CE54" s="1491">
        <f>CE50/'18 KMP- Tháng'!BM26</f>
        <v>18.444677171187937</v>
      </c>
      <c r="CF54" s="1491">
        <f>CF50/'18 KMP- Tháng'!BN26</f>
        <v>18.442961478007483</v>
      </c>
      <c r="CG54" s="1491">
        <f>CG50/'18 KMP- Tháng'!BO26</f>
        <v>18.452384834709335</v>
      </c>
      <c r="CH54" s="1491">
        <f>CH50/'18 KMP- Tháng'!BP26</f>
        <v>18.440921858808863</v>
      </c>
      <c r="CI54" s="1491">
        <f>CI50/'18 KMP- Tháng'!BQ26</f>
        <v>18.451552129181707</v>
      </c>
      <c r="CJ54" s="1491">
        <f>CJ50/'18 KMP- Tháng'!BR26</f>
        <v>18.443783935563964</v>
      </c>
      <c r="CK54" s="1491">
        <f>CK50/'18 KMP- Tháng'!BS26</f>
        <v>18.452384834709335</v>
      </c>
      <c r="CL54" s="1491">
        <f>CL50/'18 KMP- Tháng'!BT26</f>
        <v>18.443916461714949</v>
      </c>
      <c r="CN54" s="1491">
        <f>CN50/'18 KMP- Tháng'!BH26</f>
        <v>0.98539742758922488</v>
      </c>
      <c r="CO54" s="1491">
        <f>CO50/'18 KMP- Tháng'!BI26</f>
        <v>1.1270918217849946</v>
      </c>
      <c r="CP54" s="1491">
        <f>CP50/'18 KMP- Tháng'!BJ26</f>
        <v>0.85929917607868611</v>
      </c>
      <c r="CQ54" s="1491">
        <f>CQ50/'18 KMP- Tháng'!BK26</f>
        <v>0.93270450630380441</v>
      </c>
      <c r="CR54" s="1491">
        <f>CR50/'18 KMP- Tháng'!BL26</f>
        <v>0.89657586664192257</v>
      </c>
      <c r="CS54" s="1491">
        <f>CS50/'18 KMP- Tháng'!BM26</f>
        <v>0.91616719236224764</v>
      </c>
      <c r="CT54" s="1491">
        <f>CT50/'18 KMP- Tháng'!BN26</f>
        <v>0.87489549630484986</v>
      </c>
      <c r="CU54" s="1491">
        <f>CU50/'18 KMP- Tháng'!BO26</f>
        <v>0.86688729954233401</v>
      </c>
      <c r="CV54" s="1491">
        <f>CV50/'18 KMP- Tháng'!BP26</f>
        <v>0.88814081866996386</v>
      </c>
      <c r="CW54" s="1491">
        <f>CW50/'18 KMP- Tháng'!BQ26</f>
        <v>0.84502460121180201</v>
      </c>
      <c r="CX54" s="1491">
        <f>CX50/'18 KMP- Tháng'!BR26</f>
        <v>0.8970803758547008</v>
      </c>
      <c r="CY54" s="1491">
        <f>CY50/'18 KMP- Tháng'!BS26</f>
        <v>0.86688729954233401</v>
      </c>
      <c r="CZ54" s="1491">
        <f>CZ50/'18 KMP- Tháng'!BT26</f>
        <v>0.90785754053153855</v>
      </c>
      <c r="DB54" s="1491">
        <f>DB50/'18 KMP- Tháng'!BH26</f>
        <v>6.3920326447089888</v>
      </c>
      <c r="DC54" s="1491">
        <f>DC50/'18 KMP- Tháng'!BI26</f>
        <v>7.4002889151241993</v>
      </c>
      <c r="DD54" s="1491">
        <f>DD50/'18 KMP- Tháng'!BJ26</f>
        <v>6.2781600375556446</v>
      </c>
      <c r="DE54" s="1491">
        <f>DE50/'18 KMP- Tháng'!BK26</f>
        <v>6.3537943375989814</v>
      </c>
      <c r="DF54" s="1491">
        <f>DF50/'18 KMP- Tháng'!BL26</f>
        <v>6.2492390802642657</v>
      </c>
      <c r="DG54" s="1491">
        <f>DG50/'18 KMP- Tháng'!BM26</f>
        <v>6.355428187974872</v>
      </c>
      <c r="DH54" s="1491">
        <f>DH50/'18 KMP- Tháng'!BN26</f>
        <v>6.2037463622145603</v>
      </c>
      <c r="DI54" s="1491">
        <f>DI50/'18 KMP- Tháng'!BO26</f>
        <v>6.1103871152800773</v>
      </c>
      <c r="DJ54" s="1491">
        <f>DJ50/'18 KMP- Tháng'!BP26</f>
        <v>6.2286344114110017</v>
      </c>
      <c r="DK54" s="1491">
        <f>DK50/'18 KMP- Tháng'!BQ26</f>
        <v>6.1499460713667942</v>
      </c>
      <c r="DL54" s="1491">
        <f>DL50/'18 KMP- Tháng'!BR26</f>
        <v>6.2255062500214899</v>
      </c>
      <c r="DM54" s="1491">
        <f>DM50/'18 KMP- Tháng'!BS26</f>
        <v>6.1647396597282249</v>
      </c>
      <c r="DN54" s="1491">
        <f>DN50/'18 KMP- Tháng'!BT26</f>
        <v>6.3193030420034546</v>
      </c>
    </row>
    <row r="55" spans="1:174" ht="15.5">
      <c r="C55" s="1212"/>
      <c r="D55" s="1166" t="s">
        <v>1044</v>
      </c>
      <c r="R55" s="1168">
        <f>'18 KMP- Tháng (Tâm)'!Q31</f>
        <v>1954.7762499999999</v>
      </c>
      <c r="AG55" s="1168">
        <f>'18 KMP- Tháng (Tâm)'!AD31</f>
        <v>3688.0240250000002</v>
      </c>
      <c r="AH55" s="1168">
        <f t="shared" ref="AH55:AR55" si="78">AH50-AH4-AH7-AH8-AH13-AH21</f>
        <v>35410.467156000013</v>
      </c>
      <c r="AI55" s="1168">
        <f t="shared" si="78"/>
        <v>38017.993829999934</v>
      </c>
      <c r="AJ55" s="1168">
        <f t="shared" si="78"/>
        <v>39299.999739000094</v>
      </c>
      <c r="AK55" s="1168">
        <f t="shared" si="78"/>
        <v>39008.010991000025</v>
      </c>
      <c r="AL55" s="1168">
        <f t="shared" si="78"/>
        <v>41206.700700999951</v>
      </c>
      <c r="AM55" s="1168">
        <f t="shared" si="78"/>
        <v>40010.871226000025</v>
      </c>
      <c r="AN55" s="1168">
        <f t="shared" si="78"/>
        <v>41768.643398999993</v>
      </c>
      <c r="AO55" s="1168">
        <f t="shared" si="78"/>
        <v>43125.183193000012</v>
      </c>
      <c r="AP55" s="1168">
        <f t="shared" si="78"/>
        <v>43742.377326999951</v>
      </c>
      <c r="AQ55" s="1168">
        <f t="shared" si="78"/>
        <v>42736.352284000022</v>
      </c>
      <c r="AR55" s="1168">
        <f t="shared" si="78"/>
        <v>40111.133621999972</v>
      </c>
      <c r="AU55" s="1168">
        <f>'18 KMP- Tháng (Tâm)'!AQ31</f>
        <v>3792.1955249999996</v>
      </c>
      <c r="AV55" s="1168">
        <f>'18 KMP- Tháng (Tâm)'!BF31</f>
        <v>2868.56925</v>
      </c>
      <c r="AW55" s="1168">
        <f>'18 KMP- Tháng (Tâm)'!BG31</f>
        <v>1811.1000000000001</v>
      </c>
      <c r="AX55" s="1168">
        <f>'18 KMP- Tháng (Tâm)'!BH31</f>
        <v>4279.4889999999996</v>
      </c>
      <c r="AY55" s="1168">
        <f>'18 KMP- Tháng (Tâm)'!BI31</f>
        <v>4370.2853999999998</v>
      </c>
      <c r="AZ55" s="1168">
        <f>'18 KMP- Tháng (Tâm)'!BJ31</f>
        <v>3592.6819999999998</v>
      </c>
      <c r="BH55" s="1168">
        <f>AVERAGE(AV55:BG55)</f>
        <v>3384.4251300000005</v>
      </c>
      <c r="BI55" s="1168" cm="1">
        <f t="array" ref="BI55">INDEX(BL55:BW55,$BL$1)</f>
        <v>4145</v>
      </c>
      <c r="BL55" s="1504">
        <f>'18 KMP- Tháng (Tâm)'!AS31</f>
        <v>3955</v>
      </c>
      <c r="BM55" s="1504">
        <f>'18 KMP- Tháng (Tâm)'!AT31</f>
        <v>3245</v>
      </c>
      <c r="BN55" s="1504">
        <f>'18 KMP- Tháng (Tâm)'!AU31</f>
        <v>4145</v>
      </c>
      <c r="BO55" s="1504">
        <f>'18 KMP- Tháng (Tâm)'!AV31</f>
        <v>4155</v>
      </c>
      <c r="BP55" s="1504">
        <f>'18 KMP- Tháng (Tâm)'!AW31</f>
        <v>4145</v>
      </c>
      <c r="BQ55" s="1504">
        <f>'18 KMP- Tháng (Tâm)'!AX31</f>
        <v>4230</v>
      </c>
      <c r="BR55" s="1504">
        <f>'18 KMP- Tháng (Tâm)'!AY31</f>
        <v>4330</v>
      </c>
      <c r="BS55" s="1504">
        <f>'18 KMP- Tháng (Tâm)'!AZ31</f>
        <v>4370</v>
      </c>
      <c r="BT55" s="1504">
        <f>'18 KMP- Tháng (Tâm)'!BA31</f>
        <v>4355</v>
      </c>
      <c r="BU55" s="1504">
        <f>'18 KMP- Tháng (Tâm)'!BB31</f>
        <v>4380</v>
      </c>
      <c r="BV55" s="1504">
        <f>'18 KMP- Tháng (Tâm)'!BC31</f>
        <v>4320</v>
      </c>
      <c r="BW55" s="1504">
        <f>'18 KMP- Tháng (Tâm)'!BD31</f>
        <v>4370</v>
      </c>
      <c r="BX55" s="1504">
        <f t="shared" ref="BX55:BX59" si="79">SUM(BL55:BW55)</f>
        <v>50000</v>
      </c>
      <c r="BZ55" s="1497">
        <f t="shared" ref="BZ55:CL55" si="80">BZ54+CN54+DB54</f>
        <v>25.809156542640814</v>
      </c>
      <c r="CA55" s="1497">
        <f t="shared" si="80"/>
        <v>26.978854987069109</v>
      </c>
      <c r="CB55" s="1497">
        <f t="shared" si="80"/>
        <v>25.576094006060195</v>
      </c>
      <c r="CC55" s="1497">
        <f t="shared" si="80"/>
        <v>25.724288931205141</v>
      </c>
      <c r="CD55" s="1497">
        <f t="shared" si="80"/>
        <v>25.584449739332051</v>
      </c>
      <c r="CE55" s="1497">
        <f t="shared" si="80"/>
        <v>25.716272551525059</v>
      </c>
      <c r="CF55" s="1497">
        <f t="shared" si="80"/>
        <v>25.521603336526891</v>
      </c>
      <c r="CG55" s="1497">
        <f t="shared" si="80"/>
        <v>25.429659249531746</v>
      </c>
      <c r="CH55" s="1497">
        <f t="shared" si="80"/>
        <v>25.557697088889828</v>
      </c>
      <c r="CI55" s="1497">
        <f t="shared" si="80"/>
        <v>25.446522801760302</v>
      </c>
      <c r="CJ55" s="1497">
        <f t="shared" si="80"/>
        <v>25.566370561440152</v>
      </c>
      <c r="CK55" s="1497">
        <f t="shared" si="80"/>
        <v>25.484011793979896</v>
      </c>
      <c r="CL55" s="1497">
        <f t="shared" si="80"/>
        <v>25.671077044249941</v>
      </c>
      <c r="CN55" s="1491"/>
      <c r="CO55" s="1491"/>
      <c r="CP55" s="1491"/>
      <c r="CQ55" s="1491"/>
      <c r="CR55" s="1491"/>
      <c r="CS55" s="1491"/>
      <c r="CT55" s="1491"/>
      <c r="CU55" s="1491"/>
      <c r="CV55" s="1491"/>
      <c r="CW55" s="1491"/>
      <c r="CX55" s="1491"/>
      <c r="CY55" s="1491"/>
      <c r="CZ55" s="1491"/>
      <c r="DB55" s="1491"/>
      <c r="DC55" s="1491"/>
      <c r="DD55" s="1491"/>
      <c r="DE55" s="1491"/>
      <c r="DF55" s="1491"/>
      <c r="DG55" s="1491"/>
      <c r="DH55" s="1491"/>
      <c r="DI55" s="1491"/>
      <c r="DJ55" s="1491"/>
      <c r="DK55" s="1491"/>
      <c r="DL55" s="1491"/>
      <c r="DM55" s="1491"/>
      <c r="DN55" s="1491"/>
      <c r="DP55" s="1491"/>
      <c r="DQ55" s="1491"/>
      <c r="DR55" s="1491"/>
      <c r="DS55" s="1491"/>
      <c r="DT55" s="1491"/>
      <c r="DU55" s="1491"/>
      <c r="DV55" s="1491"/>
      <c r="DW55" s="1491"/>
      <c r="DX55" s="1491"/>
      <c r="DY55" s="1491"/>
      <c r="DZ55" s="1491"/>
      <c r="EA55" s="1491"/>
      <c r="EB55" s="1491"/>
      <c r="ED55" s="1491"/>
      <c r="EE55" s="1491"/>
      <c r="EF55" s="1491"/>
      <c r="EG55" s="1491"/>
      <c r="EH55" s="1491"/>
      <c r="EI55" s="1491"/>
      <c r="EJ55" s="1491"/>
      <c r="EK55" s="1491"/>
      <c r="EL55" s="1491"/>
      <c r="EM55" s="1491"/>
      <c r="EN55" s="1491"/>
      <c r="EO55" s="1491"/>
      <c r="EP55" s="1491"/>
    </row>
    <row r="56" spans="1:174">
      <c r="D56" s="1166" t="s">
        <v>1064</v>
      </c>
      <c r="R56" s="1168">
        <f>'18 KMP- Tháng (Tâm)'!Q37</f>
        <v>1814.0833333333333</v>
      </c>
      <c r="AG56" s="1168">
        <f>'18 KMP- Tháng (Tâm)'!AD37</f>
        <v>2914.2000000000003</v>
      </c>
      <c r="AU56" s="1168">
        <f>'18 KMP- Tháng (Tâm)'!AQ37</f>
        <v>3880.7614749999993</v>
      </c>
      <c r="AV56" s="1168">
        <f>'18 KMP- Tháng (Tâm)'!BF37</f>
        <v>4106.8499999999995</v>
      </c>
      <c r="AW56" s="1168">
        <f>'18 KMP- Tháng (Tâm)'!BG37</f>
        <v>3166.7500000000005</v>
      </c>
      <c r="AX56" s="1168">
        <f>'18 KMP- Tháng (Tâm)'!BH37</f>
        <v>5734.1250000000009</v>
      </c>
      <c r="AY56" s="1168">
        <f>'18 KMP- Tháng (Tâm)'!BI37</f>
        <v>5105.2749999999996</v>
      </c>
      <c r="AZ56" s="1168">
        <f>'18 KMP- Tháng (Tâm)'!BJ37</f>
        <v>4987.1499999999996</v>
      </c>
      <c r="BH56" s="1168">
        <f t="shared" ref="BH56:BH59" si="81">AVERAGE(AV56:BG56)</f>
        <v>4620.0300000000007</v>
      </c>
      <c r="BI56" s="1168" cm="1">
        <f t="array" ref="BI56">INDEX(BL56:BW56,$BL$1)</f>
        <v>4652.4364391825347</v>
      </c>
      <c r="BL56" s="1504">
        <f>'18 KMP- Tháng (Tâm)'!AS37</f>
        <v>4307.222932676138</v>
      </c>
      <c r="BM56" s="1504">
        <f>'18 KMP- Tháng (Tâm)'!AT37</f>
        <v>4242.3145678240326</v>
      </c>
      <c r="BN56" s="1504">
        <f>'18 KMP- Tháng (Tâm)'!AU37</f>
        <v>4667.5574034757401</v>
      </c>
      <c r="BO56" s="1504">
        <f>'18 KMP- Tháng (Tâm)'!AV37</f>
        <v>4383.231518676721</v>
      </c>
      <c r="BP56" s="1504">
        <f>'18 KMP- Tháng (Tâm)'!AW37</f>
        <v>4652.4364391825347</v>
      </c>
      <c r="BQ56" s="1504">
        <f>'18 KMP- Tháng (Tâm)'!AX37</f>
        <v>4680.9521822275929</v>
      </c>
      <c r="BR56" s="1504">
        <f>'18 KMP- Tháng (Tâm)'!AY37</f>
        <v>4678.4225169732681</v>
      </c>
      <c r="BS56" s="1504">
        <f>'18 KMP- Tháng (Tâm)'!AZ37</f>
        <v>4551.8494989087394</v>
      </c>
      <c r="BT56" s="1504">
        <f>'18 KMP- Tháng (Tâm)'!BA37</f>
        <v>4763.6231018888839</v>
      </c>
      <c r="BU56" s="1504">
        <f>'18 KMP- Tháng (Tâm)'!BB37</f>
        <v>4457.6262974285746</v>
      </c>
      <c r="BV56" s="1504">
        <f>'18 KMP- Tháng (Tâm)'!BC37</f>
        <v>4709.2431243544625</v>
      </c>
      <c r="BW56" s="1504">
        <f>'18 KMP- Tháng (Tâm)'!BD37</f>
        <v>4773.5204185700304</v>
      </c>
      <c r="BX56" s="1504">
        <f t="shared" si="79"/>
        <v>54868.000002186724</v>
      </c>
    </row>
    <row r="57" spans="1:174" hidden="1">
      <c r="D57" s="1504">
        <f>5498.752515*10^6</f>
        <v>5498752515</v>
      </c>
      <c r="E57" s="1166">
        <v>627</v>
      </c>
      <c r="BH57" s="1168" t="e">
        <f t="shared" si="81"/>
        <v>#DIV/0!</v>
      </c>
      <c r="BX57" s="1504">
        <f t="shared" si="79"/>
        <v>0</v>
      </c>
    </row>
    <row r="58" spans="1:174" hidden="1">
      <c r="D58" s="1504">
        <f>2767.991924*10^6</f>
        <v>2767991924</v>
      </c>
      <c r="E58" s="1166">
        <v>632</v>
      </c>
      <c r="M58" s="1168" t="s">
        <v>455</v>
      </c>
      <c r="BH58" s="1168" t="e">
        <f t="shared" si="81"/>
        <v>#DIV/0!</v>
      </c>
      <c r="BX58" s="1504">
        <f t="shared" si="79"/>
        <v>0</v>
      </c>
    </row>
    <row r="59" spans="1:174" hidden="1">
      <c r="D59" s="1308">
        <f>+D57+D58</f>
        <v>8266744439</v>
      </c>
      <c r="E59" s="1309" t="s">
        <v>338</v>
      </c>
      <c r="BH59" s="1168" t="e">
        <f t="shared" si="81"/>
        <v>#DIV/0!</v>
      </c>
      <c r="BX59" s="1504">
        <f t="shared" si="79"/>
        <v>0</v>
      </c>
    </row>
    <row r="60" spans="1:174">
      <c r="F60" s="1213"/>
      <c r="G60" s="1213"/>
      <c r="H60" s="1213"/>
      <c r="I60" s="1213"/>
      <c r="J60" s="1213"/>
      <c r="K60" s="1213"/>
    </row>
    <row r="61" spans="1:174" ht="14.9" customHeight="1">
      <c r="A61" s="1214" t="s">
        <v>1065</v>
      </c>
      <c r="B61" s="1214"/>
      <c r="C61" s="1214"/>
      <c r="D61" s="1214"/>
      <c r="E61" s="1214"/>
      <c r="F61" s="1214"/>
      <c r="G61" s="1214"/>
      <c r="H61" s="1214"/>
      <c r="I61" s="1214"/>
      <c r="J61" s="1214"/>
      <c r="K61" s="1214"/>
      <c r="L61" s="1214"/>
      <c r="M61" s="1214"/>
      <c r="N61" s="1214"/>
      <c r="O61" s="1214"/>
      <c r="P61" s="1214"/>
      <c r="Q61" s="1214"/>
      <c r="R61" s="1214"/>
      <c r="S61" s="1214"/>
      <c r="T61" s="1214"/>
      <c r="U61" s="1214"/>
      <c r="V61" s="1214"/>
      <c r="W61" s="1214"/>
      <c r="X61" s="1214"/>
      <c r="Y61" s="1214"/>
      <c r="Z61" s="1214"/>
      <c r="AA61" s="1214"/>
      <c r="AB61" s="1214"/>
      <c r="AC61" s="1214"/>
      <c r="AD61" s="1214"/>
      <c r="AE61" s="1214"/>
      <c r="AF61" s="1214"/>
      <c r="AG61" s="1214"/>
      <c r="AH61" s="1214"/>
      <c r="AI61" s="1214"/>
      <c r="AJ61" s="1214"/>
      <c r="AK61" s="1214"/>
      <c r="AL61" s="1214"/>
      <c r="AM61" s="1214"/>
      <c r="AN61" s="1214"/>
      <c r="AO61" s="1214"/>
      <c r="AP61" s="1214"/>
      <c r="AQ61" s="1214"/>
      <c r="AR61" s="1214"/>
      <c r="AS61" s="1214"/>
      <c r="AT61" s="1214"/>
      <c r="AU61" s="1214"/>
      <c r="AV61" s="1214"/>
      <c r="AW61" s="1214"/>
      <c r="AX61" s="1214"/>
      <c r="AY61" s="1214"/>
      <c r="AZ61" s="1214"/>
      <c r="BA61" s="1214"/>
      <c r="BB61" s="1214"/>
      <c r="BC61" s="1214"/>
      <c r="BD61" s="1214"/>
      <c r="BE61" s="1214"/>
      <c r="BF61" s="1214"/>
      <c r="BG61" s="1214"/>
      <c r="BH61" s="1214"/>
      <c r="BI61" s="1214"/>
      <c r="BJ61" s="1214"/>
      <c r="BL61" s="1214"/>
      <c r="BM61" s="1214"/>
      <c r="BN61" s="1214"/>
      <c r="BO61" s="1214"/>
      <c r="BP61" s="1214"/>
      <c r="BQ61" s="1214"/>
      <c r="BR61" s="1214"/>
      <c r="BS61" s="1214"/>
      <c r="BT61" s="1214"/>
      <c r="BU61" s="1214"/>
      <c r="BV61" s="1214"/>
      <c r="BW61" s="1214"/>
      <c r="BX61" s="1214"/>
    </row>
    <row r="62" spans="1:174" s="1216" customFormat="1">
      <c r="A62" s="410" t="s">
        <v>0</v>
      </c>
      <c r="B62" s="410" t="s">
        <v>505</v>
      </c>
      <c r="C62" s="1170" t="s">
        <v>811</v>
      </c>
      <c r="D62" s="410" t="s">
        <v>534</v>
      </c>
      <c r="E62" s="410" t="s">
        <v>812</v>
      </c>
      <c r="F62" s="1215" t="s">
        <v>550</v>
      </c>
      <c r="G62" s="1215" t="s">
        <v>551</v>
      </c>
      <c r="H62" s="411" t="s">
        <v>552</v>
      </c>
      <c r="I62" s="411" t="s">
        <v>553</v>
      </c>
      <c r="J62" s="411" t="s">
        <v>554</v>
      </c>
      <c r="K62" s="411" t="s">
        <v>555</v>
      </c>
      <c r="L62" s="411" t="s">
        <v>556</v>
      </c>
      <c r="M62" s="411" t="s">
        <v>557</v>
      </c>
      <c r="N62" s="411" t="s">
        <v>558</v>
      </c>
      <c r="O62" s="411" t="s">
        <v>950</v>
      </c>
      <c r="P62" s="411" t="s">
        <v>951</v>
      </c>
      <c r="Q62" s="411" t="s">
        <v>952</v>
      </c>
      <c r="R62" s="795" t="s">
        <v>483</v>
      </c>
      <c r="S62" s="796" t="s">
        <v>813</v>
      </c>
      <c r="T62" s="796" t="s">
        <v>814</v>
      </c>
      <c r="U62" s="796" t="s">
        <v>815</v>
      </c>
      <c r="V62" s="796" t="s">
        <v>816</v>
      </c>
      <c r="W62" s="796" t="s">
        <v>817</v>
      </c>
      <c r="X62" s="796" t="s">
        <v>818</v>
      </c>
      <c r="Y62" s="796" t="s">
        <v>819</v>
      </c>
      <c r="Z62" s="796" t="s">
        <v>820</v>
      </c>
      <c r="AA62" s="796" t="s">
        <v>821</v>
      </c>
      <c r="AB62" s="796" t="s">
        <v>822</v>
      </c>
      <c r="AC62" s="796" t="s">
        <v>823</v>
      </c>
      <c r="AD62" s="796"/>
      <c r="AE62" s="796"/>
      <c r="AF62" s="412" t="str">
        <f>AF2</f>
        <v>Lũy kế TT 2024</v>
      </c>
      <c r="AG62" s="795" t="s">
        <v>482</v>
      </c>
      <c r="AH62" s="796" t="s">
        <v>721</v>
      </c>
      <c r="AI62" s="796" t="s">
        <v>722</v>
      </c>
      <c r="AJ62" s="796" t="s">
        <v>723</v>
      </c>
      <c r="AK62" s="796" t="s">
        <v>724</v>
      </c>
      <c r="AL62" s="796" t="s">
        <v>725</v>
      </c>
      <c r="AM62" s="796" t="s">
        <v>726</v>
      </c>
      <c r="AN62" s="796" t="s">
        <v>727</v>
      </c>
      <c r="AO62" s="796" t="s">
        <v>728</v>
      </c>
      <c r="AP62" s="796" t="s">
        <v>729</v>
      </c>
      <c r="AQ62" s="796" t="s">
        <v>730</v>
      </c>
      <c r="AR62" s="796" t="s">
        <v>731</v>
      </c>
      <c r="AS62" s="796" t="s">
        <v>732</v>
      </c>
      <c r="AT62" s="796"/>
      <c r="AU62" s="796" t="s">
        <v>741</v>
      </c>
      <c r="AV62" s="796" t="str">
        <f>AV2</f>
        <v>T1.26</v>
      </c>
      <c r="AW62" s="796" t="str">
        <f t="shared" ref="AW62:BG62" si="82">AW2</f>
        <v>T2.26</v>
      </c>
      <c r="AX62" s="796" t="str">
        <f t="shared" si="82"/>
        <v>T3.26</v>
      </c>
      <c r="AY62" s="796" t="str">
        <f t="shared" si="82"/>
        <v>T4.26</v>
      </c>
      <c r="AZ62" s="796" t="str">
        <f t="shared" si="82"/>
        <v>T5.26</v>
      </c>
      <c r="BA62" s="796" t="str">
        <f t="shared" si="82"/>
        <v>T6.26</v>
      </c>
      <c r="BB62" s="796" t="str">
        <f t="shared" si="82"/>
        <v>T7.26</v>
      </c>
      <c r="BC62" s="796" t="str">
        <f t="shared" si="82"/>
        <v>T8.26</v>
      </c>
      <c r="BD62" s="796" t="str">
        <f t="shared" si="82"/>
        <v>T9.26</v>
      </c>
      <c r="BE62" s="796" t="str">
        <f t="shared" si="82"/>
        <v>T10.26</v>
      </c>
      <c r="BF62" s="796" t="str">
        <f t="shared" si="82"/>
        <v>T11.26</v>
      </c>
      <c r="BG62" s="796" t="str">
        <f t="shared" si="82"/>
        <v>T12.26</v>
      </c>
      <c r="BH62" s="796" t="s">
        <v>1030</v>
      </c>
      <c r="BI62" s="412" t="str">
        <f>BI2</f>
        <v>KH T5.2026</v>
      </c>
      <c r="BJ62" s="411"/>
      <c r="BK62" s="1505"/>
      <c r="BL62" s="796" t="str">
        <f>BL2</f>
        <v>NS1.2026</v>
      </c>
      <c r="BM62" s="796" t="str">
        <f t="shared" ref="BM62:BW62" si="83">BM2</f>
        <v>NS2.2026</v>
      </c>
      <c r="BN62" s="796" t="str">
        <f t="shared" si="83"/>
        <v>NS3.2026</v>
      </c>
      <c r="BO62" s="796" t="str">
        <f t="shared" si="83"/>
        <v>NS4.2026</v>
      </c>
      <c r="BP62" s="796" t="str">
        <f t="shared" si="83"/>
        <v>NS5.2026</v>
      </c>
      <c r="BQ62" s="796" t="str">
        <f t="shared" si="83"/>
        <v>NS6.2026</v>
      </c>
      <c r="BR62" s="796" t="str">
        <f t="shared" si="83"/>
        <v>NS7.2026</v>
      </c>
      <c r="BS62" s="796" t="str">
        <f t="shared" si="83"/>
        <v>NS8.2026</v>
      </c>
      <c r="BT62" s="796" t="str">
        <f t="shared" si="83"/>
        <v>NS9.2026</v>
      </c>
      <c r="BU62" s="796" t="str">
        <f t="shared" si="83"/>
        <v>NS10.2026</v>
      </c>
      <c r="BV62" s="796" t="str">
        <f t="shared" si="83"/>
        <v>NS11.2026</v>
      </c>
      <c r="BW62" s="796" t="str">
        <f t="shared" si="83"/>
        <v>NS12.2026</v>
      </c>
      <c r="BX62" s="796" t="s">
        <v>1030</v>
      </c>
    </row>
    <row r="63" spans="1:174" s="1171" customFormat="1">
      <c r="A63" s="416" t="s">
        <v>520</v>
      </c>
      <c r="B63" s="417" t="s">
        <v>521</v>
      </c>
      <c r="C63" s="417"/>
      <c r="D63" s="417"/>
      <c r="E63" s="417"/>
      <c r="F63" s="417"/>
      <c r="G63" s="417"/>
      <c r="H63" s="417"/>
      <c r="I63" s="417"/>
      <c r="J63" s="417"/>
      <c r="K63" s="417"/>
      <c r="L63" s="417"/>
      <c r="M63" s="417"/>
      <c r="N63" s="417"/>
      <c r="O63" s="417"/>
      <c r="P63" s="417"/>
      <c r="Q63" s="417"/>
      <c r="R63" s="417"/>
      <c r="S63" s="417"/>
      <c r="T63" s="417"/>
      <c r="U63" s="417"/>
      <c r="V63" s="417"/>
      <c r="W63" s="417"/>
      <c r="X63" s="417"/>
      <c r="Y63" s="417"/>
      <c r="Z63" s="417"/>
      <c r="AA63" s="417"/>
      <c r="AB63" s="417"/>
      <c r="AC63" s="417"/>
      <c r="AD63" s="417"/>
      <c r="AE63" s="417"/>
      <c r="AF63" s="417"/>
      <c r="AG63" s="417"/>
      <c r="AH63" s="417"/>
      <c r="AI63" s="417"/>
      <c r="AJ63" s="417"/>
      <c r="AK63" s="417"/>
      <c r="AL63" s="417"/>
      <c r="AM63" s="417"/>
      <c r="AN63" s="417"/>
      <c r="AO63" s="417"/>
      <c r="AP63" s="417"/>
      <c r="AQ63" s="417"/>
      <c r="AR63" s="417"/>
      <c r="AS63" s="417"/>
      <c r="AT63" s="417"/>
      <c r="AU63" s="417"/>
      <c r="AV63" s="417"/>
      <c r="AW63" s="417"/>
      <c r="AX63" s="417"/>
      <c r="AY63" s="417"/>
      <c r="AZ63" s="417"/>
      <c r="BA63" s="417"/>
      <c r="BB63" s="417"/>
      <c r="BC63" s="417"/>
      <c r="BD63" s="417"/>
      <c r="BE63" s="417"/>
      <c r="BF63" s="417"/>
      <c r="BG63" s="417"/>
      <c r="BH63" s="417"/>
      <c r="BI63" s="417"/>
      <c r="BJ63" s="417"/>
      <c r="BK63" s="1502"/>
      <c r="BL63" s="417"/>
      <c r="BM63" s="417"/>
      <c r="BN63" s="417"/>
      <c r="BO63" s="417"/>
      <c r="BP63" s="417"/>
      <c r="BQ63" s="417"/>
      <c r="BR63" s="417"/>
      <c r="BS63" s="417"/>
      <c r="BT63" s="417"/>
      <c r="BU63" s="417"/>
      <c r="BV63" s="417"/>
      <c r="BW63" s="417"/>
      <c r="BX63" s="417"/>
      <c r="BY63" s="1498"/>
    </row>
    <row r="64" spans="1:174" s="445" customFormat="1">
      <c r="A64" s="422">
        <v>1</v>
      </c>
      <c r="B64" s="422" t="s">
        <v>425</v>
      </c>
      <c r="C64" s="422" t="s">
        <v>427</v>
      </c>
      <c r="D64" s="1175" t="s">
        <v>427</v>
      </c>
      <c r="E64" s="422" t="s">
        <v>1252</v>
      </c>
      <c r="F64" s="442">
        <f t="shared" ref="F64:F69" si="84">F4/$F$50</f>
        <v>0.55278401877034467</v>
      </c>
      <c r="G64" s="442">
        <f t="shared" ref="G64:G69" si="85">G4/$G$50</f>
        <v>0.62807295119249074</v>
      </c>
      <c r="H64" s="442">
        <f t="shared" ref="H64:H69" si="86">H4/$H$50</f>
        <v>0.64709563934353198</v>
      </c>
      <c r="I64" s="442">
        <f t="shared" ref="I64:I69" si="87">I4/$I$50</f>
        <v>0.63935691241446424</v>
      </c>
      <c r="J64" s="442">
        <f t="shared" ref="J64:J69" si="88">J4/$J$50</f>
        <v>0.66119492369243738</v>
      </c>
      <c r="K64" s="442">
        <f t="shared" ref="K64:K69" si="89">K4/$K$50</f>
        <v>0.62898019650999815</v>
      </c>
      <c r="L64" s="442">
        <f t="shared" ref="L64:L69" si="90">L4/$L$50</f>
        <v>0.66083035450122918</v>
      </c>
      <c r="M64" s="442">
        <f t="shared" ref="M64:M69" si="91">M4/$M$50</f>
        <v>0.65446380819500327</v>
      </c>
      <c r="N64" s="442">
        <f t="shared" ref="N64:N69" si="92">N4/$N$50</f>
        <v>0.65831216011408578</v>
      </c>
      <c r="O64" s="442">
        <f t="shared" ref="O64:O69" si="93">O4/$O$50</f>
        <v>0.66024575552484543</v>
      </c>
      <c r="P64" s="442">
        <f t="shared" ref="P64:P69" si="94">P4/$P$50</f>
        <v>0.60251016075406494</v>
      </c>
      <c r="Q64" s="442">
        <f t="shared" ref="Q64:Q69" si="95">Q4/$Q$50</f>
        <v>0.72711099869481288</v>
      </c>
      <c r="R64" s="1508">
        <f>R4/R$55</f>
        <v>19.326224119829444</v>
      </c>
      <c r="S64" s="442">
        <f t="shared" ref="S64:AC69" si="96">S4/S$50</f>
        <v>0.71499749158109016</v>
      </c>
      <c r="T64" s="442">
        <f t="shared" si="96"/>
        <v>0.66432216624216189</v>
      </c>
      <c r="U64" s="442">
        <f t="shared" si="96"/>
        <v>0.71928428838968517</v>
      </c>
      <c r="V64" s="442">
        <f t="shared" si="96"/>
        <v>0.69766810210415797</v>
      </c>
      <c r="W64" s="442">
        <f t="shared" si="96"/>
        <v>0.70881392091808593</v>
      </c>
      <c r="X64" s="442">
        <f t="shared" si="96"/>
        <v>0.65058122578132249</v>
      </c>
      <c r="Y64" s="442">
        <f t="shared" si="96"/>
        <v>0.52598839384360074</v>
      </c>
      <c r="Z64" s="442">
        <f t="shared" si="96"/>
        <v>0.51255911999542347</v>
      </c>
      <c r="AA64" s="442">
        <f t="shared" si="96"/>
        <v>0.56717867885778417</v>
      </c>
      <c r="AB64" s="442">
        <f t="shared" si="96"/>
        <v>0.67084776223213538</v>
      </c>
      <c r="AC64" s="442">
        <f t="shared" si="96"/>
        <v>0.69651190759783965</v>
      </c>
      <c r="AD64" s="442"/>
      <c r="AE64" s="442"/>
      <c r="AF64" s="442">
        <f t="shared" ref="AF64:AF69" si="97">AF4/AF$50</f>
        <v>0.65441580839738334</v>
      </c>
      <c r="AG64" s="1508">
        <f>AG4/AG$55</f>
        <v>18.507378036232243</v>
      </c>
      <c r="AH64" s="1508">
        <f t="shared" ref="AH64:AQ79" si="98">AH4/AH$50</f>
        <v>0.48118976576067057</v>
      </c>
      <c r="AI64" s="1508">
        <f t="shared" si="98"/>
        <v>0.58120682834035109</v>
      </c>
      <c r="AJ64" s="1508">
        <f t="shared" si="98"/>
        <v>0.69017273205623864</v>
      </c>
      <c r="AK64" s="1508">
        <f t="shared" si="98"/>
        <v>0.66306712029691051</v>
      </c>
      <c r="AL64" s="1508">
        <f t="shared" si="98"/>
        <v>0.68615867572798905</v>
      </c>
      <c r="AM64" s="1508">
        <f t="shared" si="98"/>
        <v>0.66290393605392861</v>
      </c>
      <c r="AN64" s="1508">
        <f t="shared" si="98"/>
        <v>0.67220872175226987</v>
      </c>
      <c r="AO64" s="1508">
        <f t="shared" si="98"/>
        <v>0.66692347464774937</v>
      </c>
      <c r="AP64" s="1508">
        <f>AP4/AP$50</f>
        <v>0.6617375399602583</v>
      </c>
      <c r="AQ64" s="1508">
        <f t="shared" ref="AQ64:AS79" si="99">AQ4/AQ$50</f>
        <v>0.57596167538544873</v>
      </c>
      <c r="AR64" s="1508">
        <f t="shared" si="99"/>
        <v>0.50167918512329079</v>
      </c>
      <c r="AS64" s="1508">
        <f t="shared" si="99"/>
        <v>0.5932965348580298</v>
      </c>
      <c r="AT64" s="1508"/>
      <c r="AU64" s="1508">
        <f t="shared" ref="AU64:BI65" si="100">AU4/AU$55</f>
        <v>19.649038096535882</v>
      </c>
      <c r="AV64" s="1508">
        <f t="shared" si="100"/>
        <v>18.923355557251615</v>
      </c>
      <c r="AW64" s="1508">
        <f t="shared" si="100"/>
        <v>18.104205808086963</v>
      </c>
      <c r="AX64" s="1508">
        <f t="shared" si="100"/>
        <v>18.460638735672415</v>
      </c>
      <c r="AY64" s="1508">
        <f t="shared" si="100"/>
        <v>17.780534371153539</v>
      </c>
      <c r="AZ64" s="1508">
        <f t="shared" si="100"/>
        <v>18.757434115061756</v>
      </c>
      <c r="BA64" s="1508" t="e">
        <f t="shared" si="100"/>
        <v>#DIV/0!</v>
      </c>
      <c r="BB64" s="1508" t="e">
        <f t="shared" si="100"/>
        <v>#DIV/0!</v>
      </c>
      <c r="BC64" s="1508" t="e">
        <f t="shared" si="100"/>
        <v>#DIV/0!</v>
      </c>
      <c r="BD64" s="1508" t="e">
        <f t="shared" si="100"/>
        <v>#DIV/0!</v>
      </c>
      <c r="BE64" s="1508" t="e">
        <f t="shared" si="100"/>
        <v>#DIV/0!</v>
      </c>
      <c r="BF64" s="1508" t="e">
        <f t="shared" si="100"/>
        <v>#DIV/0!</v>
      </c>
      <c r="BG64" s="1508" t="e">
        <f t="shared" si="100"/>
        <v>#DIV/0!</v>
      </c>
      <c r="BH64" s="1508">
        <f t="shared" si="100"/>
        <v>18.388297990062355</v>
      </c>
      <c r="BI64" s="1508">
        <f t="shared" si="100"/>
        <v>17.818768695321094</v>
      </c>
      <c r="BJ64" s="1205"/>
      <c r="BK64" s="1506"/>
      <c r="BL64" s="1508">
        <f>BL4/BL$55</f>
        <v>17.812843069157459</v>
      </c>
      <c r="BM64" s="1508">
        <f>BM4/BM$55</f>
        <v>17.824923409943459</v>
      </c>
      <c r="BN64" s="1508">
        <f t="shared" ref="BN64:BX64" si="101">BN4/BN$55</f>
        <v>17.818768695321094</v>
      </c>
      <c r="BO64" s="1508">
        <f t="shared" si="101"/>
        <v>17.816697779741421</v>
      </c>
      <c r="BP64" s="1508">
        <f t="shared" si="101"/>
        <v>17.818768695321094</v>
      </c>
      <c r="BQ64" s="1508">
        <f t="shared" si="101"/>
        <v>17.816918280639356</v>
      </c>
      <c r="BR64" s="1508">
        <f t="shared" si="101"/>
        <v>17.823654708306016</v>
      </c>
      <c r="BS64" s="1508">
        <f t="shared" si="101"/>
        <v>17.83067947934212</v>
      </c>
      <c r="BT64" s="1508">
        <f t="shared" si="101"/>
        <v>17.818687134044602</v>
      </c>
      <c r="BU64" s="1508">
        <f t="shared" si="101"/>
        <v>17.828687752841265</v>
      </c>
      <c r="BV64" s="1508">
        <f t="shared" si="101"/>
        <v>17.825657836630874</v>
      </c>
      <c r="BW64" s="1508">
        <f t="shared" si="101"/>
        <v>17.83067947934212</v>
      </c>
      <c r="BX64" s="1508">
        <f t="shared" si="101"/>
        <v>17.822332942135915</v>
      </c>
    </row>
    <row r="65" spans="1:76">
      <c r="A65" s="422">
        <f t="shared" ref="A65:A81" si="102">A64+1</f>
        <v>2</v>
      </c>
      <c r="B65" s="422" t="s">
        <v>425</v>
      </c>
      <c r="C65" s="422" t="s">
        <v>428</v>
      </c>
      <c r="D65" s="1175" t="s">
        <v>428</v>
      </c>
      <c r="E65" s="422" t="s">
        <v>1252</v>
      </c>
      <c r="F65" s="442">
        <f t="shared" si="84"/>
        <v>3.9675182027594263E-2</v>
      </c>
      <c r="G65" s="442">
        <f t="shared" si="85"/>
        <v>4.7370587177431922E-2</v>
      </c>
      <c r="H65" s="442">
        <f t="shared" si="86"/>
        <v>4.5148195619457779E-2</v>
      </c>
      <c r="I65" s="442">
        <f t="shared" si="87"/>
        <v>4.8534157523669332E-2</v>
      </c>
      <c r="J65" s="442">
        <f t="shared" si="88"/>
        <v>4.663502512061013E-2</v>
      </c>
      <c r="K65" s="442">
        <f t="shared" si="89"/>
        <v>5.0585267944024681E-2</v>
      </c>
      <c r="L65" s="442">
        <f t="shared" si="90"/>
        <v>5.1710129504146149E-2</v>
      </c>
      <c r="M65" s="442">
        <f t="shared" si="91"/>
        <v>4.6739741887575098E-2</v>
      </c>
      <c r="N65" s="442">
        <f t="shared" si="92"/>
        <v>5.2088753493750618E-2</v>
      </c>
      <c r="O65" s="442">
        <f t="shared" si="93"/>
        <v>5.2330589384347238E-2</v>
      </c>
      <c r="P65" s="442">
        <f t="shared" si="94"/>
        <v>5.4092604367294531E-2</v>
      </c>
      <c r="Q65" s="442">
        <f t="shared" si="95"/>
        <v>5.2919642165185694E-2</v>
      </c>
      <c r="R65" s="1508">
        <f>R5/R$55</f>
        <v>1.4667121529041156</v>
      </c>
      <c r="S65" s="442">
        <f t="shared" si="96"/>
        <v>4.7895339438216271E-2</v>
      </c>
      <c r="T65" s="442">
        <f t="shared" si="96"/>
        <v>5.0424277541827003E-2</v>
      </c>
      <c r="U65" s="442">
        <f t="shared" si="96"/>
        <v>3.9917202866029476E-2</v>
      </c>
      <c r="V65" s="442">
        <f t="shared" si="96"/>
        <v>4.5606093557659752E-2</v>
      </c>
      <c r="W65" s="442">
        <f t="shared" si="96"/>
        <v>4.9614242719094898E-2</v>
      </c>
      <c r="X65" s="442">
        <f t="shared" si="96"/>
        <v>4.9673725714056649E-2</v>
      </c>
      <c r="Y65" s="442">
        <f t="shared" si="96"/>
        <v>4.7204195382971229E-2</v>
      </c>
      <c r="Z65" s="442">
        <f t="shared" si="96"/>
        <v>4.5631124615496371E-2</v>
      </c>
      <c r="AA65" s="442">
        <f t="shared" si="96"/>
        <v>4.9795315560736082E-2</v>
      </c>
      <c r="AB65" s="442">
        <f t="shared" si="96"/>
        <v>4.6583127605040908E-2</v>
      </c>
      <c r="AC65" s="442">
        <f t="shared" si="96"/>
        <v>5.1238058995648005E-2</v>
      </c>
      <c r="AD65" s="442"/>
      <c r="AE65" s="442"/>
      <c r="AF65" s="442">
        <f t="shared" si="97"/>
        <v>4.743153541365764E-2</v>
      </c>
      <c r="AG65" s="1508">
        <f>AG5/AG$55</f>
        <v>1.3413999867901256</v>
      </c>
      <c r="AH65" s="1508">
        <f t="shared" si="98"/>
        <v>4.5997575642509149E-2</v>
      </c>
      <c r="AI65" s="1508">
        <f t="shared" si="98"/>
        <v>4.4437627720977597E-2</v>
      </c>
      <c r="AJ65" s="1508">
        <f t="shared" si="98"/>
        <v>4.8437853170687592E-2</v>
      </c>
      <c r="AK65" s="1508">
        <f t="shared" si="98"/>
        <v>5.022048249122673E-2</v>
      </c>
      <c r="AL65" s="1508">
        <f t="shared" si="98"/>
        <v>4.6773133258306759E-2</v>
      </c>
      <c r="AM65" s="1508">
        <f t="shared" si="98"/>
        <v>5.0274681613708266E-2</v>
      </c>
      <c r="AN65" s="1508">
        <f t="shared" si="98"/>
        <v>5.122834638609252E-2</v>
      </c>
      <c r="AO65" s="1508">
        <f t="shared" si="98"/>
        <v>5.1896854001324003E-2</v>
      </c>
      <c r="AP65" s="1508">
        <f>AP5/AP$50</f>
        <v>5.0814969540148615E-2</v>
      </c>
      <c r="AQ65" s="1508">
        <f>AQ5/AQ$50</f>
        <v>5.9555908504422085E-2</v>
      </c>
      <c r="AR65" s="1508">
        <f t="shared" si="99"/>
        <v>5.2262529284298802E-2</v>
      </c>
      <c r="AS65" s="1508">
        <f t="shared" si="99"/>
        <v>4.4107072209431289E-2</v>
      </c>
      <c r="AT65" s="1508"/>
      <c r="AU65" s="1508">
        <f t="shared" si="100"/>
        <v>1.5446285178469712</v>
      </c>
      <c r="AV65" s="1508">
        <f t="shared" si="100"/>
        <v>1.4296972387889886</v>
      </c>
      <c r="AW65" s="1508">
        <f t="shared" si="100"/>
        <v>1.3841663171553198</v>
      </c>
      <c r="AX65" s="1508">
        <f t="shared" si="100"/>
        <v>1.3377107135922071</v>
      </c>
      <c r="AY65" s="1508">
        <f t="shared" si="100"/>
        <v>1.3171969173912532</v>
      </c>
      <c r="AZ65" s="1508">
        <f t="shared" si="100"/>
        <v>1.6388900857353923</v>
      </c>
      <c r="BA65" s="1508" t="e">
        <f t="shared" si="100"/>
        <v>#DIV/0!</v>
      </c>
      <c r="BB65" s="1508" t="e">
        <f t="shared" si="100"/>
        <v>#DIV/0!</v>
      </c>
      <c r="BC65" s="1508" t="e">
        <f t="shared" si="100"/>
        <v>#DIV/0!</v>
      </c>
      <c r="BD65" s="1508" t="e">
        <f t="shared" si="100"/>
        <v>#DIV/0!</v>
      </c>
      <c r="BE65" s="1508" t="e">
        <f t="shared" si="100"/>
        <v>#DIV/0!</v>
      </c>
      <c r="BF65" s="1508" t="e">
        <f t="shared" si="100"/>
        <v>#DIV/0!</v>
      </c>
      <c r="BG65" s="1508" t="e">
        <f t="shared" si="100"/>
        <v>#DIV/0!</v>
      </c>
      <c r="BH65" s="1508">
        <f t="shared" si="100"/>
        <v>1.4169203858263513</v>
      </c>
      <c r="BI65" s="1508">
        <f t="shared" si="100"/>
        <v>1.1702205199797147</v>
      </c>
      <c r="BJ65" s="1188"/>
      <c r="BL65" s="1508">
        <f>BL5/BL$55</f>
        <v>1.1876964859025252</v>
      </c>
      <c r="BM65" s="1508">
        <f t="shared" ref="BM65:BX65" si="103">BM5/BM$55</f>
        <v>1.1999991367516889</v>
      </c>
      <c r="BN65" s="1508">
        <f t="shared" si="103"/>
        <v>1.1682459895644122</v>
      </c>
      <c r="BO65" s="1508">
        <f t="shared" si="103"/>
        <v>1.1759953522824378</v>
      </c>
      <c r="BP65" s="1508">
        <f t="shared" si="103"/>
        <v>1.1702205199797147</v>
      </c>
      <c r="BQ65" s="1508">
        <f t="shared" si="103"/>
        <v>1.1857427751143095</v>
      </c>
      <c r="BR65" s="1508">
        <f t="shared" si="103"/>
        <v>1.2369834741891641</v>
      </c>
      <c r="BS65" s="1508">
        <f t="shared" si="103"/>
        <v>1.2409797872400641</v>
      </c>
      <c r="BT65" s="1508">
        <f t="shared" si="103"/>
        <v>1.2472029766253954</v>
      </c>
      <c r="BU65" s="1508">
        <f t="shared" si="103"/>
        <v>1.2743256393367179</v>
      </c>
      <c r="BV65" s="1508">
        <f t="shared" si="103"/>
        <v>1.2794990591870163</v>
      </c>
      <c r="BW65" s="1508">
        <f t="shared" si="103"/>
        <v>1.2727500051017904</v>
      </c>
      <c r="BX65" s="1508">
        <f t="shared" si="103"/>
        <v>1.2213584388998098</v>
      </c>
    </row>
    <row r="66" spans="1:76">
      <c r="A66" s="422">
        <f t="shared" si="102"/>
        <v>3</v>
      </c>
      <c r="B66" s="422" t="s">
        <v>425</v>
      </c>
      <c r="C66" s="422" t="s">
        <v>429</v>
      </c>
      <c r="D66" s="1175" t="s">
        <v>828</v>
      </c>
      <c r="E66" s="422" t="s">
        <v>1252</v>
      </c>
      <c r="F66" s="442">
        <f t="shared" si="84"/>
        <v>7.6311439936039846E-3</v>
      </c>
      <c r="G66" s="442">
        <f t="shared" si="85"/>
        <v>1.0964579586751635E-2</v>
      </c>
      <c r="H66" s="442">
        <f t="shared" si="86"/>
        <v>1.8160938888531465E-2</v>
      </c>
      <c r="I66" s="442">
        <f t="shared" si="87"/>
        <v>5.4669808384390376E-3</v>
      </c>
      <c r="J66" s="442">
        <f t="shared" si="88"/>
        <v>1.9636515105593905E-2</v>
      </c>
      <c r="K66" s="442">
        <f t="shared" si="89"/>
        <v>8.2069001987398905E-3</v>
      </c>
      <c r="L66" s="442">
        <f t="shared" si="90"/>
        <v>9.8333095270578836E-3</v>
      </c>
      <c r="M66" s="442">
        <f t="shared" si="91"/>
        <v>2.0569014993427219E-2</v>
      </c>
      <c r="N66" s="442">
        <f t="shared" si="92"/>
        <v>1.3265637166490783E-2</v>
      </c>
      <c r="O66" s="442">
        <f t="shared" si="93"/>
        <v>2.0354866870811443E-2</v>
      </c>
      <c r="P66" s="442">
        <f t="shared" si="94"/>
        <v>1.8128676989272723E-2</v>
      </c>
      <c r="Q66" s="442">
        <f t="shared" si="95"/>
        <v>2.3707699006390057E-2</v>
      </c>
      <c r="R66" s="1508">
        <f>R6/R$56</f>
        <v>0.50154432748403688</v>
      </c>
      <c r="S66" s="442">
        <f t="shared" si="96"/>
        <v>1.6181861563809071E-2</v>
      </c>
      <c r="T66" s="442">
        <f t="shared" si="96"/>
        <v>5.3673954017663872E-3</v>
      </c>
      <c r="U66" s="442">
        <f t="shared" si="96"/>
        <v>2.0831783108924196E-2</v>
      </c>
      <c r="V66" s="442">
        <f t="shared" si="96"/>
        <v>2.4962128434352273E-2</v>
      </c>
      <c r="W66" s="442">
        <f t="shared" si="96"/>
        <v>2.3061858577297866E-3</v>
      </c>
      <c r="X66" s="442">
        <f t="shared" si="96"/>
        <v>3.2825251012367353E-3</v>
      </c>
      <c r="Y66" s="442">
        <f t="shared" si="96"/>
        <v>9.6494208346229425E-3</v>
      </c>
      <c r="Z66" s="442">
        <f t="shared" si="96"/>
        <v>6.7149969541494173E-2</v>
      </c>
      <c r="AA66" s="442">
        <f t="shared" si="96"/>
        <v>5.3535163369477133E-2</v>
      </c>
      <c r="AB66" s="442">
        <f t="shared" si="96"/>
        <v>1.9364580576103775E-2</v>
      </c>
      <c r="AC66" s="442">
        <f t="shared" si="96"/>
        <v>3.2184898216211324E-3</v>
      </c>
      <c r="AD66" s="442"/>
      <c r="AE66" s="442"/>
      <c r="AF66" s="442">
        <f t="shared" si="97"/>
        <v>1.8785841494649968E-2</v>
      </c>
      <c r="AG66" s="1508">
        <f>AG6/AG$56</f>
        <v>0.67235115546290569</v>
      </c>
      <c r="AH66" s="1508">
        <f t="shared" si="98"/>
        <v>2.0605752985765783E-2</v>
      </c>
      <c r="AI66" s="1508">
        <f t="shared" si="98"/>
        <v>3.7787198916565144E-2</v>
      </c>
      <c r="AJ66" s="1508">
        <f t="shared" si="98"/>
        <v>1.4541558030739084E-2</v>
      </c>
      <c r="AK66" s="1508">
        <f t="shared" si="98"/>
        <v>1.2192099028913338E-2</v>
      </c>
      <c r="AL66" s="1508">
        <f t="shared" si="98"/>
        <v>1.7375266308919137E-2</v>
      </c>
      <c r="AM66" s="1508">
        <f t="shared" si="98"/>
        <v>9.2799010264642059E-3</v>
      </c>
      <c r="AN66" s="1508">
        <f t="shared" si="98"/>
        <v>9.4148208240576667E-3</v>
      </c>
      <c r="AO66" s="1508">
        <f t="shared" si="98"/>
        <v>1.1706567322347561E-2</v>
      </c>
      <c r="AP66" s="1508">
        <f>AP6/AP$50</f>
        <v>3.137037497439914E-3</v>
      </c>
      <c r="AQ66" s="1508">
        <f>AQ6/AQ$50</f>
        <v>4.6798799213507011E-3</v>
      </c>
      <c r="AR66" s="1508">
        <f t="shared" si="99"/>
        <v>7.8428899389924641E-3</v>
      </c>
      <c r="AS66" s="1508">
        <f t="shared" si="99"/>
        <v>8.2391421794893588E-3</v>
      </c>
      <c r="AT66" s="1508"/>
      <c r="AU66" s="1508">
        <f>AU6/AU$56</f>
        <v>0.37298037388826299</v>
      </c>
      <c r="AV66" s="1508">
        <f>AV6/AV$56</f>
        <v>0.26606406102000318</v>
      </c>
      <c r="AW66" s="1508">
        <f t="shared" ref="AW66:BH66" si="104">AW6/AW$56</f>
        <v>0.37673540380516296</v>
      </c>
      <c r="AX66" s="1508">
        <f t="shared" si="104"/>
        <v>0.31488713709589511</v>
      </c>
      <c r="AY66" s="1508">
        <f t="shared" si="104"/>
        <v>0.24237235917751737</v>
      </c>
      <c r="AZ66" s="1508">
        <f t="shared" si="104"/>
        <v>0.33043559507935399</v>
      </c>
      <c r="BA66" s="1508" t="e">
        <f t="shared" si="104"/>
        <v>#DIV/0!</v>
      </c>
      <c r="BB66" s="1508" t="e">
        <f t="shared" si="104"/>
        <v>#DIV/0!</v>
      </c>
      <c r="BC66" s="1508" t="e">
        <f t="shared" si="104"/>
        <v>#DIV/0!</v>
      </c>
      <c r="BD66" s="1508" t="e">
        <f t="shared" si="104"/>
        <v>#DIV/0!</v>
      </c>
      <c r="BE66" s="1508" t="e">
        <f t="shared" si="104"/>
        <v>#DIV/0!</v>
      </c>
      <c r="BF66" s="1508" t="e">
        <f t="shared" si="104"/>
        <v>#DIV/0!</v>
      </c>
      <c r="BG66" s="1508" t="e">
        <f t="shared" si="104"/>
        <v>#DIV/0!</v>
      </c>
      <c r="BH66" s="1508">
        <f t="shared" si="104"/>
        <v>0.30201637902784179</v>
      </c>
      <c r="BI66" s="1508">
        <f>BI6/BI$56</f>
        <v>0.53661970959623873</v>
      </c>
      <c r="BJ66" s="1188"/>
      <c r="BL66" s="1508">
        <f>BL6/BL$56</f>
        <v>0.50542986163859671</v>
      </c>
      <c r="BM66" s="1508">
        <f t="shared" ref="BM66:BX66" si="105">BM6/BM$56</f>
        <v>0.5710064758709259</v>
      </c>
      <c r="BN66" s="1508">
        <f t="shared" si="105"/>
        <v>0.62969532816467</v>
      </c>
      <c r="BO66" s="1508">
        <f t="shared" si="105"/>
        <v>0.46837112805049297</v>
      </c>
      <c r="BP66" s="1508">
        <f t="shared" si="105"/>
        <v>0.53661970959623873</v>
      </c>
      <c r="BQ66" s="1508">
        <f t="shared" si="105"/>
        <v>0.6294785710686045</v>
      </c>
      <c r="BR66" s="1508">
        <f t="shared" si="105"/>
        <v>0.54651146538784379</v>
      </c>
      <c r="BS66" s="1508">
        <f t="shared" si="105"/>
        <v>0.51584406426826412</v>
      </c>
      <c r="BT66" s="1508">
        <f t="shared" si="105"/>
        <v>0.67726906105885309</v>
      </c>
      <c r="BU66" s="1508">
        <f t="shared" si="105"/>
        <v>0.54172880011219438</v>
      </c>
      <c r="BV66" s="1508">
        <f t="shared" si="105"/>
        <v>0.5792978772631332</v>
      </c>
      <c r="BW66" s="1508">
        <f t="shared" si="105"/>
        <v>0.60114219566157434</v>
      </c>
      <c r="BX66" s="1508">
        <f t="shared" si="105"/>
        <v>0.56824030066594799</v>
      </c>
    </row>
    <row r="67" spans="1:76">
      <c r="A67" s="422">
        <f t="shared" si="102"/>
        <v>4</v>
      </c>
      <c r="B67" s="422" t="s">
        <v>425</v>
      </c>
      <c r="C67" s="422" t="s">
        <v>431</v>
      </c>
      <c r="D67" s="1175" t="s">
        <v>431</v>
      </c>
      <c r="E67" s="422" t="s">
        <v>1252</v>
      </c>
      <c r="F67" s="442">
        <f t="shared" si="84"/>
        <v>1.9451979478039615E-3</v>
      </c>
      <c r="G67" s="442">
        <f t="shared" si="85"/>
        <v>3.1298914048005127E-3</v>
      </c>
      <c r="H67" s="442">
        <f t="shared" si="86"/>
        <v>8.9875920308691484E-3</v>
      </c>
      <c r="I67" s="442">
        <f t="shared" si="87"/>
        <v>1.3597847144899058E-2</v>
      </c>
      <c r="J67" s="442">
        <f t="shared" si="88"/>
        <v>1.6497893026246404E-2</v>
      </c>
      <c r="K67" s="442">
        <f t="shared" si="89"/>
        <v>8.7034232094981342E-3</v>
      </c>
      <c r="L67" s="442">
        <f t="shared" si="90"/>
        <v>1.7394911863596939E-2</v>
      </c>
      <c r="M67" s="442">
        <f t="shared" si="91"/>
        <v>1.8508943656346689E-2</v>
      </c>
      <c r="N67" s="442">
        <f t="shared" si="92"/>
        <v>2.0591234618415565E-2</v>
      </c>
      <c r="O67" s="442">
        <f t="shared" si="93"/>
        <v>2.7900053758490945E-2</v>
      </c>
      <c r="P67" s="442">
        <f t="shared" si="94"/>
        <v>2.9877107827381091E-2</v>
      </c>
      <c r="Q67" s="442">
        <f t="shared" si="95"/>
        <v>2.0699982879693268E-2</v>
      </c>
      <c r="R67" s="1508">
        <f>R7/R$55</f>
        <v>0.49458949717465928</v>
      </c>
      <c r="S67" s="442">
        <f t="shared" si="96"/>
        <v>1.5010340954928196E-2</v>
      </c>
      <c r="T67" s="442">
        <f t="shared" si="96"/>
        <v>1.843614313905844E-2</v>
      </c>
      <c r="U67" s="442">
        <f t="shared" si="96"/>
        <v>1.3787426585225542E-2</v>
      </c>
      <c r="V67" s="442">
        <f t="shared" si="96"/>
        <v>8.6039428924423907E-3</v>
      </c>
      <c r="W67" s="442">
        <f t="shared" si="96"/>
        <v>8.0102520984184182E-3</v>
      </c>
      <c r="X67" s="442">
        <f t="shared" si="96"/>
        <v>6.0637859133158018E-3</v>
      </c>
      <c r="Y67" s="442">
        <f t="shared" si="96"/>
        <v>1.6604953941282266E-2</v>
      </c>
      <c r="Z67" s="442">
        <f t="shared" si="96"/>
        <v>7.070534094588546E-3</v>
      </c>
      <c r="AA67" s="442">
        <f t="shared" si="96"/>
        <v>1.1431883219014187E-2</v>
      </c>
      <c r="AB67" s="442">
        <f t="shared" si="96"/>
        <v>1.5830114036539202E-2</v>
      </c>
      <c r="AC67" s="442">
        <f t="shared" si="96"/>
        <v>1.3699858510625013E-2</v>
      </c>
      <c r="AD67" s="442"/>
      <c r="AE67" s="442"/>
      <c r="AF67" s="442">
        <f t="shared" si="97"/>
        <v>1.1392006723286916E-2</v>
      </c>
      <c r="AG67" s="1508">
        <f>AG7/AG$55</f>
        <v>0.32217463623852971</v>
      </c>
      <c r="AH67" s="1508">
        <f t="shared" si="98"/>
        <v>4.7561956641119152E-3</v>
      </c>
      <c r="AI67" s="1508">
        <f t="shared" si="98"/>
        <v>9.3118953559176033E-3</v>
      </c>
      <c r="AJ67" s="1508">
        <f t="shared" si="98"/>
        <v>1.1593057922750984E-2</v>
      </c>
      <c r="AK67" s="1508">
        <f t="shared" si="98"/>
        <v>1.32754393805606E-2</v>
      </c>
      <c r="AL67" s="1508">
        <f t="shared" si="98"/>
        <v>1.3835323884419904E-2</v>
      </c>
      <c r="AM67" s="1508">
        <f t="shared" si="98"/>
        <v>1.5377464260878396E-2</v>
      </c>
      <c r="AN67" s="1508">
        <f t="shared" si="98"/>
        <v>1.829132032336659E-2</v>
      </c>
      <c r="AO67" s="1508">
        <f t="shared" si="98"/>
        <v>1.6305849718532515E-2</v>
      </c>
      <c r="AP67" s="1508">
        <f>AP7/AP$50</f>
        <v>1.4081069762706564E-2</v>
      </c>
      <c r="AQ67" s="1508">
        <f>AQ7/AQ$50</f>
        <v>5.9066646394471799E-3</v>
      </c>
      <c r="AR67" s="1508">
        <f t="shared" si="99"/>
        <v>6.9472300534064732E-3</v>
      </c>
      <c r="AS67" s="1508">
        <f t="shared" si="99"/>
        <v>1.0217981968448512E-2</v>
      </c>
      <c r="AT67" s="1508"/>
      <c r="AU67" s="1508">
        <f t="shared" ref="AU67:BI68" si="106">AU7/AU$55</f>
        <v>0.38434713500609036</v>
      </c>
      <c r="AV67" s="1508">
        <f t="shared" si="106"/>
        <v>0.31066962702748069</v>
      </c>
      <c r="AW67" s="1508">
        <f t="shared" si="106"/>
        <v>0.15932930042515597</v>
      </c>
      <c r="AX67" s="1508">
        <f t="shared" si="106"/>
        <v>0.41204349514626631</v>
      </c>
      <c r="AY67" s="1508">
        <f t="shared" si="106"/>
        <v>0.3172782155142545</v>
      </c>
      <c r="AZ67" s="1508">
        <f t="shared" si="106"/>
        <v>0.50520515119345388</v>
      </c>
      <c r="BA67" s="1508" t="e">
        <f t="shared" si="106"/>
        <v>#DIV/0!</v>
      </c>
      <c r="BB67" s="1508" t="e">
        <f t="shared" si="106"/>
        <v>#DIV/0!</v>
      </c>
      <c r="BC67" s="1508" t="e">
        <f t="shared" si="106"/>
        <v>#DIV/0!</v>
      </c>
      <c r="BD67" s="1508" t="e">
        <f t="shared" si="106"/>
        <v>#DIV/0!</v>
      </c>
      <c r="BE67" s="1508" t="e">
        <f t="shared" si="106"/>
        <v>#DIV/0!</v>
      </c>
      <c r="BF67" s="1508" t="e">
        <f t="shared" si="106"/>
        <v>#DIV/0!</v>
      </c>
      <c r="BG67" s="1508" t="e">
        <f t="shared" si="106"/>
        <v>#DIV/0!</v>
      </c>
      <c r="BH67" s="1508">
        <f t="shared" si="106"/>
        <v>0.3631170322860709</v>
      </c>
      <c r="BI67" s="1508">
        <f t="shared" si="106"/>
        <v>0.32224191510539973</v>
      </c>
      <c r="BJ67" s="1188"/>
      <c r="BL67" s="1508">
        <f t="shared" ref="BL67:BX68" si="107">BL7/BL$55</f>
        <v>0.31886622544462456</v>
      </c>
      <c r="BM67" s="1508">
        <f t="shared" si="107"/>
        <v>0.32720666102440171</v>
      </c>
      <c r="BN67" s="1508">
        <f t="shared" si="107"/>
        <v>0.32224191510539973</v>
      </c>
      <c r="BO67" s="1508">
        <f t="shared" si="107"/>
        <v>0.32146636296314846</v>
      </c>
      <c r="BP67" s="1508">
        <f t="shared" si="107"/>
        <v>0.32224191510539973</v>
      </c>
      <c r="BQ67" s="1508">
        <f t="shared" si="107"/>
        <v>0.32329927126707048</v>
      </c>
      <c r="BR67" s="1508">
        <f t="shared" si="107"/>
        <v>0.31872981197987044</v>
      </c>
      <c r="BS67" s="1508">
        <f t="shared" si="107"/>
        <v>0.32310372201845883</v>
      </c>
      <c r="BT67" s="1508">
        <f t="shared" si="107"/>
        <v>0.31690013452878046</v>
      </c>
      <c r="BU67" s="1508">
        <f t="shared" si="107"/>
        <v>0.32236604228782306</v>
      </c>
      <c r="BV67" s="1508">
        <f t="shared" si="107"/>
        <v>0.31946761247056454</v>
      </c>
      <c r="BW67" s="1508">
        <f t="shared" si="107"/>
        <v>0.32310372201845883</v>
      </c>
      <c r="BX67" s="1508">
        <f t="shared" si="107"/>
        <v>0.32147451443467084</v>
      </c>
    </row>
    <row r="68" spans="1:76">
      <c r="A68" s="422">
        <f t="shared" si="102"/>
        <v>5</v>
      </c>
      <c r="B68" s="422" t="s">
        <v>425</v>
      </c>
      <c r="C68" s="422" t="s">
        <v>434</v>
      </c>
      <c r="D68" s="1175" t="s">
        <v>434</v>
      </c>
      <c r="E68" s="422" t="s">
        <v>1252</v>
      </c>
      <c r="F68" s="442">
        <f t="shared" si="84"/>
        <v>4.3811795234172017E-3</v>
      </c>
      <c r="G68" s="442">
        <f t="shared" si="85"/>
        <v>6.3113710799882197E-3</v>
      </c>
      <c r="H68" s="442">
        <f t="shared" si="86"/>
        <v>5.3607615181031753E-3</v>
      </c>
      <c r="I68" s="442">
        <f t="shared" si="87"/>
        <v>5.6484378312349646E-3</v>
      </c>
      <c r="J68" s="442">
        <f t="shared" si="88"/>
        <v>6.2840295589229435E-3</v>
      </c>
      <c r="K68" s="442">
        <f t="shared" si="89"/>
        <v>7.0451852923533176E-3</v>
      </c>
      <c r="L68" s="442">
        <f t="shared" si="90"/>
        <v>6.3856513205920659E-3</v>
      </c>
      <c r="M68" s="442">
        <f t="shared" si="91"/>
        <v>6.1414729621448415E-3</v>
      </c>
      <c r="N68" s="442">
        <f t="shared" si="92"/>
        <v>6.8064949057317255E-3</v>
      </c>
      <c r="O68" s="442">
        <f t="shared" si="93"/>
        <v>6.5759098202601216E-3</v>
      </c>
      <c r="P68" s="442">
        <f t="shared" si="94"/>
        <v>6.1675648261610271E-3</v>
      </c>
      <c r="Q68" s="442">
        <f t="shared" si="95"/>
        <v>6.9398140418197914E-3</v>
      </c>
      <c r="R68" s="1508">
        <f>R8/R$55</f>
        <v>0.18593108047532295</v>
      </c>
      <c r="S68" s="442">
        <f t="shared" si="96"/>
        <v>7.9323345915152249E-3</v>
      </c>
      <c r="T68" s="442">
        <f t="shared" si="96"/>
        <v>5.1917586116358621E-3</v>
      </c>
      <c r="U68" s="442">
        <f t="shared" si="96"/>
        <v>5.9362230940550381E-3</v>
      </c>
      <c r="V68" s="442">
        <f t="shared" si="96"/>
        <v>5.5623348928402422E-3</v>
      </c>
      <c r="W68" s="442">
        <f t="shared" si="96"/>
        <v>5.7111628422633655E-3</v>
      </c>
      <c r="X68" s="442">
        <f t="shared" si="96"/>
        <v>8.0307954791578717E-3</v>
      </c>
      <c r="Y68" s="442">
        <f t="shared" si="96"/>
        <v>4.9547154011659765E-3</v>
      </c>
      <c r="Z68" s="442">
        <f t="shared" si="96"/>
        <v>4.6529591713638284E-3</v>
      </c>
      <c r="AA68" s="442">
        <f t="shared" si="96"/>
        <v>5.5073278125057018E-3</v>
      </c>
      <c r="AB68" s="442">
        <f t="shared" si="96"/>
        <v>5.9124985992101333E-3</v>
      </c>
      <c r="AC68" s="442">
        <f t="shared" si="96"/>
        <v>6.5647586372867793E-3</v>
      </c>
      <c r="AD68" s="442"/>
      <c r="AE68" s="442"/>
      <c r="AF68" s="442">
        <f t="shared" si="97"/>
        <v>6.0705547151369624E-3</v>
      </c>
      <c r="AG68" s="1508">
        <f>AG8/AG$55</f>
        <v>0.17167991598156684</v>
      </c>
      <c r="AH68" s="1508">
        <f t="shared" si="98"/>
        <v>4.2925676261814875E-3</v>
      </c>
      <c r="AI68" s="1508">
        <f t="shared" si="98"/>
        <v>5.3657210608392941E-3</v>
      </c>
      <c r="AJ68" s="1508">
        <f t="shared" si="98"/>
        <v>5.8321436387606508E-3</v>
      </c>
      <c r="AK68" s="1508">
        <f t="shared" si="98"/>
        <v>5.3699444211336685E-3</v>
      </c>
      <c r="AL68" s="1508">
        <f t="shared" si="98"/>
        <v>6.7434628019543011E-3</v>
      </c>
      <c r="AM68" s="1508">
        <f t="shared" si="98"/>
        <v>5.9137168103644408E-3</v>
      </c>
      <c r="AN68" s="1508">
        <f t="shared" si="98"/>
        <v>6.1473766943897527E-3</v>
      </c>
      <c r="AO68" s="1508">
        <f t="shared" si="98"/>
        <v>6.2039162426828264E-3</v>
      </c>
      <c r="AP68" s="1508">
        <f>AP8/AP$50</f>
        <v>6.3601181294685553E-3</v>
      </c>
      <c r="AQ68" s="1508">
        <f>AQ8/AQ$50</f>
        <v>6.0434340268103477E-3</v>
      </c>
      <c r="AR68" s="1508">
        <f t="shared" si="99"/>
        <v>6.4108378805278546E-3</v>
      </c>
      <c r="AS68" s="1508">
        <f t="shared" si="99"/>
        <v>6.5722736385782901E-3</v>
      </c>
      <c r="AT68" s="1508"/>
      <c r="AU68" s="1508">
        <f t="shared" si="106"/>
        <v>0.18658236910573509</v>
      </c>
      <c r="AV68" s="1508">
        <f t="shared" si="106"/>
        <v>0.21148088999420181</v>
      </c>
      <c r="AW68" s="1508">
        <f t="shared" si="106"/>
        <v>0.19195791673568549</v>
      </c>
      <c r="AX68" s="1508">
        <f t="shared" si="106"/>
        <v>0.19018723917738778</v>
      </c>
      <c r="AY68" s="1508">
        <f t="shared" si="106"/>
        <v>0.23440053869250738</v>
      </c>
      <c r="AZ68" s="1508">
        <f t="shared" si="106"/>
        <v>0.21860373559363172</v>
      </c>
      <c r="BA68" s="1508" t="e">
        <f t="shared" si="106"/>
        <v>#DIV/0!</v>
      </c>
      <c r="BB68" s="1508" t="e">
        <f t="shared" si="106"/>
        <v>#DIV/0!</v>
      </c>
      <c r="BC68" s="1508" t="e">
        <f t="shared" si="106"/>
        <v>#DIV/0!</v>
      </c>
      <c r="BD68" s="1508" t="e">
        <f t="shared" si="106"/>
        <v>#DIV/0!</v>
      </c>
      <c r="BE68" s="1508" t="e">
        <f t="shared" si="106"/>
        <v>#DIV/0!</v>
      </c>
      <c r="BF68" s="1508" t="e">
        <f t="shared" si="106"/>
        <v>#DIV/0!</v>
      </c>
      <c r="BG68" s="1508" t="e">
        <f t="shared" si="106"/>
        <v>#DIV/0!</v>
      </c>
      <c r="BH68" s="1508">
        <f t="shared" si="106"/>
        <v>0.21143784126198115</v>
      </c>
      <c r="BI68" s="1508">
        <f t="shared" si="106"/>
        <v>0.17175222641212443</v>
      </c>
      <c r="BJ68" s="1188"/>
      <c r="BL68" s="1508">
        <f t="shared" si="107"/>
        <v>0.17168348253330823</v>
      </c>
      <c r="BM68" s="1508">
        <f t="shared" si="107"/>
        <v>0.17328352155292137</v>
      </c>
      <c r="BN68" s="1508">
        <f t="shared" si="107"/>
        <v>0.17175222641212443</v>
      </c>
      <c r="BO68" s="1508">
        <f t="shared" si="107"/>
        <v>0.17213277351734957</v>
      </c>
      <c r="BP68" s="1508">
        <f t="shared" si="107"/>
        <v>0.17175222641212443</v>
      </c>
      <c r="BQ68" s="1508">
        <f t="shared" si="107"/>
        <v>0.1738441984748357</v>
      </c>
      <c r="BR68" s="1508">
        <f t="shared" si="107"/>
        <v>0.1721393956543803</v>
      </c>
      <c r="BS68" s="1508">
        <f t="shared" si="107"/>
        <v>0.17253259372203042</v>
      </c>
      <c r="BT68" s="1508">
        <f t="shared" si="107"/>
        <v>0.17304485003428161</v>
      </c>
      <c r="BU68" s="1508">
        <f t="shared" si="107"/>
        <v>0.17289181051406499</v>
      </c>
      <c r="BV68" s="1508">
        <f t="shared" si="107"/>
        <v>0.17177427955952199</v>
      </c>
      <c r="BW68" s="1508">
        <f t="shared" si="107"/>
        <v>0.17253259372203042</v>
      </c>
      <c r="BX68" s="1508">
        <f t="shared" si="107"/>
        <v>0.17243903166580335</v>
      </c>
    </row>
    <row r="69" spans="1:76">
      <c r="A69" s="422">
        <f t="shared" si="102"/>
        <v>6</v>
      </c>
      <c r="B69" s="422" t="s">
        <v>425</v>
      </c>
      <c r="C69" s="422" t="s">
        <v>429</v>
      </c>
      <c r="D69" s="1175" t="s">
        <v>829</v>
      </c>
      <c r="E69" s="422" t="s">
        <v>1252</v>
      </c>
      <c r="F69" s="442">
        <f t="shared" si="84"/>
        <v>0</v>
      </c>
      <c r="G69" s="442">
        <f t="shared" si="85"/>
        <v>0</v>
      </c>
      <c r="H69" s="442">
        <f t="shared" si="86"/>
        <v>7.4825810717401176E-3</v>
      </c>
      <c r="I69" s="442">
        <f t="shared" si="87"/>
        <v>6.3808585848418508E-3</v>
      </c>
      <c r="J69" s="442">
        <f t="shared" si="88"/>
        <v>5.2974908870021412E-3</v>
      </c>
      <c r="K69" s="442">
        <f t="shared" si="89"/>
        <v>7.185928273569557E-3</v>
      </c>
      <c r="L69" s="442">
        <f t="shared" si="90"/>
        <v>5.6066492585297055E-3</v>
      </c>
      <c r="M69" s="442">
        <f t="shared" si="91"/>
        <v>9.6217014754697971E-3</v>
      </c>
      <c r="N69" s="442">
        <f t="shared" si="92"/>
        <v>6.6584721334512417E-3</v>
      </c>
      <c r="O69" s="442">
        <f t="shared" si="93"/>
        <v>7.8428743316953705E-3</v>
      </c>
      <c r="P69" s="442">
        <f t="shared" si="94"/>
        <v>9.325436447974662E-3</v>
      </c>
      <c r="Q69" s="442">
        <f t="shared" si="95"/>
        <v>3.2984568863061122E-3</v>
      </c>
      <c r="R69" s="1508">
        <f>R9/R$56</f>
        <v>0.18701776420598101</v>
      </c>
      <c r="S69" s="442">
        <f t="shared" si="96"/>
        <v>2.9456606027872135E-3</v>
      </c>
      <c r="T69" s="442">
        <f t="shared" si="96"/>
        <v>3.2975756790239409E-3</v>
      </c>
      <c r="U69" s="442">
        <f t="shared" si="96"/>
        <v>3.7801543357091241E-3</v>
      </c>
      <c r="V69" s="442">
        <f t="shared" si="96"/>
        <v>7.7955215973008864E-3</v>
      </c>
      <c r="W69" s="442">
        <f t="shared" si="96"/>
        <v>6.0343275354462636E-3</v>
      </c>
      <c r="X69" s="442">
        <f t="shared" si="96"/>
        <v>1.2922652451099652E-2</v>
      </c>
      <c r="Y69" s="442">
        <f t="shared" si="96"/>
        <v>1.0889849792124626E-2</v>
      </c>
      <c r="Z69" s="442">
        <f t="shared" si="96"/>
        <v>1.5814021356086689E-2</v>
      </c>
      <c r="AA69" s="442">
        <f t="shared" si="96"/>
        <v>8.5907237995110249E-3</v>
      </c>
      <c r="AB69" s="442">
        <f t="shared" si="96"/>
        <v>4.7496589040802555E-3</v>
      </c>
      <c r="AC69" s="442">
        <f t="shared" si="96"/>
        <v>2.6954274558921455E-3</v>
      </c>
      <c r="AD69" s="442"/>
      <c r="AE69" s="442"/>
      <c r="AF69" s="442">
        <f t="shared" si="97"/>
        <v>7.0996955921424276E-3</v>
      </c>
      <c r="AG69" s="1508">
        <f>AG9/AG$56</f>
        <v>0.25410033062246928</v>
      </c>
      <c r="AH69" s="1508">
        <f t="shared" si="98"/>
        <v>1.6520183725690845E-2</v>
      </c>
      <c r="AI69" s="1508">
        <f t="shared" si="98"/>
        <v>1.475606665418717E-2</v>
      </c>
      <c r="AJ69" s="1508">
        <f t="shared" si="98"/>
        <v>5.3072313598591684E-3</v>
      </c>
      <c r="AK69" s="1508">
        <f t="shared" si="98"/>
        <v>7.0828856404812658E-3</v>
      </c>
      <c r="AL69" s="1508">
        <f t="shared" si="98"/>
        <v>5.6570508036226765E-3</v>
      </c>
      <c r="AM69" s="1508">
        <f t="shared" si="98"/>
        <v>4.0901205842088723E-3</v>
      </c>
      <c r="AN69" s="1508">
        <f t="shared" si="98"/>
        <v>5.938907689479027E-3</v>
      </c>
      <c r="AO69" s="1508">
        <f t="shared" si="98"/>
        <v>5.1948685594004305E-3</v>
      </c>
      <c r="AP69" s="1508">
        <f t="shared" si="98"/>
        <v>4.8294827181976502E-3</v>
      </c>
      <c r="AQ69" s="1508">
        <f t="shared" si="98"/>
        <v>5.0344666255138382E-3</v>
      </c>
      <c r="AR69" s="1508">
        <f t="shared" si="99"/>
        <v>5.5863865500940654E-3</v>
      </c>
      <c r="AS69" s="1508">
        <f t="shared" si="99"/>
        <v>6.45083197058421E-3</v>
      </c>
      <c r="AT69" s="1508"/>
      <c r="AU69" s="1508">
        <f>AU9/AU$56</f>
        <v>0.1966416351101988</v>
      </c>
      <c r="AV69" s="1508">
        <f>AV9/AV$56</f>
        <v>0.31270294800150977</v>
      </c>
      <c r="AW69" s="1508">
        <f t="shared" ref="AW69:BH70" si="108">AW9/AW$56</f>
        <v>0.26153794047525064</v>
      </c>
      <c r="AX69" s="1508">
        <f t="shared" si="108"/>
        <v>0.38737746369323994</v>
      </c>
      <c r="AY69" s="1508">
        <f t="shared" si="108"/>
        <v>0.42614302363731638</v>
      </c>
      <c r="AZ69" s="1508">
        <f t="shared" si="108"/>
        <v>0.40997237099345324</v>
      </c>
      <c r="BA69" s="1508" t="e">
        <f t="shared" si="108"/>
        <v>#DIV/0!</v>
      </c>
      <c r="BB69" s="1508" t="e">
        <f t="shared" si="108"/>
        <v>#DIV/0!</v>
      </c>
      <c r="BC69" s="1508" t="e">
        <f t="shared" si="108"/>
        <v>#DIV/0!</v>
      </c>
      <c r="BD69" s="1508" t="e">
        <f t="shared" si="108"/>
        <v>#DIV/0!</v>
      </c>
      <c r="BE69" s="1508" t="e">
        <f t="shared" si="108"/>
        <v>#DIV/0!</v>
      </c>
      <c r="BF69" s="1508" t="e">
        <f t="shared" si="108"/>
        <v>#DIV/0!</v>
      </c>
      <c r="BG69" s="1508" t="e">
        <f t="shared" si="108"/>
        <v>#DIV/0!</v>
      </c>
      <c r="BH69" s="1508">
        <f t="shared" si="108"/>
        <v>0.37029591621699426</v>
      </c>
      <c r="BI69" s="1508">
        <f>BI9/BI$56</f>
        <v>0.12499239647907516</v>
      </c>
      <c r="BJ69" s="1188"/>
      <c r="BL69" s="1508">
        <f>BL9/BL$56</f>
        <v>0.13245204367574726</v>
      </c>
      <c r="BM69" s="1508">
        <f t="shared" ref="BM69:BX70" si="109">BM9/BM$56</f>
        <v>0.12760734060267231</v>
      </c>
      <c r="BN69" s="1508">
        <f t="shared" si="109"/>
        <v>0.12222677316730407</v>
      </c>
      <c r="BO69" s="1508">
        <f t="shared" si="109"/>
        <v>0.12518076621370186</v>
      </c>
      <c r="BP69" s="1508">
        <f t="shared" si="109"/>
        <v>0.12499239647907516</v>
      </c>
      <c r="BQ69" s="1508">
        <f t="shared" si="109"/>
        <v>0.11800359381948142</v>
      </c>
      <c r="BR69" s="1508">
        <f t="shared" si="109"/>
        <v>0.12429813209265612</v>
      </c>
      <c r="BS69" s="1508">
        <f t="shared" si="109"/>
        <v>0.12135049283426991</v>
      </c>
      <c r="BT69" s="1508">
        <f t="shared" si="109"/>
        <v>0.12207497687409706</v>
      </c>
      <c r="BU69" s="1508">
        <f t="shared" si="109"/>
        <v>0.1239155422962754</v>
      </c>
      <c r="BV69" s="1508">
        <f t="shared" si="109"/>
        <v>0.12369734681724492</v>
      </c>
      <c r="BW69" s="1508">
        <f t="shared" si="109"/>
        <v>0.11648469708789255</v>
      </c>
      <c r="BX69" s="1508">
        <f t="shared" si="109"/>
        <v>0.12341028941696681</v>
      </c>
    </row>
    <row r="70" spans="1:76">
      <c r="A70" s="422">
        <f t="shared" si="102"/>
        <v>7</v>
      </c>
      <c r="B70" s="422" t="s">
        <v>425</v>
      </c>
      <c r="C70" s="422" t="s">
        <v>429</v>
      </c>
      <c r="D70" s="1175" t="s">
        <v>969</v>
      </c>
      <c r="E70" s="422" t="s">
        <v>1252</v>
      </c>
      <c r="F70" s="442"/>
      <c r="G70" s="442"/>
      <c r="H70" s="442"/>
      <c r="I70" s="442"/>
      <c r="J70" s="442"/>
      <c r="K70" s="442"/>
      <c r="L70" s="442"/>
      <c r="M70" s="442"/>
      <c r="N70" s="442"/>
      <c r="O70" s="442"/>
      <c r="P70" s="442"/>
      <c r="Q70" s="442"/>
      <c r="R70" s="1508">
        <f>R10/R$56</f>
        <v>0</v>
      </c>
      <c r="S70" s="442"/>
      <c r="T70" s="442"/>
      <c r="U70" s="442"/>
      <c r="V70" s="442"/>
      <c r="W70" s="442"/>
      <c r="X70" s="442"/>
      <c r="Y70" s="442"/>
      <c r="Z70" s="442"/>
      <c r="AA70" s="442"/>
      <c r="AB70" s="442"/>
      <c r="AC70" s="442"/>
      <c r="AD70" s="442"/>
      <c r="AE70" s="442"/>
      <c r="AF70" s="442"/>
      <c r="AG70" s="1508">
        <f>AG10/AG$56</f>
        <v>0</v>
      </c>
      <c r="AH70" s="1508">
        <f t="shared" si="98"/>
        <v>0</v>
      </c>
      <c r="AI70" s="1508">
        <f t="shared" si="98"/>
        <v>0</v>
      </c>
      <c r="AJ70" s="1508">
        <f t="shared" si="98"/>
        <v>0</v>
      </c>
      <c r="AK70" s="1508">
        <f t="shared" si="98"/>
        <v>0</v>
      </c>
      <c r="AL70" s="1508">
        <f t="shared" si="98"/>
        <v>0</v>
      </c>
      <c r="AM70" s="1508">
        <f t="shared" si="98"/>
        <v>0</v>
      </c>
      <c r="AN70" s="1508">
        <f t="shared" si="98"/>
        <v>0</v>
      </c>
      <c r="AO70" s="1508">
        <f t="shared" si="98"/>
        <v>0</v>
      </c>
      <c r="AP70" s="1508">
        <f t="shared" si="98"/>
        <v>0</v>
      </c>
      <c r="AQ70" s="1508">
        <f t="shared" si="98"/>
        <v>9.3967211052157409E-3</v>
      </c>
      <c r="AR70" s="1508">
        <f t="shared" si="99"/>
        <v>6.4424292360709097E-3</v>
      </c>
      <c r="AS70" s="1508">
        <f t="shared" si="99"/>
        <v>0</v>
      </c>
      <c r="AT70" s="1508"/>
      <c r="AU70" s="1508">
        <f>AU10/AU$56</f>
        <v>3.2749439678802561E-2</v>
      </c>
      <c r="AV70" s="1508">
        <f>AV10/AV$56</f>
        <v>0</v>
      </c>
      <c r="AW70" s="1508">
        <f t="shared" si="108"/>
        <v>3.6285129233441224E-2</v>
      </c>
      <c r="AX70" s="1508">
        <f t="shared" si="108"/>
        <v>6.6609929849802699E-2</v>
      </c>
      <c r="AY70" s="1508">
        <f t="shared" si="108"/>
        <v>5.808531371963313E-3</v>
      </c>
      <c r="AZ70" s="1508">
        <f t="shared" si="108"/>
        <v>2.9080281924546085E-2</v>
      </c>
      <c r="BA70" s="1508" t="e">
        <f t="shared" si="108"/>
        <v>#DIV/0!</v>
      </c>
      <c r="BB70" s="1508" t="e">
        <f t="shared" si="108"/>
        <v>#DIV/0!</v>
      </c>
      <c r="BC70" s="1508" t="e">
        <f t="shared" si="108"/>
        <v>#DIV/0!</v>
      </c>
      <c r="BD70" s="1508" t="e">
        <f t="shared" si="108"/>
        <v>#DIV/0!</v>
      </c>
      <c r="BE70" s="1508" t="e">
        <f t="shared" si="108"/>
        <v>#DIV/0!</v>
      </c>
      <c r="BF70" s="1508" t="e">
        <f t="shared" si="108"/>
        <v>#DIV/0!</v>
      </c>
      <c r="BG70" s="1508" t="e">
        <f t="shared" si="108"/>
        <v>#DIV/0!</v>
      </c>
      <c r="BH70" s="1508">
        <f t="shared" si="108"/>
        <v>2.9070697592872768E-2</v>
      </c>
      <c r="BI70" s="1508">
        <f>BI10/BI$56</f>
        <v>4.4779404524210672E-4</v>
      </c>
      <c r="BJ70" s="1188"/>
      <c r="BL70" s="1508">
        <f>BL10/BL$56</f>
        <v>1.6445244288603273E-3</v>
      </c>
      <c r="BM70" s="1508">
        <f t="shared" si="109"/>
        <v>4.9108412401438516E-4</v>
      </c>
      <c r="BN70" s="1508">
        <f t="shared" si="109"/>
        <v>4.4634337689815156E-4</v>
      </c>
      <c r="BO70" s="1508">
        <f t="shared" si="109"/>
        <v>1.6160071178425361E-3</v>
      </c>
      <c r="BP70" s="1508">
        <f t="shared" si="109"/>
        <v>4.4779404524210672E-4</v>
      </c>
      <c r="BQ70" s="1508">
        <f t="shared" si="109"/>
        <v>4.4506614300467043E-4</v>
      </c>
      <c r="BR70" s="1508">
        <f t="shared" si="109"/>
        <v>1.5140431005611552E-3</v>
      </c>
      <c r="BS70" s="1508">
        <f t="shared" si="109"/>
        <v>4.5768941478245014E-4</v>
      </c>
      <c r="BT70" s="1508">
        <f t="shared" si="109"/>
        <v>4.3734218446191543E-4</v>
      </c>
      <c r="BU70" s="1508">
        <f t="shared" si="109"/>
        <v>1.5890370481301721E-3</v>
      </c>
      <c r="BV70" s="1508">
        <f t="shared" si="109"/>
        <v>4.4239239264566761E-4</v>
      </c>
      <c r="BW70" s="1508">
        <f t="shared" si="109"/>
        <v>1.4838803885236619E-3</v>
      </c>
      <c r="BX70" s="1508">
        <f t="shared" si="109"/>
        <v>9.1127797619755112E-4</v>
      </c>
    </row>
    <row r="71" spans="1:76">
      <c r="A71" s="422">
        <f t="shared" si="102"/>
        <v>8</v>
      </c>
      <c r="B71" s="422" t="s">
        <v>425</v>
      </c>
      <c r="C71" s="422" t="s">
        <v>435</v>
      </c>
      <c r="D71" s="1175" t="s">
        <v>435</v>
      </c>
      <c r="E71" s="422" t="s">
        <v>1252</v>
      </c>
      <c r="F71" s="442">
        <f t="shared" ref="F71:F81" si="110">F11/$F$50</f>
        <v>5.2610905014449181E-3</v>
      </c>
      <c r="G71" s="442">
        <f t="shared" ref="G71:G81" si="111">G11/$G$50</f>
        <v>5.4710281212783539E-3</v>
      </c>
      <c r="H71" s="442">
        <f t="shared" ref="H71:H81" si="112">H11/$H$50</f>
        <v>5.2898214394422978E-3</v>
      </c>
      <c r="I71" s="442">
        <f t="shared" ref="I71:I81" si="113">I11/$I$50</f>
        <v>6.0786982898919572E-3</v>
      </c>
      <c r="J71" s="442">
        <f t="shared" ref="J71:J81" si="114">J11/$J$50</f>
        <v>3.1779215060429027E-3</v>
      </c>
      <c r="K71" s="442">
        <f t="shared" ref="K71:K81" si="115">K11/$K$50</f>
        <v>7.157498331701464E-3</v>
      </c>
      <c r="L71" s="442">
        <f t="shared" ref="L71:L81" si="116">L11/$L$50</f>
        <v>5.2828305966948945E-3</v>
      </c>
      <c r="M71" s="442">
        <f t="shared" ref="M71:M81" si="117">M11/$M$50</f>
        <v>5.7679806639365791E-3</v>
      </c>
      <c r="N71" s="442">
        <f t="shared" ref="N71:N81" si="118">N11/$N$50</f>
        <v>6.3161867256229659E-3</v>
      </c>
      <c r="O71" s="442">
        <f t="shared" ref="O71:O81" si="119">O11/$O$50</f>
        <v>6.0886621805760696E-3</v>
      </c>
      <c r="P71" s="442">
        <f t="shared" ref="P71:P81" si="120">P11/$P$50</f>
        <v>8.590775007856731E-3</v>
      </c>
      <c r="Q71" s="442">
        <f t="shared" ref="Q71:Q81" si="121">Q11/$Q$50</f>
        <v>3.9905701392889004E-3</v>
      </c>
      <c r="R71" s="1508">
        <f t="shared" ref="R71:R76" si="122">R11/R$55</f>
        <v>0.16522426015083144</v>
      </c>
      <c r="S71" s="442">
        <f t="shared" ref="S71:AC81" si="123">S11/S$50</f>
        <v>3.3356227378178414E-3</v>
      </c>
      <c r="T71" s="442">
        <f t="shared" si="123"/>
        <v>3.2764906308316256E-3</v>
      </c>
      <c r="U71" s="442">
        <f t="shared" si="123"/>
        <v>3.2184129969973869E-3</v>
      </c>
      <c r="V71" s="442">
        <f t="shared" si="123"/>
        <v>3.2137190968263354E-3</v>
      </c>
      <c r="W71" s="442">
        <f t="shared" si="123"/>
        <v>3.2380061965371822E-3</v>
      </c>
      <c r="X71" s="442">
        <f t="shared" si="123"/>
        <v>3.6449805973768064E-3</v>
      </c>
      <c r="Y71" s="442">
        <f t="shared" si="123"/>
        <v>4.8685045062221597E-3</v>
      </c>
      <c r="Z71" s="442">
        <f t="shared" si="123"/>
        <v>3.4473677204140069E-3</v>
      </c>
      <c r="AA71" s="442">
        <f t="shared" si="123"/>
        <v>2.8166264179577708E-3</v>
      </c>
      <c r="AB71" s="442">
        <f t="shared" si="123"/>
        <v>2.6016709437061058E-3</v>
      </c>
      <c r="AC71" s="442">
        <f t="shared" si="123"/>
        <v>2.5226420714255919E-3</v>
      </c>
      <c r="AD71" s="442"/>
      <c r="AE71" s="442"/>
      <c r="AF71" s="442">
        <f t="shared" ref="AF71:AF81" si="124">AF11/AF$50</f>
        <v>3.1739663666253506E-3</v>
      </c>
      <c r="AG71" s="1508">
        <f t="shared" ref="AG71:AG76" si="125">AG11/AG$55</f>
        <v>8.9762188913614802E-2</v>
      </c>
      <c r="AH71" s="1508">
        <f t="shared" si="98"/>
        <v>2.4824190260224377E-3</v>
      </c>
      <c r="AI71" s="1508">
        <f t="shared" si="98"/>
        <v>2.3418421030645302E-3</v>
      </c>
      <c r="AJ71" s="1508">
        <f t="shared" si="98"/>
        <v>2.0887352352024044E-3</v>
      </c>
      <c r="AK71" s="1508">
        <f t="shared" si="98"/>
        <v>1.9264355432468917E-3</v>
      </c>
      <c r="AL71" s="1508">
        <f t="shared" si="98"/>
        <v>1.7525728448768052E-3</v>
      </c>
      <c r="AM71" s="1508">
        <f t="shared" si="98"/>
        <v>1.8034742175802529E-3</v>
      </c>
      <c r="AN71" s="1508">
        <f t="shared" si="98"/>
        <v>1.861977845638059E-3</v>
      </c>
      <c r="AO71" s="1508">
        <f t="shared" si="98"/>
        <v>1.335134636304969E-3</v>
      </c>
      <c r="AP71" s="1508">
        <f t="shared" si="98"/>
        <v>1.9757082713690211E-3</v>
      </c>
      <c r="AQ71" s="1508">
        <f t="shared" si="98"/>
        <v>2.0514162069370104E-3</v>
      </c>
      <c r="AR71" s="1508">
        <f t="shared" si="99"/>
        <v>2.3049226217459785E-3</v>
      </c>
      <c r="AS71" s="1508">
        <f t="shared" si="99"/>
        <v>1.7041581627702943E-3</v>
      </c>
      <c r="AT71" s="1508"/>
      <c r="AU71" s="1508">
        <f t="shared" ref="AU71:BI76" si="126">AU11/AU$55</f>
        <v>5.9670505342240596E-2</v>
      </c>
      <c r="AV71" s="1508">
        <f t="shared" si="126"/>
        <v>5.6262493227242111E-2</v>
      </c>
      <c r="AW71" s="1508">
        <f t="shared" si="126"/>
        <v>5.9392774004748496E-2</v>
      </c>
      <c r="AX71" s="1508">
        <f t="shared" si="126"/>
        <v>8.0017806565223101E-2</v>
      </c>
      <c r="AY71" s="1508">
        <f t="shared" si="126"/>
        <v>9.0513135824035668E-2</v>
      </c>
      <c r="AZ71" s="1508">
        <f t="shared" si="126"/>
        <v>9.9345284664771341E-2</v>
      </c>
      <c r="BA71" s="1508" t="e">
        <f t="shared" si="126"/>
        <v>#DIV/0!</v>
      </c>
      <c r="BB71" s="1508" t="e">
        <f t="shared" si="126"/>
        <v>#DIV/0!</v>
      </c>
      <c r="BC71" s="1508" t="e">
        <f t="shared" si="126"/>
        <v>#DIV/0!</v>
      </c>
      <c r="BD71" s="1508" t="e">
        <f t="shared" si="126"/>
        <v>#DIV/0!</v>
      </c>
      <c r="BE71" s="1508" t="e">
        <f t="shared" si="126"/>
        <v>#DIV/0!</v>
      </c>
      <c r="BF71" s="1508" t="e">
        <f t="shared" si="126"/>
        <v>#DIV/0!</v>
      </c>
      <c r="BG71" s="1508" t="e">
        <f t="shared" si="126"/>
        <v>#DIV/0!</v>
      </c>
      <c r="BH71" s="1508">
        <f t="shared" si="126"/>
        <v>8.0597361951392887E-2</v>
      </c>
      <c r="BI71" s="1508">
        <f t="shared" si="126"/>
        <v>5.595174909529553E-2</v>
      </c>
      <c r="BJ71" s="1188"/>
      <c r="BL71" s="1508">
        <f t="shared" ref="BL71:BX76" si="127">BL11/BL$55</f>
        <v>5.863969658659924E-2</v>
      </c>
      <c r="BM71" s="1508">
        <f t="shared" si="127"/>
        <v>7.1469953775038522E-2</v>
      </c>
      <c r="BN71" s="1508">
        <f t="shared" si="127"/>
        <v>5.595174909529553E-2</v>
      </c>
      <c r="BO71" s="1508">
        <f t="shared" si="127"/>
        <v>5.5817087845968706E-2</v>
      </c>
      <c r="BP71" s="1508">
        <f t="shared" si="127"/>
        <v>5.595174909529553E-2</v>
      </c>
      <c r="BQ71" s="1508">
        <f t="shared" si="127"/>
        <v>5.4827423167848693E-2</v>
      </c>
      <c r="BR71" s="1508">
        <f t="shared" si="127"/>
        <v>5.3561200923787529E-2</v>
      </c>
      <c r="BS71" s="1508">
        <f t="shared" si="127"/>
        <v>5.3070938215102975E-2</v>
      </c>
      <c r="BT71" s="1508">
        <f t="shared" si="127"/>
        <v>5.3253731343283581E-2</v>
      </c>
      <c r="BU71" s="1508">
        <f t="shared" si="127"/>
        <v>5.2949771689497716E-2</v>
      </c>
      <c r="BV71" s="1508">
        <f t="shared" si="127"/>
        <v>5.3685185185185183E-2</v>
      </c>
      <c r="BW71" s="1508">
        <f t="shared" si="127"/>
        <v>5.3070938215102975E-2</v>
      </c>
      <c r="BX71" s="1508">
        <f t="shared" si="127"/>
        <v>5.566080000000001E-2</v>
      </c>
    </row>
    <row r="72" spans="1:76">
      <c r="A72" s="422">
        <f t="shared" si="102"/>
        <v>9</v>
      </c>
      <c r="B72" s="422" t="s">
        <v>425</v>
      </c>
      <c r="C72" s="422" t="s">
        <v>433</v>
      </c>
      <c r="D72" s="1175" t="s">
        <v>830</v>
      </c>
      <c r="E72" s="422" t="s">
        <v>1252</v>
      </c>
      <c r="F72" s="442">
        <f t="shared" si="110"/>
        <v>7.4260119337526817E-3</v>
      </c>
      <c r="G72" s="442">
        <f t="shared" si="111"/>
        <v>5.5033575757710753E-3</v>
      </c>
      <c r="H72" s="442">
        <f t="shared" si="112"/>
        <v>4.5188886287576236E-3</v>
      </c>
      <c r="I72" s="442">
        <f t="shared" si="113"/>
        <v>5.2365589480921288E-3</v>
      </c>
      <c r="J72" s="442">
        <f t="shared" si="114"/>
        <v>4.3117218865045947E-3</v>
      </c>
      <c r="K72" s="442">
        <f t="shared" si="115"/>
        <v>4.9088701424873137E-3</v>
      </c>
      <c r="L72" s="442">
        <f t="shared" si="116"/>
        <v>4.2506864343119762E-3</v>
      </c>
      <c r="M72" s="442">
        <f t="shared" si="117"/>
        <v>4.4793097528816059E-3</v>
      </c>
      <c r="N72" s="442">
        <f t="shared" si="118"/>
        <v>2.1162714569528796E-4</v>
      </c>
      <c r="O72" s="442">
        <f t="shared" si="119"/>
        <v>2.4131862867358307E-3</v>
      </c>
      <c r="P72" s="442">
        <f t="shared" si="120"/>
        <v>3.2395038523852732E-4</v>
      </c>
      <c r="Q72" s="442">
        <f t="shared" si="121"/>
        <v>2.5013102617231546E-4</v>
      </c>
      <c r="R72" s="1508">
        <f t="shared" si="122"/>
        <v>9.7915120464554473E-2</v>
      </c>
      <c r="S72" s="442">
        <f t="shared" si="123"/>
        <v>5.3537248005912199E-3</v>
      </c>
      <c r="T72" s="442">
        <f t="shared" si="123"/>
        <v>2.827061912181802E-3</v>
      </c>
      <c r="U72" s="442">
        <f t="shared" si="123"/>
        <v>4.0578226091172349E-3</v>
      </c>
      <c r="V72" s="442">
        <f t="shared" si="123"/>
        <v>8.8562694905193994E-3</v>
      </c>
      <c r="W72" s="442">
        <f t="shared" si="123"/>
        <v>3.0613564056070986E-3</v>
      </c>
      <c r="X72" s="442">
        <f t="shared" si="123"/>
        <v>6.3592340983907522E-3</v>
      </c>
      <c r="Y72" s="442">
        <f t="shared" si="123"/>
        <v>2.216428557818075E-3</v>
      </c>
      <c r="Z72" s="442">
        <f t="shared" si="123"/>
        <v>1.8509370905527281E-3</v>
      </c>
      <c r="AA72" s="442">
        <f t="shared" si="123"/>
        <v>1.6946644583119216E-3</v>
      </c>
      <c r="AB72" s="442">
        <f t="shared" si="123"/>
        <v>1.6082885817473448E-3</v>
      </c>
      <c r="AC72" s="442">
        <f t="shared" si="123"/>
        <v>0</v>
      </c>
      <c r="AD72" s="442"/>
      <c r="AE72" s="442"/>
      <c r="AF72" s="442">
        <f t="shared" si="124"/>
        <v>3.4496617805956677E-3</v>
      </c>
      <c r="AG72" s="1508">
        <f t="shared" si="125"/>
        <v>9.7559065431160455E-2</v>
      </c>
      <c r="AH72" s="1508">
        <f t="shared" si="98"/>
        <v>4.4866587248680798E-3</v>
      </c>
      <c r="AI72" s="1508">
        <f t="shared" si="98"/>
        <v>2.3875297653676644E-3</v>
      </c>
      <c r="AJ72" s="1508">
        <f t="shared" si="98"/>
        <v>1.1594598774823663E-3</v>
      </c>
      <c r="AK72" s="1508">
        <f t="shared" si="98"/>
        <v>3.6998914854283211E-3</v>
      </c>
      <c r="AL72" s="1508">
        <f t="shared" si="98"/>
        <v>1.6265212962940224E-3</v>
      </c>
      <c r="AM72" s="1508">
        <f t="shared" si="98"/>
        <v>1.7825862353638639E-3</v>
      </c>
      <c r="AN72" s="1508">
        <f t="shared" si="98"/>
        <v>1.4211354605831803E-3</v>
      </c>
      <c r="AO72" s="1508">
        <f t="shared" si="98"/>
        <v>2.1232227281339638E-3</v>
      </c>
      <c r="AP72" s="1508">
        <f t="shared" si="98"/>
        <v>2.1585998699776066E-3</v>
      </c>
      <c r="AQ72" s="1508">
        <f t="shared" si="98"/>
        <v>7.4866920396483849E-4</v>
      </c>
      <c r="AR72" s="1508">
        <f t="shared" si="99"/>
        <v>1.7510779703949792E-3</v>
      </c>
      <c r="AS72" s="1508">
        <f t="shared" si="99"/>
        <v>1.5506139012040063E-3</v>
      </c>
      <c r="AT72" s="1508"/>
      <c r="AU72" s="1508">
        <f t="shared" si="126"/>
        <v>6.1677890430856246E-2</v>
      </c>
      <c r="AV72" s="1508">
        <f t="shared" si="126"/>
        <v>8.4805559426532937E-2</v>
      </c>
      <c r="AW72" s="1508">
        <f t="shared" si="126"/>
        <v>0</v>
      </c>
      <c r="AX72" s="1508">
        <f t="shared" si="126"/>
        <v>5.6845716860120458E-2</v>
      </c>
      <c r="AY72" s="1508">
        <f t="shared" si="126"/>
        <v>5.5533142984208771E-2</v>
      </c>
      <c r="AZ72" s="1508">
        <f t="shared" si="126"/>
        <v>5.8285262653360363E-2</v>
      </c>
      <c r="BA72" s="1508" t="e">
        <f t="shared" si="126"/>
        <v>#DIV/0!</v>
      </c>
      <c r="BB72" s="1508" t="e">
        <f t="shared" si="126"/>
        <v>#DIV/0!</v>
      </c>
      <c r="BC72" s="1508" t="e">
        <f t="shared" si="126"/>
        <v>#DIV/0!</v>
      </c>
      <c r="BD72" s="1508" t="e">
        <f t="shared" si="126"/>
        <v>#DIV/0!</v>
      </c>
      <c r="BE72" s="1508" t="e">
        <f t="shared" si="126"/>
        <v>#DIV/0!</v>
      </c>
      <c r="BF72" s="1508" t="e">
        <f t="shared" si="126"/>
        <v>#DIV/0!</v>
      </c>
      <c r="BG72" s="1508" t="e">
        <f t="shared" si="126"/>
        <v>#DIV/0!</v>
      </c>
      <c r="BH72" s="1508">
        <f t="shared" si="126"/>
        <v>5.546805155651352E-2</v>
      </c>
      <c r="BI72" s="1508">
        <f t="shared" si="126"/>
        <v>6.72134480926279E-2</v>
      </c>
      <c r="BJ72" s="1188"/>
      <c r="BL72" s="1508">
        <f t="shared" si="127"/>
        <v>6.5469524436161303E-2</v>
      </c>
      <c r="BM72" s="1508">
        <f t="shared" si="127"/>
        <v>7.6236381204979581E-2</v>
      </c>
      <c r="BN72" s="1508">
        <f t="shared" si="127"/>
        <v>6.72134480926279E-2</v>
      </c>
      <c r="BO72" s="1508">
        <f t="shared" si="127"/>
        <v>6.8596795809564556E-2</v>
      </c>
      <c r="BP72" s="1508">
        <f t="shared" si="127"/>
        <v>6.72134480926279E-2</v>
      </c>
      <c r="BQ72" s="1508">
        <f t="shared" si="127"/>
        <v>6.7380540564714125E-2</v>
      </c>
      <c r="BR72" s="1508">
        <f t="shared" si="127"/>
        <v>6.5822926745933596E-2</v>
      </c>
      <c r="BS72" s="1508">
        <f t="shared" si="127"/>
        <v>6.5220428560616134E-2</v>
      </c>
      <c r="BT72" s="1508">
        <f t="shared" si="127"/>
        <v>6.6968312607016203E-2</v>
      </c>
      <c r="BU72" s="1508">
        <f t="shared" si="127"/>
        <v>6.5071523472578191E-2</v>
      </c>
      <c r="BV72" s="1508">
        <f t="shared" si="127"/>
        <v>6.7510879954526759E-2</v>
      </c>
      <c r="BW72" s="1508">
        <f t="shared" si="127"/>
        <v>6.5220428560616134E-2</v>
      </c>
      <c r="BX72" s="1508">
        <f t="shared" si="127"/>
        <v>6.7138099561344491E-2</v>
      </c>
    </row>
    <row r="73" spans="1:76">
      <c r="A73" s="422">
        <f t="shared" si="102"/>
        <v>10</v>
      </c>
      <c r="B73" s="422" t="s">
        <v>425</v>
      </c>
      <c r="C73" s="1175" t="s">
        <v>436</v>
      </c>
      <c r="D73" s="1175" t="s">
        <v>436</v>
      </c>
      <c r="E73" s="422" t="s">
        <v>1252</v>
      </c>
      <c r="F73" s="442">
        <f t="shared" si="110"/>
        <v>5.4349911633906692E-3</v>
      </c>
      <c r="G73" s="442">
        <f t="shared" si="111"/>
        <v>4.191475327718644E-3</v>
      </c>
      <c r="H73" s="442">
        <f t="shared" si="112"/>
        <v>8.0730755952120748E-3</v>
      </c>
      <c r="I73" s="442">
        <f t="shared" si="113"/>
        <v>7.7593578946533893E-3</v>
      </c>
      <c r="J73" s="442">
        <f t="shared" si="114"/>
        <v>4.6756387897215704E-3</v>
      </c>
      <c r="K73" s="442">
        <f t="shared" si="115"/>
        <v>5.129057802829593E-3</v>
      </c>
      <c r="L73" s="442">
        <f t="shared" si="116"/>
        <v>3.3805729601483507E-3</v>
      </c>
      <c r="M73" s="442">
        <f t="shared" si="117"/>
        <v>2.2687884331249572E-3</v>
      </c>
      <c r="N73" s="442">
        <f t="shared" si="118"/>
        <v>3.7506186696504486E-3</v>
      </c>
      <c r="O73" s="442">
        <f t="shared" si="119"/>
        <v>2.8086587523578465E-3</v>
      </c>
      <c r="P73" s="442">
        <f t="shared" si="120"/>
        <v>2.6800879109369368E-3</v>
      </c>
      <c r="Q73" s="442">
        <f t="shared" si="121"/>
        <v>2.3729670611891051E-3</v>
      </c>
      <c r="R73" s="1508">
        <f t="shared" si="122"/>
        <v>0.12312496242643287</v>
      </c>
      <c r="S73" s="442">
        <f t="shared" si="123"/>
        <v>1.4660460187626778E-3</v>
      </c>
      <c r="T73" s="442">
        <f t="shared" si="123"/>
        <v>1.6894890469239105E-3</v>
      </c>
      <c r="U73" s="442">
        <f t="shared" si="123"/>
        <v>1.0215645023154971E-3</v>
      </c>
      <c r="V73" s="442">
        <f t="shared" si="123"/>
        <v>1.7781519427402302E-3</v>
      </c>
      <c r="W73" s="442">
        <f t="shared" si="123"/>
        <v>2.5124258784918921E-3</v>
      </c>
      <c r="X73" s="442">
        <f t="shared" si="123"/>
        <v>3.0276510796149328E-3</v>
      </c>
      <c r="Y73" s="442">
        <f t="shared" si="123"/>
        <v>2.879467732891217E-3</v>
      </c>
      <c r="Z73" s="442">
        <f t="shared" si="123"/>
        <v>2.9896808685839832E-3</v>
      </c>
      <c r="AA73" s="442">
        <f t="shared" si="123"/>
        <v>1.5471518708735554E-3</v>
      </c>
      <c r="AB73" s="442">
        <f t="shared" si="123"/>
        <v>2.2762267303534757E-3</v>
      </c>
      <c r="AC73" s="442">
        <f t="shared" si="123"/>
        <v>2.1672151527232721E-3</v>
      </c>
      <c r="AD73" s="442"/>
      <c r="AE73" s="442"/>
      <c r="AF73" s="442">
        <f t="shared" si="124"/>
        <v>2.1337743666027501E-3</v>
      </c>
      <c r="AG73" s="1508">
        <f t="shared" si="125"/>
        <v>6.0344766034073405E-2</v>
      </c>
      <c r="AH73" s="1508">
        <f t="shared" si="98"/>
        <v>3.0102905179322649E-3</v>
      </c>
      <c r="AI73" s="1508">
        <f t="shared" si="98"/>
        <v>1.9914681450889644E-3</v>
      </c>
      <c r="AJ73" s="1508">
        <f t="shared" si="98"/>
        <v>2.0883460543406618E-3</v>
      </c>
      <c r="AK73" s="1508">
        <f t="shared" si="98"/>
        <v>1.5862170804354298E-3</v>
      </c>
      <c r="AL73" s="1508">
        <f t="shared" si="98"/>
        <v>2.0779309067402926E-3</v>
      </c>
      <c r="AM73" s="1508">
        <f t="shared" si="98"/>
        <v>2.4326964583606891E-3</v>
      </c>
      <c r="AN73" s="1508">
        <f t="shared" si="98"/>
        <v>3.4026576451808583E-3</v>
      </c>
      <c r="AO73" s="1508">
        <f t="shared" si="98"/>
        <v>3.1364178015359247E-3</v>
      </c>
      <c r="AP73" s="1508">
        <f t="shared" si="98"/>
        <v>3.2184175834797939E-3</v>
      </c>
      <c r="AQ73" s="1508">
        <f t="shared" si="98"/>
        <v>4.4344202549319632E-3</v>
      </c>
      <c r="AR73" s="1508">
        <f t="shared" si="99"/>
        <v>2.1150272623924721E-3</v>
      </c>
      <c r="AS73" s="1508">
        <f t="shared" si="99"/>
        <v>2.5050143522294148E-3</v>
      </c>
      <c r="AT73" s="1508"/>
      <c r="AU73" s="1508">
        <f t="shared" si="126"/>
        <v>8.2818258735924938E-2</v>
      </c>
      <c r="AV73" s="1508">
        <f t="shared" si="126"/>
        <v>8.7970545943766215E-2</v>
      </c>
      <c r="AW73" s="1508">
        <f t="shared" si="126"/>
        <v>4.4184172050135272E-2</v>
      </c>
      <c r="AX73" s="1508">
        <f t="shared" si="126"/>
        <v>8.1501785143039282E-2</v>
      </c>
      <c r="AY73" s="1508">
        <f t="shared" si="126"/>
        <v>0.1048695744218444</v>
      </c>
      <c r="AZ73" s="1508">
        <f t="shared" si="126"/>
        <v>0.10735032685887591</v>
      </c>
      <c r="BA73" s="1508" t="e">
        <f t="shared" si="126"/>
        <v>#DIV/0!</v>
      </c>
      <c r="BB73" s="1508" t="e">
        <f t="shared" si="126"/>
        <v>#DIV/0!</v>
      </c>
      <c r="BC73" s="1508" t="e">
        <f t="shared" si="126"/>
        <v>#DIV/0!</v>
      </c>
      <c r="BD73" s="1508" t="e">
        <f t="shared" si="126"/>
        <v>#DIV/0!</v>
      </c>
      <c r="BE73" s="1508" t="e">
        <f t="shared" si="126"/>
        <v>#DIV/0!</v>
      </c>
      <c r="BF73" s="1508" t="e">
        <f t="shared" si="126"/>
        <v>#DIV/0!</v>
      </c>
      <c r="BG73" s="1508" t="e">
        <f t="shared" si="126"/>
        <v>#DIV/0!</v>
      </c>
      <c r="BH73" s="1508">
        <f t="shared" si="126"/>
        <v>9.0127158877348235E-2</v>
      </c>
      <c r="BI73" s="1508">
        <f t="shared" si="126"/>
        <v>0.11384383671511566</v>
      </c>
      <c r="BJ73" s="1188"/>
      <c r="BL73" s="1508">
        <f t="shared" si="127"/>
        <v>0.11440967467187646</v>
      </c>
      <c r="BM73" s="1508">
        <f t="shared" si="127"/>
        <v>0.11155383995741668</v>
      </c>
      <c r="BN73" s="1508">
        <f t="shared" si="127"/>
        <v>0.11384383671511566</v>
      </c>
      <c r="BO73" s="1508">
        <f t="shared" si="127"/>
        <v>0.11356984432831635</v>
      </c>
      <c r="BP73" s="1508">
        <f t="shared" si="127"/>
        <v>0.11384383671511566</v>
      </c>
      <c r="BQ73" s="1508">
        <f t="shared" si="127"/>
        <v>0.11155619460618307</v>
      </c>
      <c r="BR73" s="1508">
        <f t="shared" si="127"/>
        <v>0.11475571741849341</v>
      </c>
      <c r="BS73" s="1508">
        <f t="shared" si="127"/>
        <v>0.11370532183571544</v>
      </c>
      <c r="BT73" s="1508">
        <f t="shared" si="127"/>
        <v>0.11409695899473626</v>
      </c>
      <c r="BU73" s="1508">
        <f t="shared" si="127"/>
        <v>0.11344572064430969</v>
      </c>
      <c r="BV73" s="1508">
        <f t="shared" si="127"/>
        <v>0.11502135565325844</v>
      </c>
      <c r="BW73" s="1508">
        <f t="shared" si="127"/>
        <v>0.11370532183571544</v>
      </c>
      <c r="BX73" s="1508">
        <f t="shared" si="127"/>
        <v>0.11366733650516331</v>
      </c>
    </row>
    <row r="74" spans="1:76">
      <c r="A74" s="422">
        <f t="shared" si="102"/>
        <v>11</v>
      </c>
      <c r="B74" s="422" t="s">
        <v>425</v>
      </c>
      <c r="C74" s="422" t="s">
        <v>433</v>
      </c>
      <c r="D74" s="1175" t="s">
        <v>831</v>
      </c>
      <c r="E74" s="422" t="s">
        <v>1252</v>
      </c>
      <c r="F74" s="442">
        <f t="shared" si="110"/>
        <v>1.7261001149665881E-3</v>
      </c>
      <c r="G74" s="442">
        <f t="shared" si="111"/>
        <v>3.9979744926147221E-3</v>
      </c>
      <c r="H74" s="442">
        <f t="shared" si="112"/>
        <v>3.1047927998863571E-3</v>
      </c>
      <c r="I74" s="442">
        <f t="shared" si="113"/>
        <v>5.2403476998236047E-4</v>
      </c>
      <c r="J74" s="442">
        <f t="shared" si="114"/>
        <v>4.3220909217153731E-3</v>
      </c>
      <c r="K74" s="442">
        <f t="shared" si="115"/>
        <v>6.7341491634549016E-3</v>
      </c>
      <c r="L74" s="442">
        <f t="shared" si="116"/>
        <v>4.0055527920299814E-3</v>
      </c>
      <c r="M74" s="442">
        <f t="shared" si="117"/>
        <v>2.4682771893483925E-3</v>
      </c>
      <c r="N74" s="442">
        <f t="shared" si="118"/>
        <v>2.547285371165968E-3</v>
      </c>
      <c r="O74" s="442">
        <f t="shared" si="119"/>
        <v>3.8041089394037766E-3</v>
      </c>
      <c r="P74" s="442">
        <f t="shared" si="120"/>
        <v>1.5675422529751611E-3</v>
      </c>
      <c r="Q74" s="442">
        <f t="shared" si="121"/>
        <v>3.1450061481561888E-3</v>
      </c>
      <c r="R74" s="1508">
        <f t="shared" si="122"/>
        <v>9.54571708654635E-2</v>
      </c>
      <c r="S74" s="442">
        <f t="shared" si="123"/>
        <v>1.4768281267498135E-3</v>
      </c>
      <c r="T74" s="442">
        <f t="shared" si="123"/>
        <v>1.1984875944889932E-3</v>
      </c>
      <c r="U74" s="442">
        <f t="shared" si="123"/>
        <v>1.1876835003263621E-3</v>
      </c>
      <c r="V74" s="442">
        <f t="shared" si="123"/>
        <v>5.818789249136991E-4</v>
      </c>
      <c r="W74" s="442">
        <f t="shared" si="123"/>
        <v>2.731455670340732E-3</v>
      </c>
      <c r="X74" s="442">
        <f t="shared" si="123"/>
        <v>1.4129225524307295E-3</v>
      </c>
      <c r="Y74" s="442">
        <f t="shared" si="123"/>
        <v>2.0115099976930253E-3</v>
      </c>
      <c r="Z74" s="442">
        <f t="shared" si="123"/>
        <v>2.9214398267865139E-3</v>
      </c>
      <c r="AA74" s="442">
        <f t="shared" si="123"/>
        <v>2.2570458794240961E-3</v>
      </c>
      <c r="AB74" s="442">
        <f t="shared" si="123"/>
        <v>1.4141721640444375E-3</v>
      </c>
      <c r="AC74" s="442">
        <f t="shared" si="123"/>
        <v>1.2680838407994372E-3</v>
      </c>
      <c r="AD74" s="442"/>
      <c r="AE74" s="442"/>
      <c r="AF74" s="442">
        <f t="shared" si="124"/>
        <v>1.5775538259889474E-3</v>
      </c>
      <c r="AG74" s="1508">
        <f t="shared" si="125"/>
        <v>4.4614425042056684E-2</v>
      </c>
      <c r="AH74" s="1508">
        <f t="shared" si="98"/>
        <v>7.7522374168089781E-4</v>
      </c>
      <c r="AI74" s="1508">
        <f t="shared" si="98"/>
        <v>9.894402947694214E-4</v>
      </c>
      <c r="AJ74" s="1508">
        <f t="shared" si="98"/>
        <v>1.4882105406596388E-3</v>
      </c>
      <c r="AK74" s="1508">
        <f t="shared" si="98"/>
        <v>1.7946846245254443E-3</v>
      </c>
      <c r="AL74" s="1508">
        <f t="shared" si="98"/>
        <v>1.3054281798432407E-3</v>
      </c>
      <c r="AM74" s="1508">
        <f t="shared" si="98"/>
        <v>1.2874148729584034E-3</v>
      </c>
      <c r="AN74" s="1508">
        <f t="shared" si="98"/>
        <v>1.4019845296500332E-3</v>
      </c>
      <c r="AO74" s="1508">
        <f t="shared" si="98"/>
        <v>1.4444202252460745E-3</v>
      </c>
      <c r="AP74" s="1508">
        <f t="shared" si="98"/>
        <v>1.1549457938467122E-3</v>
      </c>
      <c r="AQ74" s="1508">
        <f t="shared" si="98"/>
        <v>1.290850276529483E-3</v>
      </c>
      <c r="AR74" s="1508">
        <f t="shared" si="99"/>
        <v>1.4364995683950378E-3</v>
      </c>
      <c r="AS74" s="1508">
        <f t="shared" si="99"/>
        <v>1.2574815236222349E-3</v>
      </c>
      <c r="AT74" s="1508"/>
      <c r="AU74" s="1508">
        <f t="shared" si="126"/>
        <v>4.1214849257190316E-2</v>
      </c>
      <c r="AV74" s="1508">
        <f t="shared" si="126"/>
        <v>5.032482900665549E-2</v>
      </c>
      <c r="AW74" s="1508">
        <f t="shared" si="126"/>
        <v>4.0177918392137371E-2</v>
      </c>
      <c r="AX74" s="1508">
        <f t="shared" si="126"/>
        <v>4.7823731992300958E-2</v>
      </c>
      <c r="AY74" s="1508">
        <f t="shared" si="126"/>
        <v>4.1448323718171823E-2</v>
      </c>
      <c r="AZ74" s="1508">
        <f t="shared" si="126"/>
        <v>3.6779200330004161E-2</v>
      </c>
      <c r="BA74" s="1508" t="e">
        <f t="shared" si="126"/>
        <v>#DIV/0!</v>
      </c>
      <c r="BB74" s="1508" t="e">
        <f t="shared" si="126"/>
        <v>#DIV/0!</v>
      </c>
      <c r="BC74" s="1508" t="e">
        <f t="shared" si="126"/>
        <v>#DIV/0!</v>
      </c>
      <c r="BD74" s="1508" t="e">
        <f t="shared" si="126"/>
        <v>#DIV/0!</v>
      </c>
      <c r="BE74" s="1508" t="e">
        <f t="shared" si="126"/>
        <v>#DIV/0!</v>
      </c>
      <c r="BF74" s="1508" t="e">
        <f t="shared" si="126"/>
        <v>#DIV/0!</v>
      </c>
      <c r="BG74" s="1508" t="e">
        <f t="shared" si="126"/>
        <v>#DIV/0!</v>
      </c>
      <c r="BH74" s="1508">
        <f t="shared" si="126"/>
        <v>4.3438076882498504E-2</v>
      </c>
      <c r="BI74" s="1508">
        <f t="shared" si="126"/>
        <v>4.8152388078394753E-2</v>
      </c>
      <c r="BJ74" s="1188"/>
      <c r="BL74" s="1508">
        <f t="shared" si="127"/>
        <v>4.9463681792205325E-2</v>
      </c>
      <c r="BM74" s="1508">
        <f t="shared" si="127"/>
        <v>5.6212845385574875E-2</v>
      </c>
      <c r="BN74" s="1508">
        <f t="shared" si="127"/>
        <v>4.8152388078394753E-2</v>
      </c>
      <c r="BO74" s="1508">
        <f t="shared" si="127"/>
        <v>4.9367623650220613E-2</v>
      </c>
      <c r="BP74" s="1508">
        <f t="shared" si="127"/>
        <v>4.8152388078394753E-2</v>
      </c>
      <c r="BQ74" s="1508">
        <f t="shared" si="127"/>
        <v>4.9044746162332543E-2</v>
      </c>
      <c r="BR74" s="1508">
        <f t="shared" si="127"/>
        <v>4.7351428191412755E-2</v>
      </c>
      <c r="BS74" s="1508">
        <f t="shared" si="127"/>
        <v>4.6711010601117112E-2</v>
      </c>
      <c r="BT74" s="1508">
        <f t="shared" si="127"/>
        <v>4.8713186283964795E-2</v>
      </c>
      <c r="BU74" s="1508">
        <f t="shared" si="127"/>
        <v>4.6810886773702563E-2</v>
      </c>
      <c r="BV74" s="1508">
        <f t="shared" si="127"/>
        <v>4.8350557006172842E-2</v>
      </c>
      <c r="BW74" s="1508">
        <f t="shared" si="127"/>
        <v>4.6711010601117112E-2</v>
      </c>
      <c r="BX74" s="1508">
        <f t="shared" si="127"/>
        <v>4.8582850555846387E-2</v>
      </c>
    </row>
    <row r="75" spans="1:76">
      <c r="A75" s="422">
        <f t="shared" si="102"/>
        <v>12</v>
      </c>
      <c r="B75" s="422" t="s">
        <v>425</v>
      </c>
      <c r="C75" s="422" t="s">
        <v>438</v>
      </c>
      <c r="D75" s="1175" t="s">
        <v>832</v>
      </c>
      <c r="E75" s="422" t="s">
        <v>1252</v>
      </c>
      <c r="F75" s="442">
        <f t="shared" si="110"/>
        <v>4.2707036426157374E-3</v>
      </c>
      <c r="G75" s="442">
        <f t="shared" si="111"/>
        <v>3.0176016711053796E-3</v>
      </c>
      <c r="H75" s="442">
        <f t="shared" si="112"/>
        <v>2.3678259457689393E-3</v>
      </c>
      <c r="I75" s="442">
        <f t="shared" si="113"/>
        <v>2.4369445264354234E-3</v>
      </c>
      <c r="J75" s="442">
        <f t="shared" si="114"/>
        <v>2.6049807036574004E-3</v>
      </c>
      <c r="K75" s="442">
        <f t="shared" si="115"/>
        <v>1.9076616931618367E-3</v>
      </c>
      <c r="L75" s="442">
        <f t="shared" si="116"/>
        <v>1.8148991388947265E-3</v>
      </c>
      <c r="M75" s="442">
        <f t="shared" si="117"/>
        <v>2.0543230985387703E-3</v>
      </c>
      <c r="N75" s="442">
        <f t="shared" si="118"/>
        <v>2.3206635821472958E-3</v>
      </c>
      <c r="O75" s="442">
        <f t="shared" si="119"/>
        <v>1.9172186907230552E-3</v>
      </c>
      <c r="P75" s="442">
        <f t="shared" si="120"/>
        <v>2.1921084189534391E-3</v>
      </c>
      <c r="Q75" s="442">
        <f t="shared" si="121"/>
        <v>1.3535929672587022E-3</v>
      </c>
      <c r="R75" s="1508">
        <f t="shared" si="122"/>
        <v>6.5697715190336167E-2</v>
      </c>
      <c r="S75" s="442">
        <f t="shared" si="123"/>
        <v>1.1169052541304598E-3</v>
      </c>
      <c r="T75" s="442">
        <f t="shared" si="123"/>
        <v>1.3832039851073776E-3</v>
      </c>
      <c r="U75" s="442">
        <f t="shared" si="123"/>
        <v>1.0901564021492745E-3</v>
      </c>
      <c r="V75" s="442">
        <f t="shared" si="123"/>
        <v>1.2002064773045981E-3</v>
      </c>
      <c r="W75" s="442">
        <f t="shared" si="123"/>
        <v>1.076078029701593E-3</v>
      </c>
      <c r="X75" s="442">
        <f t="shared" si="123"/>
        <v>1.3629221049548416E-3</v>
      </c>
      <c r="Y75" s="442">
        <f t="shared" si="123"/>
        <v>1.5750117143313157E-3</v>
      </c>
      <c r="Z75" s="442">
        <f t="shared" si="123"/>
        <v>1.4004381191580965E-3</v>
      </c>
      <c r="AA75" s="442">
        <f t="shared" si="123"/>
        <v>1.064263070365273E-3</v>
      </c>
      <c r="AB75" s="442">
        <f t="shared" si="123"/>
        <v>1.0606442612998424E-3</v>
      </c>
      <c r="AC75" s="442">
        <f t="shared" si="123"/>
        <v>1.1233504168935366E-3</v>
      </c>
      <c r="AD75" s="442"/>
      <c r="AE75" s="442"/>
      <c r="AF75" s="442">
        <f t="shared" si="124"/>
        <v>1.1951830574859676E-3</v>
      </c>
      <c r="AG75" s="1508">
        <f t="shared" si="125"/>
        <v>3.3800688161189509E-2</v>
      </c>
      <c r="AH75" s="1508">
        <f t="shared" si="98"/>
        <v>1.3104327227428897E-3</v>
      </c>
      <c r="AI75" s="1508">
        <f t="shared" si="98"/>
        <v>1.4829532105925176E-3</v>
      </c>
      <c r="AJ75" s="1508">
        <f t="shared" si="98"/>
        <v>8.9337529826101557E-4</v>
      </c>
      <c r="AK75" s="1508">
        <f t="shared" si="98"/>
        <v>1.0021976567492564E-3</v>
      </c>
      <c r="AL75" s="1508">
        <f t="shared" si="98"/>
        <v>1.1710042579351314E-3</v>
      </c>
      <c r="AM75" s="1508">
        <f t="shared" si="98"/>
        <v>1.2455545069490069E-3</v>
      </c>
      <c r="AN75" s="1508">
        <f t="shared" si="98"/>
        <v>1.1993939111452836E-3</v>
      </c>
      <c r="AO75" s="1508">
        <f t="shared" si="98"/>
        <v>1.5061329766853217E-3</v>
      </c>
      <c r="AP75" s="1508">
        <f t="shared" si="98"/>
        <v>1.2928880494660158E-3</v>
      </c>
      <c r="AQ75" s="1508">
        <f t="shared" si="98"/>
        <v>1.7985073742117707E-3</v>
      </c>
      <c r="AR75" s="1508">
        <f t="shared" si="99"/>
        <v>1.6863391110740068E-3</v>
      </c>
      <c r="AS75" s="1508">
        <f t="shared" si="99"/>
        <v>1.2222935505473878E-3</v>
      </c>
      <c r="AT75" s="1508"/>
      <c r="AU75" s="1508">
        <f t="shared" si="126"/>
        <v>4.014621582572539E-2</v>
      </c>
      <c r="AV75" s="1508">
        <f t="shared" si="126"/>
        <v>3.8964302500279539E-2</v>
      </c>
      <c r="AW75" s="1508">
        <f t="shared" si="126"/>
        <v>4.3897741703936836E-2</v>
      </c>
      <c r="AX75" s="1508">
        <f t="shared" si="126"/>
        <v>2.4758423260347207E-2</v>
      </c>
      <c r="AY75" s="1508">
        <f t="shared" si="126"/>
        <v>2.8485416535954381E-2</v>
      </c>
      <c r="AZ75" s="1508">
        <f t="shared" si="126"/>
        <v>3.4816440753732171E-2</v>
      </c>
      <c r="BA75" s="1508" t="e">
        <f t="shared" si="126"/>
        <v>#DIV/0!</v>
      </c>
      <c r="BB75" s="1508" t="e">
        <f t="shared" si="126"/>
        <v>#DIV/0!</v>
      </c>
      <c r="BC75" s="1508" t="e">
        <f t="shared" si="126"/>
        <v>#DIV/0!</v>
      </c>
      <c r="BD75" s="1508" t="e">
        <f t="shared" si="126"/>
        <v>#DIV/0!</v>
      </c>
      <c r="BE75" s="1508" t="e">
        <f t="shared" si="126"/>
        <v>#DIV/0!</v>
      </c>
      <c r="BF75" s="1508" t="e">
        <f t="shared" si="126"/>
        <v>#DIV/0!</v>
      </c>
      <c r="BG75" s="1508" t="e">
        <f t="shared" si="126"/>
        <v>#DIV/0!</v>
      </c>
      <c r="BH75" s="1508">
        <f t="shared" si="126"/>
        <v>3.2312855447920626E-2</v>
      </c>
      <c r="BI75" s="1508">
        <f t="shared" si="126"/>
        <v>5.3434828906441509E-2</v>
      </c>
      <c r="BJ75" s="1188"/>
      <c r="BL75" s="1508">
        <f t="shared" si="127"/>
        <v>5.5651580176283195E-2</v>
      </c>
      <c r="BM75" s="1508">
        <f t="shared" si="127"/>
        <v>5.2627001418058567E-2</v>
      </c>
      <c r="BN75" s="1508">
        <f t="shared" si="127"/>
        <v>5.3100603039131493E-2</v>
      </c>
      <c r="BO75" s="1508">
        <f t="shared" si="127"/>
        <v>5.3051616981275578E-2</v>
      </c>
      <c r="BP75" s="1508">
        <f t="shared" si="127"/>
        <v>5.3434828906441509E-2</v>
      </c>
      <c r="BQ75" s="1508">
        <f t="shared" si="127"/>
        <v>5.2308184410685576E-2</v>
      </c>
      <c r="BR75" s="1508">
        <f t="shared" si="127"/>
        <v>5.2065835426605103E-2</v>
      </c>
      <c r="BS75" s="1508">
        <f t="shared" si="127"/>
        <v>5.1589260273958833E-2</v>
      </c>
      <c r="BT75" s="1508">
        <f t="shared" si="127"/>
        <v>5.1855753560780718E-2</v>
      </c>
      <c r="BU75" s="1508">
        <f t="shared" si="127"/>
        <v>5.1452175273333352E-2</v>
      </c>
      <c r="BV75" s="1508">
        <f t="shared" si="127"/>
        <v>5.2551291818796302E-2</v>
      </c>
      <c r="BW75" s="1508">
        <f t="shared" si="127"/>
        <v>5.1569914804851277E-2</v>
      </c>
      <c r="BX75" s="1508">
        <f t="shared" si="127"/>
        <v>5.2572473016616023E-2</v>
      </c>
    </row>
    <row r="76" spans="1:76">
      <c r="A76" s="422">
        <f t="shared" si="102"/>
        <v>13</v>
      </c>
      <c r="B76" s="422" t="s">
        <v>425</v>
      </c>
      <c r="C76" s="422" t="s">
        <v>433</v>
      </c>
      <c r="D76" s="1186" t="s">
        <v>833</v>
      </c>
      <c r="E76" s="422" t="s">
        <v>1252</v>
      </c>
      <c r="F76" s="442">
        <f t="shared" si="110"/>
        <v>2.2404445893427893E-3</v>
      </c>
      <c r="G76" s="442">
        <f t="shared" si="111"/>
        <v>1.8504222318367998E-3</v>
      </c>
      <c r="H76" s="442">
        <f t="shared" si="112"/>
        <v>1.6893539869727639E-3</v>
      </c>
      <c r="I76" s="442">
        <f t="shared" si="113"/>
        <v>2.4684451908982066E-3</v>
      </c>
      <c r="J76" s="442">
        <f t="shared" si="114"/>
        <v>1.7585474762020934E-3</v>
      </c>
      <c r="K76" s="442">
        <f t="shared" si="115"/>
        <v>2.849577711000785E-3</v>
      </c>
      <c r="L76" s="442">
        <f t="shared" si="116"/>
        <v>2.1960084467423598E-3</v>
      </c>
      <c r="M76" s="442">
        <f t="shared" si="117"/>
        <v>1.9877935512668163E-3</v>
      </c>
      <c r="N76" s="442">
        <f t="shared" si="118"/>
        <v>2.0817629758077823E-3</v>
      </c>
      <c r="O76" s="442">
        <f t="shared" si="119"/>
        <v>1.8769608146696687E-3</v>
      </c>
      <c r="P76" s="442">
        <f t="shared" si="120"/>
        <v>2.5632814634491004E-3</v>
      </c>
      <c r="Q76" s="442">
        <f t="shared" si="121"/>
        <v>1.4147583038259292E-3</v>
      </c>
      <c r="R76" s="1508">
        <f t="shared" si="122"/>
        <v>5.9936534083291283E-2</v>
      </c>
      <c r="S76" s="442">
        <f t="shared" si="123"/>
        <v>1.2244776019079979E-3</v>
      </c>
      <c r="T76" s="442">
        <f t="shared" si="123"/>
        <v>1.6393616525679419E-3</v>
      </c>
      <c r="U76" s="442">
        <f t="shared" si="123"/>
        <v>1.0804405710011329E-3</v>
      </c>
      <c r="V76" s="442">
        <f t="shared" si="123"/>
        <v>1.0210827404846226E-3</v>
      </c>
      <c r="W76" s="442">
        <f t="shared" si="123"/>
        <v>9.8703840186992946E-4</v>
      </c>
      <c r="X76" s="442">
        <f t="shared" si="123"/>
        <v>1.1236203665718533E-3</v>
      </c>
      <c r="Y76" s="442">
        <f t="shared" si="123"/>
        <v>1.5263470565391572E-3</v>
      </c>
      <c r="Z76" s="442">
        <f t="shared" si="123"/>
        <v>1.5156811003298393E-3</v>
      </c>
      <c r="AA76" s="442">
        <f t="shared" si="123"/>
        <v>1.4488979411228962E-3</v>
      </c>
      <c r="AB76" s="442">
        <f t="shared" si="123"/>
        <v>1.3490784456942034E-3</v>
      </c>
      <c r="AC76" s="442">
        <f t="shared" si="123"/>
        <v>1.2350736018551039E-3</v>
      </c>
      <c r="AD76" s="442"/>
      <c r="AE76" s="442"/>
      <c r="AF76" s="442">
        <f t="shared" si="124"/>
        <v>1.2794286192574999E-3</v>
      </c>
      <c r="AG76" s="1508">
        <f t="shared" si="125"/>
        <v>3.6183216883102241E-2</v>
      </c>
      <c r="AH76" s="1508">
        <f t="shared" si="98"/>
        <v>2.6681646554312811E-3</v>
      </c>
      <c r="AI76" s="1508">
        <f t="shared" si="98"/>
        <v>2.1692818710419681E-3</v>
      </c>
      <c r="AJ76" s="1508">
        <f t="shared" si="98"/>
        <v>1.5681384272635034E-3</v>
      </c>
      <c r="AK76" s="1508">
        <f t="shared" si="98"/>
        <v>1.7127079052324022E-3</v>
      </c>
      <c r="AL76" s="1508">
        <f t="shared" si="98"/>
        <v>1.5495730661975898E-3</v>
      </c>
      <c r="AM76" s="1508">
        <f t="shared" si="98"/>
        <v>1.8331970032734457E-3</v>
      </c>
      <c r="AN76" s="1508">
        <f t="shared" si="98"/>
        <v>1.6422133307310209E-3</v>
      </c>
      <c r="AO76" s="1508">
        <f t="shared" si="98"/>
        <v>1.7203169127539756E-3</v>
      </c>
      <c r="AP76" s="1508">
        <f t="shared" si="98"/>
        <v>1.6564558171664736E-3</v>
      </c>
      <c r="AQ76" s="1508">
        <f t="shared" si="98"/>
        <v>1.9391453925841741E-3</v>
      </c>
      <c r="AR76" s="1508">
        <f t="shared" si="99"/>
        <v>2.3529718530790459E-3</v>
      </c>
      <c r="AS76" s="1508">
        <f t="shared" si="99"/>
        <v>1.6603428834512737E-3</v>
      </c>
      <c r="AT76" s="1508"/>
      <c r="AU76" s="1508">
        <f t="shared" si="126"/>
        <v>5.6178083231437116E-2</v>
      </c>
      <c r="AV76" s="1508">
        <f t="shared" si="126"/>
        <v>5.7848970527729117E-2</v>
      </c>
      <c r="AW76" s="1508">
        <f t="shared" si="126"/>
        <v>8.049990834299596E-2</v>
      </c>
      <c r="AX76" s="1508">
        <f t="shared" si="126"/>
        <v>3.7697641470745689E-2</v>
      </c>
      <c r="AY76" s="1508">
        <f t="shared" si="126"/>
        <v>3.3932599230247072E-2</v>
      </c>
      <c r="AZ76" s="1508">
        <f t="shared" si="126"/>
        <v>4.0114710124636695E-2</v>
      </c>
      <c r="BA76" s="1508" t="e">
        <f t="shared" si="126"/>
        <v>#DIV/0!</v>
      </c>
      <c r="BB76" s="1508" t="e">
        <f t="shared" si="126"/>
        <v>#DIV/0!</v>
      </c>
      <c r="BC76" s="1508" t="e">
        <f t="shared" si="126"/>
        <v>#DIV/0!</v>
      </c>
      <c r="BD76" s="1508" t="e">
        <f t="shared" si="126"/>
        <v>#DIV/0!</v>
      </c>
      <c r="BE76" s="1508" t="e">
        <f t="shared" si="126"/>
        <v>#DIV/0!</v>
      </c>
      <c r="BF76" s="1508" t="e">
        <f t="shared" si="126"/>
        <v>#DIV/0!</v>
      </c>
      <c r="BG76" s="1508" t="e">
        <f t="shared" si="126"/>
        <v>#DIV/0!</v>
      </c>
      <c r="BH76" s="1508">
        <f t="shared" si="126"/>
        <v>4.5235353987576596E-2</v>
      </c>
      <c r="BI76" s="1508">
        <f t="shared" si="126"/>
        <v>4.1828291286604175E-2</v>
      </c>
      <c r="BJ76" s="1188"/>
      <c r="BL76" s="1508">
        <f t="shared" si="127"/>
        <v>4.0364166647458267E-2</v>
      </c>
      <c r="BM76" s="1508">
        <f t="shared" si="127"/>
        <v>5.1584613403851273E-2</v>
      </c>
      <c r="BN76" s="1508">
        <f t="shared" si="127"/>
        <v>4.1501905585113977E-2</v>
      </c>
      <c r="BO76" s="1508">
        <f t="shared" si="127"/>
        <v>4.3158952119157011E-2</v>
      </c>
      <c r="BP76" s="1508">
        <f t="shared" si="127"/>
        <v>4.1828291286604175E-2</v>
      </c>
      <c r="BQ76" s="1508">
        <f t="shared" si="127"/>
        <v>3.848100234723404E-2</v>
      </c>
      <c r="BR76" s="1508">
        <f t="shared" si="127"/>
        <v>3.8462537124772891E-2</v>
      </c>
      <c r="BS76" s="1508">
        <f t="shared" si="127"/>
        <v>3.634848273952708E-2</v>
      </c>
      <c r="BT76" s="1508">
        <f t="shared" si="127"/>
        <v>3.6722823109804827E-2</v>
      </c>
      <c r="BU76" s="1508">
        <f t="shared" si="127"/>
        <v>3.6656737149467288E-2</v>
      </c>
      <c r="BV76" s="1508">
        <f t="shared" si="127"/>
        <v>3.7388779580123467E-2</v>
      </c>
      <c r="BW76" s="1508">
        <f t="shared" si="127"/>
        <v>3.5405376855286046E-2</v>
      </c>
      <c r="BX76" s="1508">
        <f t="shared" si="127"/>
        <v>3.9532943698539276E-2</v>
      </c>
    </row>
    <row r="77" spans="1:76">
      <c r="A77" s="422">
        <f t="shared" si="102"/>
        <v>14</v>
      </c>
      <c r="B77" s="422" t="s">
        <v>425</v>
      </c>
      <c r="C77" s="422" t="s">
        <v>429</v>
      </c>
      <c r="D77" s="1175" t="s">
        <v>834</v>
      </c>
      <c r="E77" s="422" t="s">
        <v>1252</v>
      </c>
      <c r="F77" s="442">
        <f t="shared" si="110"/>
        <v>0</v>
      </c>
      <c r="G77" s="442">
        <f t="shared" si="111"/>
        <v>0</v>
      </c>
      <c r="H77" s="442">
        <f t="shared" si="112"/>
        <v>1.3808168365954466E-3</v>
      </c>
      <c r="I77" s="442">
        <f t="shared" si="113"/>
        <v>1.4268037123401688E-3</v>
      </c>
      <c r="J77" s="442">
        <f t="shared" si="114"/>
        <v>9.5275661871449373E-4</v>
      </c>
      <c r="K77" s="442">
        <f t="shared" si="115"/>
        <v>5.1348662132724493E-3</v>
      </c>
      <c r="L77" s="442">
        <f t="shared" si="116"/>
        <v>2.0105071340536817E-3</v>
      </c>
      <c r="M77" s="442">
        <f t="shared" si="117"/>
        <v>1.562803138065644E-3</v>
      </c>
      <c r="N77" s="442">
        <f t="shared" si="118"/>
        <v>0</v>
      </c>
      <c r="O77" s="442">
        <f t="shared" si="119"/>
        <v>3.8615910014167961E-3</v>
      </c>
      <c r="P77" s="442">
        <f t="shared" si="120"/>
        <v>2.719667921924138E-3</v>
      </c>
      <c r="Q77" s="442">
        <f t="shared" si="121"/>
        <v>2.1082816837257479E-3</v>
      </c>
      <c r="R77" s="1508">
        <f>R17/R$56</f>
        <v>5.9386451146125237E-2</v>
      </c>
      <c r="S77" s="442">
        <f t="shared" si="123"/>
        <v>1.6217270032300504E-3</v>
      </c>
      <c r="T77" s="442">
        <f t="shared" si="123"/>
        <v>1.19556472387988E-3</v>
      </c>
      <c r="U77" s="442">
        <f t="shared" si="123"/>
        <v>8.1143212049738025E-4</v>
      </c>
      <c r="V77" s="442">
        <f t="shared" si="123"/>
        <v>8.7099667007623719E-4</v>
      </c>
      <c r="W77" s="442">
        <f t="shared" si="123"/>
        <v>8.247387353023174E-4</v>
      </c>
      <c r="X77" s="442">
        <f t="shared" si="123"/>
        <v>2.0164256104993634E-3</v>
      </c>
      <c r="Y77" s="442">
        <f t="shared" si="123"/>
        <v>1.4340496517704037E-3</v>
      </c>
      <c r="Z77" s="442">
        <f t="shared" si="123"/>
        <v>8.1375687100812659E-3</v>
      </c>
      <c r="AA77" s="442">
        <f t="shared" si="123"/>
        <v>5.1141506663563083E-3</v>
      </c>
      <c r="AB77" s="442">
        <f t="shared" si="123"/>
        <v>3.3373966738624353E-3</v>
      </c>
      <c r="AC77" s="442">
        <f t="shared" si="123"/>
        <v>3.3081969527681103E-3</v>
      </c>
      <c r="AD77" s="442"/>
      <c r="AE77" s="442"/>
      <c r="AF77" s="442">
        <f t="shared" si="124"/>
        <v>2.6284708532427884E-3</v>
      </c>
      <c r="AG77" s="1508">
        <f>AG17/AG$56</f>
        <v>9.4073795724384041E-2</v>
      </c>
      <c r="AH77" s="1508">
        <f t="shared" si="98"/>
        <v>3.5668174795276172E-3</v>
      </c>
      <c r="AI77" s="1508">
        <f t="shared" si="98"/>
        <v>5.290502605221215E-3</v>
      </c>
      <c r="AJ77" s="1508">
        <f t="shared" si="98"/>
        <v>2.158498148808358E-3</v>
      </c>
      <c r="AK77" s="1508">
        <f t="shared" si="98"/>
        <v>2.5809218366624441E-3</v>
      </c>
      <c r="AL77" s="1508">
        <f t="shared" si="98"/>
        <v>1.902804035256591E-3</v>
      </c>
      <c r="AM77" s="1508">
        <f t="shared" si="98"/>
        <v>3.8248779210891116E-3</v>
      </c>
      <c r="AN77" s="1508">
        <f t="shared" si="98"/>
        <v>2.5263008440678338E-3</v>
      </c>
      <c r="AO77" s="1508">
        <f t="shared" si="98"/>
        <v>7.2372421571839591E-3</v>
      </c>
      <c r="AP77" s="1508">
        <f t="shared" si="98"/>
        <v>4.2274218700168445E-3</v>
      </c>
      <c r="AQ77" s="1508">
        <f t="shared" si="98"/>
        <v>6.2189796787226843E-3</v>
      </c>
      <c r="AR77" s="1508">
        <f t="shared" si="99"/>
        <v>6.3241313188530743E-3</v>
      </c>
      <c r="AS77" s="1508">
        <f t="shared" si="99"/>
        <v>4.8546425620091529E-3</v>
      </c>
      <c r="AT77" s="1508"/>
      <c r="AU77" s="1508">
        <f>AU17/AU$56</f>
        <v>0.1245574889826659</v>
      </c>
      <c r="AV77" s="1508">
        <f>AV17/AV$56</f>
        <v>8.4025505679535428E-2</v>
      </c>
      <c r="AW77" s="1508">
        <f t="shared" ref="AW77:BH77" si="128">AW17/AW$56</f>
        <v>7.5821186074050667E-2</v>
      </c>
      <c r="AX77" s="1508">
        <f t="shared" si="128"/>
        <v>9.6984427789767375E-2</v>
      </c>
      <c r="AY77" s="1508">
        <f t="shared" si="128"/>
        <v>0.15946206619623823</v>
      </c>
      <c r="AZ77" s="1508">
        <f t="shared" si="128"/>
        <v>0.11634465576531687</v>
      </c>
      <c r="BA77" s="1508" t="e">
        <f t="shared" si="128"/>
        <v>#DIV/0!</v>
      </c>
      <c r="BB77" s="1508" t="e">
        <f t="shared" si="128"/>
        <v>#DIV/0!</v>
      </c>
      <c r="BC77" s="1508" t="e">
        <f t="shared" si="128"/>
        <v>#DIV/0!</v>
      </c>
      <c r="BD77" s="1508" t="e">
        <f t="shared" si="128"/>
        <v>#DIV/0!</v>
      </c>
      <c r="BE77" s="1508" t="e">
        <f t="shared" si="128"/>
        <v>#DIV/0!</v>
      </c>
      <c r="BF77" s="1508" t="e">
        <f t="shared" si="128"/>
        <v>#DIV/0!</v>
      </c>
      <c r="BG77" s="1508" t="e">
        <f t="shared" si="128"/>
        <v>#DIV/0!</v>
      </c>
      <c r="BH77" s="1508">
        <f t="shared" si="128"/>
        <v>0.10976697861269297</v>
      </c>
      <c r="BI77" s="1508">
        <f>BI17/BI$56</f>
        <v>3.6062428353573713E-2</v>
      </c>
      <c r="BJ77" s="1188"/>
      <c r="BL77" s="1508">
        <f>BL17/BL$56</f>
        <v>3.4303362762274116E-2</v>
      </c>
      <c r="BM77" s="1508">
        <f t="shared" ref="BM77:BX77" si="129">BM17/BM$56</f>
        <v>3.4828211910122642E-2</v>
      </c>
      <c r="BN77" s="1508">
        <f t="shared" si="129"/>
        <v>3.1655150217874274E-2</v>
      </c>
      <c r="BO77" s="1508">
        <f t="shared" si="129"/>
        <v>4.6256336197086342E-2</v>
      </c>
      <c r="BP77" s="1508">
        <f t="shared" si="129"/>
        <v>3.6062428353573713E-2</v>
      </c>
      <c r="BQ77" s="1508">
        <f t="shared" si="129"/>
        <v>4.6182517432745894E-2</v>
      </c>
      <c r="BR77" s="1508">
        <f t="shared" si="129"/>
        <v>3.5862121291712824E-2</v>
      </c>
      <c r="BS77" s="1508">
        <f t="shared" si="129"/>
        <v>4.7492377726768495E-2</v>
      </c>
      <c r="BT77" s="1508">
        <f t="shared" si="129"/>
        <v>3.5220703269124701E-2</v>
      </c>
      <c r="BU77" s="1508">
        <f t="shared" si="129"/>
        <v>4.8496249199328406E-2</v>
      </c>
      <c r="BV77" s="1508">
        <f t="shared" si="129"/>
        <v>3.5831268698981469E-2</v>
      </c>
      <c r="BW77" s="1508">
        <f t="shared" si="129"/>
        <v>3.583899109178304E-2</v>
      </c>
      <c r="BX77" s="1508">
        <f t="shared" si="129"/>
        <v>3.8960672322769417E-2</v>
      </c>
    </row>
    <row r="78" spans="1:76">
      <c r="A78" s="422">
        <f t="shared" si="102"/>
        <v>15</v>
      </c>
      <c r="B78" s="422" t="s">
        <v>425</v>
      </c>
      <c r="C78" s="1175" t="s">
        <v>437</v>
      </c>
      <c r="D78" s="1175" t="s">
        <v>835</v>
      </c>
      <c r="E78" s="422" t="s">
        <v>1252</v>
      </c>
      <c r="F78" s="442">
        <f t="shared" si="110"/>
        <v>2.6754033280099419E-3</v>
      </c>
      <c r="G78" s="442">
        <f t="shared" si="111"/>
        <v>2.4177067680408743E-3</v>
      </c>
      <c r="H78" s="442">
        <f t="shared" si="112"/>
        <v>2.7998470322064864E-3</v>
      </c>
      <c r="I78" s="442">
        <f t="shared" si="113"/>
        <v>2.2006641856401918E-3</v>
      </c>
      <c r="J78" s="442">
        <f t="shared" si="114"/>
        <v>2.7230105812094752E-3</v>
      </c>
      <c r="K78" s="442">
        <f t="shared" si="115"/>
        <v>3.6829212156868382E-3</v>
      </c>
      <c r="L78" s="442">
        <f t="shared" si="116"/>
        <v>2.228391432806353E-3</v>
      </c>
      <c r="M78" s="442">
        <f t="shared" si="117"/>
        <v>1.4742799475748164E-3</v>
      </c>
      <c r="N78" s="442">
        <f t="shared" si="118"/>
        <v>1.0570298168288024E-3</v>
      </c>
      <c r="O78" s="442">
        <f t="shared" si="119"/>
        <v>8.7662283489793418E-4</v>
      </c>
      <c r="P78" s="442">
        <f t="shared" si="120"/>
        <v>9.6621878632902666E-4</v>
      </c>
      <c r="Q78" s="442">
        <f t="shared" si="121"/>
        <v>1.201963078210355E-3</v>
      </c>
      <c r="R78" s="1508">
        <f>R18/R$55</f>
        <v>5.7261738267998713E-2</v>
      </c>
      <c r="S78" s="442">
        <f t="shared" si="123"/>
        <v>6.017981843148858E-4</v>
      </c>
      <c r="T78" s="442">
        <f t="shared" si="123"/>
        <v>7.9817980023279907E-4</v>
      </c>
      <c r="U78" s="442">
        <f t="shared" si="123"/>
        <v>5.6136908915695779E-4</v>
      </c>
      <c r="V78" s="442">
        <f t="shared" si="123"/>
        <v>7.1987557097846473E-4</v>
      </c>
      <c r="W78" s="442">
        <f t="shared" si="123"/>
        <v>1.496974370148147E-3</v>
      </c>
      <c r="X78" s="442">
        <f t="shared" si="123"/>
        <v>8.3949178213314855E-4</v>
      </c>
      <c r="Y78" s="442">
        <f t="shared" si="123"/>
        <v>1.1257791093974108E-3</v>
      </c>
      <c r="Z78" s="442">
        <f t="shared" si="123"/>
        <v>1.0236453352768763E-3</v>
      </c>
      <c r="AA78" s="442">
        <f t="shared" si="123"/>
        <v>6.437248760497844E-4</v>
      </c>
      <c r="AB78" s="442">
        <f t="shared" si="123"/>
        <v>7.3068117402500887E-4</v>
      </c>
      <c r="AC78" s="442">
        <f t="shared" si="123"/>
        <v>5.9529017821097424E-4</v>
      </c>
      <c r="AD78" s="442"/>
      <c r="AE78" s="442"/>
      <c r="AF78" s="442">
        <f t="shared" si="124"/>
        <v>8.0288392022360023E-4</v>
      </c>
      <c r="AG78" s="1508">
        <f>AG18/AG$55</f>
        <v>2.2706169441688132E-2</v>
      </c>
      <c r="AH78" s="1508">
        <f t="shared" si="98"/>
        <v>6.5311510423180863E-4</v>
      </c>
      <c r="AI78" s="1508">
        <f t="shared" si="98"/>
        <v>5.6068017667524857E-4</v>
      </c>
      <c r="AJ78" s="1508">
        <f t="shared" si="98"/>
        <v>5.0534686807842354E-4</v>
      </c>
      <c r="AK78" s="1508">
        <f t="shared" si="98"/>
        <v>8.0526256323583585E-4</v>
      </c>
      <c r="AL78" s="1508">
        <f t="shared" si="98"/>
        <v>5.9952603349309997E-4</v>
      </c>
      <c r="AM78" s="1508">
        <f t="shared" si="98"/>
        <v>5.68693966907855E-4</v>
      </c>
      <c r="AN78" s="1508">
        <f t="shared" si="98"/>
        <v>9.9712806957571033E-4</v>
      </c>
      <c r="AO78" s="1508">
        <f t="shared" si="98"/>
        <v>6.8260968450895943E-4</v>
      </c>
      <c r="AP78" s="1508">
        <f t="shared" si="98"/>
        <v>1.0154404421406902E-3</v>
      </c>
      <c r="AQ78" s="1508">
        <f t="shared" si="98"/>
        <v>1.2998723387670043E-3</v>
      </c>
      <c r="AR78" s="1508">
        <f t="shared" si="99"/>
        <v>6.4895913666218271E-4</v>
      </c>
      <c r="AS78" s="1508">
        <f t="shared" si="99"/>
        <v>7.1488832413705119E-4</v>
      </c>
      <c r="AT78" s="1508"/>
      <c r="AU78" s="1508">
        <f t="shared" ref="AU78:BI81" si="130">AU18/AU$55</f>
        <v>2.3539575467960615E-2</v>
      </c>
      <c r="AV78" s="1508">
        <f t="shared" si="130"/>
        <v>2.4412645084304661E-2</v>
      </c>
      <c r="AW78" s="1508">
        <f t="shared" si="130"/>
        <v>2.2889018828336369E-2</v>
      </c>
      <c r="AX78" s="1508">
        <f t="shared" si="130"/>
        <v>2.320619541258314E-2</v>
      </c>
      <c r="AY78" s="1508">
        <f t="shared" si="130"/>
        <v>2.5077589211908221E-2</v>
      </c>
      <c r="AZ78" s="1508">
        <f t="shared" si="130"/>
        <v>2.3418515192828088E-2</v>
      </c>
      <c r="BA78" s="1508" t="e">
        <f t="shared" si="130"/>
        <v>#DIV/0!</v>
      </c>
      <c r="BB78" s="1508" t="e">
        <f t="shared" si="130"/>
        <v>#DIV/0!</v>
      </c>
      <c r="BC78" s="1508" t="e">
        <f t="shared" si="130"/>
        <v>#DIV/0!</v>
      </c>
      <c r="BD78" s="1508" t="e">
        <f t="shared" si="130"/>
        <v>#DIV/0!</v>
      </c>
      <c r="BE78" s="1508" t="e">
        <f t="shared" si="130"/>
        <v>#DIV/0!</v>
      </c>
      <c r="BF78" s="1508" t="e">
        <f t="shared" si="130"/>
        <v>#DIV/0!</v>
      </c>
      <c r="BG78" s="1508" t="e">
        <f t="shared" si="130"/>
        <v>#DIV/0!</v>
      </c>
      <c r="BH78" s="1508">
        <f t="shared" si="130"/>
        <v>2.3905142377902151E-2</v>
      </c>
      <c r="BI78" s="1508">
        <f t="shared" si="130"/>
        <v>2.9519560691596305E-2</v>
      </c>
      <c r="BJ78" s="1188"/>
      <c r="BL78" s="1508">
        <f t="shared" ref="BL78:BX81" si="131">BL18/BL$55</f>
        <v>2.9799893569321535E-2</v>
      </c>
      <c r="BM78" s="1508">
        <f t="shared" si="131"/>
        <v>4.0095093703133022E-2</v>
      </c>
      <c r="BN78" s="1508">
        <f t="shared" si="131"/>
        <v>3.0378905975070369E-2</v>
      </c>
      <c r="BO78" s="1508">
        <f t="shared" si="131"/>
        <v>2.9186658307260333E-2</v>
      </c>
      <c r="BP78" s="1508">
        <f t="shared" si="131"/>
        <v>2.9519560691596305E-2</v>
      </c>
      <c r="BQ78" s="1508">
        <f t="shared" si="131"/>
        <v>3.1516918502758083E-2</v>
      </c>
      <c r="BR78" s="1508">
        <f t="shared" si="131"/>
        <v>2.9046319923017708E-2</v>
      </c>
      <c r="BS78" s="1508">
        <f t="shared" si="131"/>
        <v>3.055390509534707E-2</v>
      </c>
      <c r="BT78" s="1508">
        <f t="shared" si="131"/>
        <v>2.8130557765021054E-2</v>
      </c>
      <c r="BU78" s="1508">
        <f t="shared" si="131"/>
        <v>3.0484147321156778E-2</v>
      </c>
      <c r="BV78" s="1508">
        <f t="shared" si="131"/>
        <v>2.8071890108024695E-2</v>
      </c>
      <c r="BW78" s="1508">
        <f t="shared" si="131"/>
        <v>2.6969926559877958E-2</v>
      </c>
      <c r="BX78" s="1508">
        <f t="shared" si="131"/>
        <v>3.0105657043999999E-2</v>
      </c>
    </row>
    <row r="79" spans="1:76">
      <c r="A79" s="422">
        <f t="shared" si="102"/>
        <v>16</v>
      </c>
      <c r="B79" s="422" t="s">
        <v>425</v>
      </c>
      <c r="C79" s="422" t="s">
        <v>433</v>
      </c>
      <c r="D79" s="1175" t="s">
        <v>836</v>
      </c>
      <c r="E79" s="422" t="s">
        <v>1252</v>
      </c>
      <c r="F79" s="442">
        <f t="shared" si="110"/>
        <v>1.1328114166539705E-3</v>
      </c>
      <c r="G79" s="442">
        <f t="shared" si="111"/>
        <v>2.5279652857112074E-3</v>
      </c>
      <c r="H79" s="442">
        <f t="shared" si="112"/>
        <v>5.074842028981231E-4</v>
      </c>
      <c r="I79" s="442">
        <f t="shared" si="113"/>
        <v>3.1583121076912911E-3</v>
      </c>
      <c r="J79" s="442">
        <f t="shared" si="114"/>
        <v>1.6904592384637577E-3</v>
      </c>
      <c r="K79" s="442">
        <f t="shared" si="115"/>
        <v>8.2806774090689382E-4</v>
      </c>
      <c r="L79" s="442">
        <f t="shared" si="116"/>
        <v>1.3675329004743872E-3</v>
      </c>
      <c r="M79" s="442">
        <f t="shared" si="117"/>
        <v>6.1629832601430565E-4</v>
      </c>
      <c r="N79" s="442">
        <f t="shared" si="118"/>
        <v>9.020601863893652E-4</v>
      </c>
      <c r="O79" s="442">
        <f t="shared" si="119"/>
        <v>2.0274812680064232E-4</v>
      </c>
      <c r="P79" s="442">
        <f t="shared" si="120"/>
        <v>3.4034565926484067E-4</v>
      </c>
      <c r="Q79" s="442">
        <f t="shared" si="121"/>
        <v>4.178386842219853E-4</v>
      </c>
      <c r="R79" s="1508">
        <f>R19/R$55</f>
        <v>3.1169701903222938E-2</v>
      </c>
      <c r="S79" s="442">
        <f t="shared" si="123"/>
        <v>3.4654862578018376E-4</v>
      </c>
      <c r="T79" s="442">
        <f t="shared" si="123"/>
        <v>2.1429253362496931E-4</v>
      </c>
      <c r="U79" s="442">
        <f t="shared" si="123"/>
        <v>2.0848989470884872E-4</v>
      </c>
      <c r="V79" s="442">
        <f t="shared" si="123"/>
        <v>4.2258931519793737E-4</v>
      </c>
      <c r="W79" s="442">
        <f t="shared" si="123"/>
        <v>9.300229143492329E-4</v>
      </c>
      <c r="X79" s="442">
        <f t="shared" si="123"/>
        <v>3.8249991689671335E-4</v>
      </c>
      <c r="Y79" s="442">
        <f t="shared" si="123"/>
        <v>1.9913402444557116E-3</v>
      </c>
      <c r="Z79" s="442">
        <f t="shared" si="123"/>
        <v>6.9464916244797584E-4</v>
      </c>
      <c r="AA79" s="442">
        <f t="shared" si="123"/>
        <v>8.2312892357391603E-4</v>
      </c>
      <c r="AB79" s="442">
        <f t="shared" si="123"/>
        <v>5.8869657380316383E-4</v>
      </c>
      <c r="AC79" s="442">
        <f t="shared" si="123"/>
        <v>3.0250242641594635E-4</v>
      </c>
      <c r="AD79" s="442"/>
      <c r="AE79" s="442"/>
      <c r="AF79" s="442">
        <f t="shared" si="124"/>
        <v>6.5800257996476749E-4</v>
      </c>
      <c r="AG79" s="1508">
        <f>AG19/AG$55</f>
        <v>1.8608814670976373E-2</v>
      </c>
      <c r="AH79" s="1508">
        <f t="shared" si="98"/>
        <v>1.2037901879538482E-3</v>
      </c>
      <c r="AI79" s="1508">
        <f t="shared" si="98"/>
        <v>1.0707311062743915E-3</v>
      </c>
      <c r="AJ79" s="1508">
        <f t="shared" si="98"/>
        <v>6.2409340485114007E-4</v>
      </c>
      <c r="AK79" s="1508">
        <f t="shared" si="98"/>
        <v>5.9344355157983717E-4</v>
      </c>
      <c r="AL79" s="1508">
        <f t="shared" si="98"/>
        <v>5.9154330537861339E-4</v>
      </c>
      <c r="AM79" s="1508">
        <f t="shared" si="98"/>
        <v>4.1569657724481858E-4</v>
      </c>
      <c r="AN79" s="1508">
        <f t="shared" si="98"/>
        <v>4.7348494455398677E-4</v>
      </c>
      <c r="AO79" s="1508">
        <f t="shared" si="98"/>
        <v>4.9830645438031474E-4</v>
      </c>
      <c r="AP79" s="1508">
        <f t="shared" si="98"/>
        <v>7.4593497190304238E-4</v>
      </c>
      <c r="AQ79" s="1508">
        <f t="shared" si="98"/>
        <v>1.2311514874762063E-3</v>
      </c>
      <c r="AR79" s="1508">
        <f t="shared" si="99"/>
        <v>2.471488760095853E-3</v>
      </c>
      <c r="AS79" s="1508">
        <f t="shared" si="99"/>
        <v>1.3854736237749418E-3</v>
      </c>
      <c r="AT79" s="1508"/>
      <c r="AU79" s="1508">
        <f t="shared" si="130"/>
        <v>2.6601356479370879E-2</v>
      </c>
      <c r="AV79" s="1508">
        <f t="shared" si="130"/>
        <v>1.7103433357936189E-2</v>
      </c>
      <c r="AW79" s="1508">
        <f t="shared" si="130"/>
        <v>3.0966979736071994E-2</v>
      </c>
      <c r="AX79" s="1508">
        <f t="shared" si="130"/>
        <v>7.9836943149053565E-3</v>
      </c>
      <c r="AY79" s="1508">
        <f t="shared" si="130"/>
        <v>3.0702026462619585E-2</v>
      </c>
      <c r="AZ79" s="1508">
        <f t="shared" si="130"/>
        <v>1.0178977710802126E-2</v>
      </c>
      <c r="BA79" s="1508" t="e">
        <f t="shared" si="130"/>
        <v>#DIV/0!</v>
      </c>
      <c r="BB79" s="1508" t="e">
        <f t="shared" si="130"/>
        <v>#DIV/0!</v>
      </c>
      <c r="BC79" s="1508" t="e">
        <f t="shared" si="130"/>
        <v>#DIV/0!</v>
      </c>
      <c r="BD79" s="1508" t="e">
        <f t="shared" si="130"/>
        <v>#DIV/0!</v>
      </c>
      <c r="BE79" s="1508" t="e">
        <f t="shared" si="130"/>
        <v>#DIV/0!</v>
      </c>
      <c r="BF79" s="1508" t="e">
        <f t="shared" si="130"/>
        <v>#DIV/0!</v>
      </c>
      <c r="BG79" s="1508" t="e">
        <f t="shared" si="130"/>
        <v>#DIV/0!</v>
      </c>
      <c r="BH79" s="1508">
        <f t="shared" si="130"/>
        <v>1.8322713494329835E-2</v>
      </c>
      <c r="BI79" s="1508">
        <f t="shared" si="130"/>
        <v>1.0706339632757002E-2</v>
      </c>
      <c r="BJ79" s="1188"/>
      <c r="BL79" s="1508">
        <f t="shared" si="131"/>
        <v>1.2483226134288513E-2</v>
      </c>
      <c r="BM79" s="1508">
        <f t="shared" si="131"/>
        <v>2.1040418909433305E-2</v>
      </c>
      <c r="BN79" s="1508">
        <f t="shared" si="131"/>
        <v>1.3727662089532223E-2</v>
      </c>
      <c r="BO79" s="1508">
        <f t="shared" si="131"/>
        <v>8.5024735927262986E-3</v>
      </c>
      <c r="BP79" s="1508">
        <f t="shared" si="131"/>
        <v>1.0706339632757002E-2</v>
      </c>
      <c r="BQ79" s="1508">
        <f t="shared" si="131"/>
        <v>1.1454557394273705E-2</v>
      </c>
      <c r="BR79" s="1508">
        <f t="shared" si="131"/>
        <v>9.0248909417500623E-3</v>
      </c>
      <c r="BS79" s="1508">
        <f t="shared" si="131"/>
        <v>6.997203152809558E-3</v>
      </c>
      <c r="BT79" s="1508">
        <f t="shared" si="131"/>
        <v>6.2681464472509234E-3</v>
      </c>
      <c r="BU79" s="1508">
        <f t="shared" si="131"/>
        <v>1.626826484018264E-2</v>
      </c>
      <c r="BV79" s="1508">
        <f t="shared" si="131"/>
        <v>6.4351851851851783E-3</v>
      </c>
      <c r="BW79" s="1508">
        <f t="shared" si="131"/>
        <v>5.6178489702517096E-3</v>
      </c>
      <c r="BX79" s="1508">
        <f t="shared" si="131"/>
        <v>1.0465302894999993E-2</v>
      </c>
    </row>
    <row r="80" spans="1:76">
      <c r="A80" s="422">
        <f t="shared" si="102"/>
        <v>17</v>
      </c>
      <c r="B80" s="422" t="s">
        <v>425</v>
      </c>
      <c r="C80" s="422" t="s">
        <v>433</v>
      </c>
      <c r="D80" s="1175" t="s">
        <v>837</v>
      </c>
      <c r="E80" s="422" t="s">
        <v>1252</v>
      </c>
      <c r="F80" s="442">
        <f t="shared" si="110"/>
        <v>2.0598196826421677E-3</v>
      </c>
      <c r="G80" s="442">
        <f t="shared" si="111"/>
        <v>4.8756207785693025E-4</v>
      </c>
      <c r="H80" s="442">
        <f t="shared" si="112"/>
        <v>0</v>
      </c>
      <c r="I80" s="442">
        <f t="shared" si="113"/>
        <v>0</v>
      </c>
      <c r="J80" s="442">
        <f t="shared" si="114"/>
        <v>1.2867336716248343E-3</v>
      </c>
      <c r="K80" s="442">
        <f t="shared" si="115"/>
        <v>1.3127126072598125E-3</v>
      </c>
      <c r="L80" s="442">
        <f t="shared" si="116"/>
        <v>7.4518907599800753E-4</v>
      </c>
      <c r="M80" s="442">
        <f t="shared" si="117"/>
        <v>5.7615440683691534E-4</v>
      </c>
      <c r="N80" s="442">
        <f t="shared" si="118"/>
        <v>5.1355567570306269E-4</v>
      </c>
      <c r="O80" s="442">
        <f t="shared" si="119"/>
        <v>1.5850766493391273E-3</v>
      </c>
      <c r="P80" s="442">
        <f t="shared" si="120"/>
        <v>1.8185611095754744E-3</v>
      </c>
      <c r="Q80" s="442">
        <f t="shared" si="121"/>
        <v>1.4563483550236629E-3</v>
      </c>
      <c r="R80" s="1508">
        <f>R20/R$55</f>
        <v>2.9423157722868114E-2</v>
      </c>
      <c r="S80" s="442">
        <f t="shared" si="123"/>
        <v>7.0714515179790037E-4</v>
      </c>
      <c r="T80" s="442">
        <f t="shared" si="123"/>
        <v>3.1233691791641294E-4</v>
      </c>
      <c r="U80" s="442">
        <f t="shared" si="123"/>
        <v>1.2483249876195674E-4</v>
      </c>
      <c r="V80" s="442">
        <f t="shared" si="123"/>
        <v>1.0755517165593322E-4</v>
      </c>
      <c r="W80" s="442">
        <f t="shared" si="123"/>
        <v>2.5342381990459324E-4</v>
      </c>
      <c r="X80" s="442">
        <f t="shared" si="123"/>
        <v>8.4714376967870401E-5</v>
      </c>
      <c r="Y80" s="442">
        <f t="shared" si="123"/>
        <v>2.811359811413174E-4</v>
      </c>
      <c r="Z80" s="442">
        <f t="shared" si="123"/>
        <v>2.8852245543307253E-4</v>
      </c>
      <c r="AA80" s="442">
        <f t="shared" si="123"/>
        <v>1.2335871998652665E-4</v>
      </c>
      <c r="AB80" s="442">
        <f t="shared" si="123"/>
        <v>2.0192257152835166E-4</v>
      </c>
      <c r="AC80" s="442">
        <f t="shared" si="123"/>
        <v>3.1183063000877342E-4</v>
      </c>
      <c r="AD80" s="442"/>
      <c r="AE80" s="442"/>
      <c r="AF80" s="442">
        <f t="shared" si="124"/>
        <v>2.5074220236960201E-4</v>
      </c>
      <c r="AG80" s="1508">
        <f>AG20/AG$55</f>
        <v>7.0911806673132132E-3</v>
      </c>
      <c r="AH80" s="1508">
        <f t="shared" ref="AH80:AS81" si="132">AH20/AH$50</f>
        <v>1.7750048252637533E-4</v>
      </c>
      <c r="AI80" s="1508">
        <f t="shared" si="132"/>
        <v>2.5414422206866005E-4</v>
      </c>
      <c r="AJ80" s="1508">
        <f t="shared" si="132"/>
        <v>2.5881214573332366E-4</v>
      </c>
      <c r="AK80" s="1508">
        <f t="shared" si="132"/>
        <v>3.1489751363149922E-4</v>
      </c>
      <c r="AL80" s="1508">
        <f t="shared" si="132"/>
        <v>1.5587021246382145E-4</v>
      </c>
      <c r="AM80" s="1508">
        <f t="shared" si="132"/>
        <v>3.9128849390699148E-4</v>
      </c>
      <c r="AN80" s="1508">
        <f t="shared" si="132"/>
        <v>3.7935734147317757E-4</v>
      </c>
      <c r="AO80" s="1508">
        <f t="shared" si="132"/>
        <v>2.2173787860066421E-4</v>
      </c>
      <c r="AP80" s="1508">
        <f t="shared" si="132"/>
        <v>2.8010932001509858E-4</v>
      </c>
      <c r="AQ80" s="1508">
        <f t="shared" si="132"/>
        <v>3.341787062239133E-4</v>
      </c>
      <c r="AR80" s="1508">
        <f t="shared" si="132"/>
        <v>3.6581705647316224E-4</v>
      </c>
      <c r="AS80" s="1508">
        <f t="shared" si="132"/>
        <v>4.1709300324834647E-4</v>
      </c>
      <c r="AT80" s="1508"/>
      <c r="AU80" s="1508">
        <f t="shared" si="130"/>
        <v>9.1804463106281084E-3</v>
      </c>
      <c r="AV80" s="1508">
        <f t="shared" si="130"/>
        <v>4.218342645902657E-2</v>
      </c>
      <c r="AW80" s="1508">
        <f t="shared" si="130"/>
        <v>6.1079579813373086E-2</v>
      </c>
      <c r="AX80" s="1508">
        <f t="shared" si="130"/>
        <v>3.9823914490725414E-2</v>
      </c>
      <c r="AY80" s="1508">
        <f t="shared" si="130"/>
        <v>3.8304311201277606E-2</v>
      </c>
      <c r="AZ80" s="1508">
        <f t="shared" si="130"/>
        <v>4.531436542393677E-2</v>
      </c>
      <c r="BA80" s="1508" t="e">
        <f t="shared" si="130"/>
        <v>#DIV/0!</v>
      </c>
      <c r="BB80" s="1508" t="e">
        <f t="shared" si="130"/>
        <v>#DIV/0!</v>
      </c>
      <c r="BC80" s="1508" t="e">
        <f t="shared" si="130"/>
        <v>#DIV/0!</v>
      </c>
      <c r="BD80" s="1508" t="e">
        <f t="shared" si="130"/>
        <v>#DIV/0!</v>
      </c>
      <c r="BE80" s="1508" t="e">
        <f t="shared" si="130"/>
        <v>#DIV/0!</v>
      </c>
      <c r="BF80" s="1508" t="e">
        <f t="shared" si="130"/>
        <v>#DIV/0!</v>
      </c>
      <c r="BG80" s="1508" t="e">
        <f t="shared" si="130"/>
        <v>#DIV/0!</v>
      </c>
      <c r="BH80" s="1508">
        <f t="shared" si="130"/>
        <v>4.3271998042397224E-2</v>
      </c>
      <c r="BI80" s="1508">
        <f t="shared" si="130"/>
        <v>4.7412732224078803E-2</v>
      </c>
      <c r="BJ80" s="1188"/>
      <c r="BL80" s="1508">
        <f t="shared" si="131"/>
        <v>4.7984042974512864E-2</v>
      </c>
      <c r="BM80" s="1508">
        <f t="shared" si="131"/>
        <v>5.5086662938645801E-2</v>
      </c>
      <c r="BN80" s="1508">
        <f t="shared" si="131"/>
        <v>4.9633097000918371E-2</v>
      </c>
      <c r="BO80" s="1508">
        <f t="shared" si="131"/>
        <v>4.8935276450374397E-2</v>
      </c>
      <c r="BP80" s="1508">
        <f t="shared" si="131"/>
        <v>4.7412732224078803E-2</v>
      </c>
      <c r="BQ80" s="1508">
        <f t="shared" si="131"/>
        <v>5.1256937266997843E-2</v>
      </c>
      <c r="BR80" s="1508">
        <f t="shared" si="131"/>
        <v>4.8888221925477281E-2</v>
      </c>
      <c r="BS80" s="1508">
        <f t="shared" si="131"/>
        <v>4.753545180630156E-2</v>
      </c>
      <c r="BT80" s="1508">
        <f t="shared" si="131"/>
        <v>5.023441817131287E-2</v>
      </c>
      <c r="BU80" s="1508">
        <f t="shared" si="131"/>
        <v>4.8203802743826893E-2</v>
      </c>
      <c r="BV80" s="1508">
        <f t="shared" si="131"/>
        <v>4.9247459965910699E-2</v>
      </c>
      <c r="BW80" s="1508">
        <f t="shared" si="131"/>
        <v>4.9499845801282E-2</v>
      </c>
      <c r="BX80" s="1508">
        <f t="shared" si="131"/>
        <v>4.9386276346352891E-2</v>
      </c>
    </row>
    <row r="81" spans="1:76">
      <c r="A81" s="422">
        <f t="shared" si="102"/>
        <v>18</v>
      </c>
      <c r="B81" s="422" t="s">
        <v>425</v>
      </c>
      <c r="C81" s="422" t="s">
        <v>439</v>
      </c>
      <c r="D81" s="1175" t="s">
        <v>439</v>
      </c>
      <c r="E81" s="422" t="s">
        <v>1252</v>
      </c>
      <c r="F81" s="442">
        <f t="shared" si="110"/>
        <v>0</v>
      </c>
      <c r="G81" s="442">
        <f t="shared" si="111"/>
        <v>0</v>
      </c>
      <c r="H81" s="442">
        <f t="shared" si="112"/>
        <v>0</v>
      </c>
      <c r="I81" s="442">
        <f t="shared" si="113"/>
        <v>1.6543215940100066E-3</v>
      </c>
      <c r="J81" s="442">
        <f t="shared" si="114"/>
        <v>9.0378477827798398E-4</v>
      </c>
      <c r="K81" s="442">
        <f t="shared" si="115"/>
        <v>1.1732342452188346E-3</v>
      </c>
      <c r="L81" s="442">
        <f t="shared" si="116"/>
        <v>5.5466246856624541E-4</v>
      </c>
      <c r="M81" s="442">
        <f t="shared" si="117"/>
        <v>1.074870021203708E-3</v>
      </c>
      <c r="N81" s="442">
        <f t="shared" si="118"/>
        <v>8.0259170568911192E-4</v>
      </c>
      <c r="O81" s="442">
        <f t="shared" si="119"/>
        <v>0</v>
      </c>
      <c r="P81" s="442">
        <f t="shared" si="120"/>
        <v>4.3116125255085176E-4</v>
      </c>
      <c r="Q81" s="442">
        <f t="shared" si="121"/>
        <v>1.3691448692118325E-6</v>
      </c>
      <c r="R81" s="1508">
        <f>R21/R$55</f>
        <v>1.5630587217676021E-2</v>
      </c>
      <c r="S81" s="442">
        <f t="shared" si="123"/>
        <v>1.9937159555500277E-4</v>
      </c>
      <c r="T81" s="442">
        <f t="shared" si="123"/>
        <v>0</v>
      </c>
      <c r="U81" s="442">
        <f t="shared" si="123"/>
        <v>1.7974063786097073E-4</v>
      </c>
      <c r="V81" s="442">
        <f t="shared" si="123"/>
        <v>0</v>
      </c>
      <c r="W81" s="442">
        <f t="shared" si="123"/>
        <v>0</v>
      </c>
      <c r="X81" s="442">
        <f t="shared" si="123"/>
        <v>1.0781839679755261E-4</v>
      </c>
      <c r="Y81" s="442">
        <f t="shared" si="123"/>
        <v>3.1202378657030832E-4</v>
      </c>
      <c r="Z81" s="442">
        <f t="shared" si="123"/>
        <v>3.8089280163799239E-4</v>
      </c>
      <c r="AA81" s="442">
        <f t="shared" si="123"/>
        <v>1.2044645097034761E-6</v>
      </c>
      <c r="AB81" s="442">
        <f t="shared" si="123"/>
        <v>3.3632979531708515E-4</v>
      </c>
      <c r="AC81" s="442">
        <f t="shared" si="123"/>
        <v>8.9571468191731329E-5</v>
      </c>
      <c r="AD81" s="442"/>
      <c r="AE81" s="442"/>
      <c r="AF81" s="442">
        <f t="shared" si="124"/>
        <v>1.3219722952663809E-4</v>
      </c>
      <c r="AG81" s="1508">
        <f>AG21/AG$55</f>
        <v>3.7386384479061699E-3</v>
      </c>
      <c r="AH81" s="1508">
        <f t="shared" si="132"/>
        <v>9.9051940117691507E-4</v>
      </c>
      <c r="AI81" s="1508">
        <f t="shared" si="132"/>
        <v>2.6152697060644107E-4</v>
      </c>
      <c r="AJ81" s="1508">
        <f t="shared" si="132"/>
        <v>1.9976424051997994E-4</v>
      </c>
      <c r="AK81" s="1508">
        <f t="shared" si="132"/>
        <v>4.81565473302936E-4</v>
      </c>
      <c r="AL81" s="1508">
        <f t="shared" si="132"/>
        <v>4.5736126165985382E-4</v>
      </c>
      <c r="AM81" s="1508">
        <f t="shared" si="132"/>
        <v>3.9900631017931261E-4</v>
      </c>
      <c r="AN81" s="1508">
        <f t="shared" si="132"/>
        <v>9.5640653121359623E-7</v>
      </c>
      <c r="AO81" s="1508">
        <f t="shared" si="132"/>
        <v>1.5979996739009849E-4</v>
      </c>
      <c r="AP81" s="1508">
        <f t="shared" si="132"/>
        <v>7.4249007163640357E-4</v>
      </c>
      <c r="AQ81" s="1508">
        <f t="shared" si="132"/>
        <v>1.4057495234173374E-3</v>
      </c>
      <c r="AR81" s="1508">
        <f t="shared" si="132"/>
        <v>1.2726600091206152E-3</v>
      </c>
      <c r="AS81" s="1508">
        <f t="shared" si="132"/>
        <v>1.1165385747799431E-3</v>
      </c>
      <c r="AT81" s="1508"/>
      <c r="AU81" s="1508">
        <f t="shared" si="130"/>
        <v>1.7607301929225636E-2</v>
      </c>
      <c r="AV81" s="1508">
        <f t="shared" si="130"/>
        <v>4.1860589560457712E-2</v>
      </c>
      <c r="AW81" s="1508">
        <f t="shared" si="130"/>
        <v>2.1903815360830435E-2</v>
      </c>
      <c r="AX81" s="1508">
        <f t="shared" si="130"/>
        <v>4.6679318722398874E-2</v>
      </c>
      <c r="AY81" s="1508">
        <f t="shared" si="130"/>
        <v>9.2575516921617976E-3</v>
      </c>
      <c r="AZ81" s="1508">
        <f t="shared" si="130"/>
        <v>7.3900222730539466E-4</v>
      </c>
      <c r="BA81" s="1508" t="e">
        <f t="shared" si="130"/>
        <v>#DIV/0!</v>
      </c>
      <c r="BB81" s="1508" t="e">
        <f t="shared" si="130"/>
        <v>#DIV/0!</v>
      </c>
      <c r="BC81" s="1508" t="e">
        <f t="shared" si="130"/>
        <v>#DIV/0!</v>
      </c>
      <c r="BD81" s="1508" t="e">
        <f t="shared" si="130"/>
        <v>#DIV/0!</v>
      </c>
      <c r="BE81" s="1508" t="e">
        <f t="shared" si="130"/>
        <v>#DIV/0!</v>
      </c>
      <c r="BF81" s="1508" t="e">
        <f t="shared" si="130"/>
        <v>#DIV/0!</v>
      </c>
      <c r="BG81" s="1508" t="e">
        <f t="shared" si="130"/>
        <v>#DIV/0!</v>
      </c>
      <c r="BH81" s="1508">
        <f t="shared" si="130"/>
        <v>2.3792919537859593E-2</v>
      </c>
      <c r="BI81" s="1508">
        <f t="shared" si="130"/>
        <v>1.2028118872133269E-2</v>
      </c>
      <c r="BJ81" s="1188"/>
      <c r="BL81" s="1508">
        <f t="shared" si="131"/>
        <v>1.3924018535331541E-2</v>
      </c>
      <c r="BM81" s="1508">
        <f t="shared" si="131"/>
        <v>1.4506817681715353E-2</v>
      </c>
      <c r="BN81" s="1508">
        <f t="shared" si="131"/>
        <v>1.2028118872133269E-2</v>
      </c>
      <c r="BO81" s="1508">
        <f t="shared" si="131"/>
        <v>1.39233267521209E-2</v>
      </c>
      <c r="BP81" s="1508">
        <f t="shared" si="131"/>
        <v>1.2028118872133269E-2</v>
      </c>
      <c r="BQ81" s="1508">
        <f t="shared" si="131"/>
        <v>1.9059226200487764E-2</v>
      </c>
      <c r="BR81" s="1508">
        <f t="shared" si="131"/>
        <v>1.3681844648724106E-2</v>
      </c>
      <c r="BS81" s="1508">
        <f t="shared" si="131"/>
        <v>1.236371779101408E-2</v>
      </c>
      <c r="BT81" s="1508">
        <f t="shared" si="131"/>
        <v>1.8192781206463882E-2</v>
      </c>
      <c r="BU81" s="1508">
        <f t="shared" si="131"/>
        <v>1.4160802894246909E-2</v>
      </c>
      <c r="BV81" s="1508">
        <f t="shared" si="131"/>
        <v>1.186285124974663E-2</v>
      </c>
      <c r="BW81" s="1508">
        <f t="shared" si="131"/>
        <v>1.236371779101408E-2</v>
      </c>
      <c r="BX81" s="1508">
        <f t="shared" si="131"/>
        <v>1.400263697339617E-2</v>
      </c>
    </row>
    <row r="82" spans="1:76" s="1171" customFormat="1">
      <c r="A82" s="416" t="s">
        <v>522</v>
      </c>
      <c r="B82" s="417" t="s">
        <v>523</v>
      </c>
      <c r="C82" s="417"/>
      <c r="D82" s="417"/>
      <c r="E82" s="417"/>
      <c r="F82" s="417"/>
      <c r="G82" s="417"/>
      <c r="H82" s="417"/>
      <c r="I82" s="417"/>
      <c r="J82" s="417"/>
      <c r="K82" s="417"/>
      <c r="L82" s="417"/>
      <c r="M82" s="417"/>
      <c r="N82" s="417"/>
      <c r="O82" s="417"/>
      <c r="P82" s="417"/>
      <c r="Q82" s="417"/>
      <c r="R82" s="1509"/>
      <c r="S82" s="417"/>
      <c r="T82" s="417"/>
      <c r="U82" s="417"/>
      <c r="V82" s="417"/>
      <c r="W82" s="417"/>
      <c r="X82" s="417"/>
      <c r="Y82" s="417"/>
      <c r="Z82" s="417"/>
      <c r="AA82" s="417"/>
      <c r="AB82" s="417"/>
      <c r="AC82" s="417"/>
      <c r="AD82" s="417"/>
      <c r="AE82" s="417"/>
      <c r="AF82" s="417"/>
      <c r="AG82" s="1509"/>
      <c r="AH82" s="1509"/>
      <c r="AI82" s="1509"/>
      <c r="AJ82" s="1509"/>
      <c r="AK82" s="1509"/>
      <c r="AL82" s="1509"/>
      <c r="AM82" s="1509"/>
      <c r="AN82" s="1509"/>
      <c r="AO82" s="1509"/>
      <c r="AP82" s="1509"/>
      <c r="AQ82" s="1509"/>
      <c r="AR82" s="1509"/>
      <c r="AS82" s="1509"/>
      <c r="AT82" s="1509"/>
      <c r="AU82" s="1509"/>
      <c r="AV82" s="1509"/>
      <c r="AW82" s="1509"/>
      <c r="AX82" s="1509"/>
      <c r="AY82" s="1509"/>
      <c r="AZ82" s="1509"/>
      <c r="BA82" s="1509"/>
      <c r="BB82" s="1509"/>
      <c r="BC82" s="1509"/>
      <c r="BD82" s="1509"/>
      <c r="BE82" s="1509"/>
      <c r="BF82" s="1509"/>
      <c r="BG82" s="1509"/>
      <c r="BH82" s="1509"/>
      <c r="BI82" s="1509"/>
      <c r="BJ82" s="417"/>
      <c r="BK82" s="1502"/>
      <c r="BL82" s="1509"/>
      <c r="BM82" s="1509"/>
      <c r="BN82" s="1509"/>
      <c r="BO82" s="1509"/>
      <c r="BP82" s="1509"/>
      <c r="BQ82" s="1509"/>
      <c r="BR82" s="1509"/>
      <c r="BS82" s="1509"/>
      <c r="BT82" s="1509"/>
      <c r="BU82" s="1509"/>
      <c r="BV82" s="1509"/>
      <c r="BW82" s="1509"/>
      <c r="BX82" s="1509"/>
    </row>
    <row r="83" spans="1:76">
      <c r="A83" s="422">
        <v>1</v>
      </c>
      <c r="B83" s="422" t="s">
        <v>440</v>
      </c>
      <c r="C83" s="1175" t="s">
        <v>441</v>
      </c>
      <c r="D83" s="1175" t="s">
        <v>441</v>
      </c>
      <c r="E83" s="422" t="s">
        <v>1252</v>
      </c>
      <c r="F83" s="442">
        <f t="shared" ref="F83:Q98" si="133">F23/F$50</f>
        <v>8.7280604541598361E-2</v>
      </c>
      <c r="G83" s="442">
        <f t="shared" si="133"/>
        <v>6.4682952371603611E-2</v>
      </c>
      <c r="H83" s="442">
        <f t="shared" si="133"/>
        <v>5.3112132715737094E-2</v>
      </c>
      <c r="I83" s="442">
        <f t="shared" si="133"/>
        <v>2.4382042653058315E-2</v>
      </c>
      <c r="J83" s="442">
        <f t="shared" si="133"/>
        <v>2.3114650934385979E-2</v>
      </c>
      <c r="K83" s="442">
        <f t="shared" si="133"/>
        <v>2.5100356088038393E-2</v>
      </c>
      <c r="L83" s="442">
        <f t="shared" si="133"/>
        <v>2.1734888074623898E-2</v>
      </c>
      <c r="M83" s="442">
        <f t="shared" si="133"/>
        <v>1.8505636793651498E-2</v>
      </c>
      <c r="N83" s="442">
        <f t="shared" si="133"/>
        <v>0</v>
      </c>
      <c r="O83" s="442">
        <f t="shared" si="133"/>
        <v>1.2453748745615589E-3</v>
      </c>
      <c r="P83" s="442">
        <f t="shared" si="133"/>
        <v>1.5272946747041485E-3</v>
      </c>
      <c r="Q83" s="442">
        <f t="shared" si="133"/>
        <v>8.0462786955039342E-4</v>
      </c>
      <c r="R83" s="1508">
        <f t="shared" ref="R83:R109" si="134">R23/R$55</f>
        <v>0.67025418885324251</v>
      </c>
      <c r="S83" s="442">
        <f t="shared" ref="S83:AC98" si="135">S23/S$50</f>
        <v>3.6970450252854094E-2</v>
      </c>
      <c r="T83" s="442">
        <f t="shared" si="135"/>
        <v>5.5499097487889809E-2</v>
      </c>
      <c r="U83" s="442">
        <f t="shared" si="135"/>
        <v>5.9773671650249598E-2</v>
      </c>
      <c r="V83" s="442">
        <f t="shared" si="135"/>
        <v>4.8950872640225615E-2</v>
      </c>
      <c r="W83" s="442">
        <f t="shared" si="135"/>
        <v>5.089702270455955E-2</v>
      </c>
      <c r="X83" s="442">
        <f t="shared" si="135"/>
        <v>6.1809928897248206E-2</v>
      </c>
      <c r="Y83" s="442">
        <f t="shared" si="135"/>
        <v>9.2885903533557024E-2</v>
      </c>
      <c r="Z83" s="442">
        <f t="shared" si="135"/>
        <v>7.7568918081722338E-2</v>
      </c>
      <c r="AA83" s="442">
        <f t="shared" si="135"/>
        <v>6.4270395489561968E-2</v>
      </c>
      <c r="AB83" s="442">
        <f t="shared" si="135"/>
        <v>4.5364449870806789E-2</v>
      </c>
      <c r="AC83" s="442">
        <f t="shared" si="135"/>
        <v>4.200883919747439E-2</v>
      </c>
      <c r="AD83" s="442"/>
      <c r="AE83" s="442"/>
      <c r="AF83" s="442">
        <f t="shared" ref="AF83:AF108" si="136">AF23/AF$50</f>
        <v>5.183368616003213E-2</v>
      </c>
      <c r="AG83" s="1508">
        <f t="shared" ref="AG83:AG109" si="137">AG23/AG$55</f>
        <v>1.465896166421168</v>
      </c>
      <c r="AH83" s="1508">
        <f t="shared" ref="AH83:AS98" si="138">AH23/AH$50</f>
        <v>7.7370802268570515E-2</v>
      </c>
      <c r="AI83" s="1508">
        <f t="shared" si="138"/>
        <v>5.5991655555566379E-2</v>
      </c>
      <c r="AJ83" s="1508">
        <f t="shared" si="138"/>
        <v>3.9944637827309948E-2</v>
      </c>
      <c r="AK83" s="1508">
        <f t="shared" si="138"/>
        <v>4.3864940881661089E-2</v>
      </c>
      <c r="AL83" s="1508">
        <f t="shared" si="138"/>
        <v>3.8360307511439762E-2</v>
      </c>
      <c r="AM83" s="1508">
        <f t="shared" si="138"/>
        <v>4.301236160333044E-2</v>
      </c>
      <c r="AN83" s="1508">
        <f t="shared" si="138"/>
        <v>3.9487639612509111E-2</v>
      </c>
      <c r="AO83" s="1508">
        <f t="shared" si="138"/>
        <v>3.917907214372688E-2</v>
      </c>
      <c r="AP83" s="1508">
        <f t="shared" si="138"/>
        <v>3.9503447793260101E-2</v>
      </c>
      <c r="AQ83" s="1508">
        <f t="shared" si="138"/>
        <v>5.2432264753024968E-2</v>
      </c>
      <c r="AR83" s="1508">
        <f t="shared" si="138"/>
        <v>6.6222233247632517E-2</v>
      </c>
      <c r="AS83" s="1508">
        <f t="shared" si="138"/>
        <v>4.8805374803085742E-2</v>
      </c>
      <c r="AT83" s="1508"/>
      <c r="AU83" s="1508">
        <f t="shared" ref="AU83:BI98" si="139">AU23/AU$55</f>
        <v>1.457101635514078</v>
      </c>
      <c r="AV83" s="1508">
        <f t="shared" si="139"/>
        <v>3.2548165500972308</v>
      </c>
      <c r="AW83" s="1508">
        <f t="shared" si="139"/>
        <v>5.1552463530451105</v>
      </c>
      <c r="AX83" s="1508">
        <f t="shared" si="139"/>
        <v>2.1817246568457125</v>
      </c>
      <c r="AY83" s="1508">
        <f t="shared" si="139"/>
        <v>2.1363974696023287</v>
      </c>
      <c r="AZ83" s="1508">
        <f t="shared" si="139"/>
        <v>2.5988013030376749</v>
      </c>
      <c r="BA83" s="1508" t="e">
        <f t="shared" si="139"/>
        <v>#DIV/0!</v>
      </c>
      <c r="BB83" s="1508" t="e">
        <f t="shared" si="139"/>
        <v>#DIV/0!</v>
      </c>
      <c r="BC83" s="1508" t="e">
        <f t="shared" si="139"/>
        <v>#DIV/0!</v>
      </c>
      <c r="BD83" s="1508" t="e">
        <f t="shared" si="139"/>
        <v>#DIV/0!</v>
      </c>
      <c r="BE83" s="1508" t="e">
        <f t="shared" si="139"/>
        <v>#DIV/0!</v>
      </c>
      <c r="BF83" s="1508" t="e">
        <f t="shared" si="139"/>
        <v>#DIV/0!</v>
      </c>
      <c r="BG83" s="1508" t="e">
        <f t="shared" si="139"/>
        <v>#DIV/0!</v>
      </c>
      <c r="BH83" s="1508">
        <f t="shared" si="139"/>
        <v>2.7587156784289681</v>
      </c>
      <c r="BI83" s="1508">
        <f t="shared" si="139"/>
        <v>1.4041013268998794</v>
      </c>
      <c r="BJ83" s="1188"/>
      <c r="BL83" s="1508">
        <f t="shared" ref="BL83:BX98" si="140">BL23/BL$55</f>
        <v>1.4715549936788874</v>
      </c>
      <c r="BM83" s="1508">
        <f t="shared" si="140"/>
        <v>1.7935285053929122</v>
      </c>
      <c r="BN83" s="1508">
        <f t="shared" si="140"/>
        <v>1.4041013268998794</v>
      </c>
      <c r="BO83" s="1508">
        <f t="shared" si="140"/>
        <v>1.4007220216606497</v>
      </c>
      <c r="BP83" s="1508">
        <f t="shared" si="140"/>
        <v>1.4041013268998794</v>
      </c>
      <c r="BQ83" s="1508">
        <f t="shared" si="140"/>
        <v>1.375886524822695</v>
      </c>
      <c r="BR83" s="1508">
        <f t="shared" si="140"/>
        <v>1.3441108545034641</v>
      </c>
      <c r="BS83" s="1508">
        <f t="shared" si="140"/>
        <v>1.3318077803203661</v>
      </c>
      <c r="BT83" s="1508">
        <f t="shared" si="140"/>
        <v>1.3363949483352469</v>
      </c>
      <c r="BU83" s="1508">
        <f t="shared" si="140"/>
        <v>1.3287671232876712</v>
      </c>
      <c r="BV83" s="1508">
        <f t="shared" si="140"/>
        <v>1.3472222222222223</v>
      </c>
      <c r="BW83" s="1508">
        <f t="shared" si="140"/>
        <v>1.3318077803203661</v>
      </c>
      <c r="BX83" s="1508">
        <f t="shared" si="140"/>
        <v>1.3968</v>
      </c>
    </row>
    <row r="84" spans="1:76">
      <c r="A84" s="422">
        <f>A83+1</f>
        <v>2</v>
      </c>
      <c r="B84" s="422" t="s">
        <v>440</v>
      </c>
      <c r="C84" s="422" t="s">
        <v>442</v>
      </c>
      <c r="D84" s="1175" t="s">
        <v>838</v>
      </c>
      <c r="E84" s="422" t="s">
        <v>1252</v>
      </c>
      <c r="F84" s="442">
        <f t="shared" si="133"/>
        <v>0.17649922444729346</v>
      </c>
      <c r="G84" s="442">
        <f t="shared" si="133"/>
        <v>0.13081393860268678</v>
      </c>
      <c r="H84" s="442">
        <f t="shared" si="133"/>
        <v>0.11234023642942238</v>
      </c>
      <c r="I84" s="442">
        <f t="shared" si="133"/>
        <v>0.14312030447568011</v>
      </c>
      <c r="J84" s="442">
        <f t="shared" si="133"/>
        <v>0.12333498355915214</v>
      </c>
      <c r="K84" s="442">
        <f t="shared" si="133"/>
        <v>0.14421540540358108</v>
      </c>
      <c r="L84" s="442">
        <f t="shared" si="133"/>
        <v>0.12363058841293641</v>
      </c>
      <c r="M84" s="442">
        <f t="shared" si="133"/>
        <v>0.13034228624735977</v>
      </c>
      <c r="N84" s="442">
        <f t="shared" si="133"/>
        <v>0.14368593228624368</v>
      </c>
      <c r="O84" s="442">
        <f t="shared" si="133"/>
        <v>0.12441324270906028</v>
      </c>
      <c r="P84" s="442">
        <f t="shared" si="133"/>
        <v>0.15945938095323794</v>
      </c>
      <c r="Q84" s="442">
        <f t="shared" si="133"/>
        <v>8.6295731071754783E-2</v>
      </c>
      <c r="R84" s="1508">
        <f t="shared" si="134"/>
        <v>3.8041398049179982</v>
      </c>
      <c r="S84" s="442">
        <f t="shared" si="135"/>
        <v>8.5316048442421674E-2</v>
      </c>
      <c r="T84" s="442">
        <f t="shared" si="135"/>
        <v>0.10659014463584285</v>
      </c>
      <c r="U84" s="442">
        <f t="shared" si="135"/>
        <v>7.4248007528325721E-2</v>
      </c>
      <c r="V84" s="442">
        <f t="shared" si="135"/>
        <v>8.4950163449989402E-2</v>
      </c>
      <c r="W84" s="442">
        <f t="shared" si="135"/>
        <v>8.687741093210348E-2</v>
      </c>
      <c r="X84" s="442">
        <f t="shared" si="135"/>
        <v>0.10687727502978762</v>
      </c>
      <c r="Y84" s="442">
        <f t="shared" si="135"/>
        <v>0.15979616678481312</v>
      </c>
      <c r="Z84" s="442">
        <f t="shared" si="135"/>
        <v>0.13191266399893925</v>
      </c>
      <c r="AA84" s="442">
        <f t="shared" si="135"/>
        <v>0.11721523240373639</v>
      </c>
      <c r="AB84" s="442">
        <f t="shared" si="135"/>
        <v>9.2456771697324053E-2</v>
      </c>
      <c r="AC84" s="442">
        <f t="shared" si="135"/>
        <v>9.0323420500000834E-2</v>
      </c>
      <c r="AD84" s="442"/>
      <c r="AE84" s="442"/>
      <c r="AF84" s="442">
        <f t="shared" si="136"/>
        <v>0.10104556546769107</v>
      </c>
      <c r="AG84" s="1508">
        <f t="shared" si="137"/>
        <v>2.8576456359988054</v>
      </c>
      <c r="AH84" s="1508">
        <f t="shared" si="138"/>
        <v>0.17831678706060247</v>
      </c>
      <c r="AI84" s="1508">
        <f t="shared" si="138"/>
        <v>0.13149762824856948</v>
      </c>
      <c r="AJ84" s="1508">
        <f t="shared" si="138"/>
        <v>9.2064772464422573E-2</v>
      </c>
      <c r="AK84" s="1508">
        <f t="shared" si="138"/>
        <v>0.11147553176529473</v>
      </c>
      <c r="AL84" s="1508">
        <f t="shared" si="138"/>
        <v>9.7622721046228753E-2</v>
      </c>
      <c r="AM84" s="1508">
        <f t="shared" si="138"/>
        <v>0.11094602861942766</v>
      </c>
      <c r="AN84" s="1508">
        <f t="shared" si="138"/>
        <v>0.10558910149445362</v>
      </c>
      <c r="AO84" s="1508">
        <f t="shared" si="138"/>
        <v>0.10669190904615584</v>
      </c>
      <c r="AP84" s="1508">
        <f t="shared" si="138"/>
        <v>0.1099914750096396</v>
      </c>
      <c r="AQ84" s="1508">
        <f t="shared" si="138"/>
        <v>0.13788528908271119</v>
      </c>
      <c r="AR84" s="1508">
        <f t="shared" si="138"/>
        <v>0.16915673097928338</v>
      </c>
      <c r="AS84" s="1508">
        <f t="shared" si="138"/>
        <v>0.13949181395475491</v>
      </c>
      <c r="AT84" s="1508"/>
      <c r="AU84" s="1508">
        <f t="shared" si="139"/>
        <v>3.8175230472634096</v>
      </c>
      <c r="AV84" s="1508">
        <f t="shared" si="139"/>
        <v>5.024001240688194</v>
      </c>
      <c r="AW84" s="1508">
        <f t="shared" si="139"/>
        <v>7.1171892960079504</v>
      </c>
      <c r="AX84" s="1508">
        <f t="shared" si="139"/>
        <v>3.2451779803616745</v>
      </c>
      <c r="AY84" s="1508">
        <f t="shared" si="139"/>
        <v>3.5580893357674079</v>
      </c>
      <c r="AZ84" s="1508">
        <f t="shared" si="139"/>
        <v>4.0775622476467444</v>
      </c>
      <c r="BA84" s="1508" t="e">
        <f t="shared" si="139"/>
        <v>#DIV/0!</v>
      </c>
      <c r="BB84" s="1508" t="e">
        <f t="shared" si="139"/>
        <v>#DIV/0!</v>
      </c>
      <c r="BC84" s="1508" t="e">
        <f t="shared" si="139"/>
        <v>#DIV/0!</v>
      </c>
      <c r="BD84" s="1508" t="e">
        <f t="shared" si="139"/>
        <v>#DIV/0!</v>
      </c>
      <c r="BE84" s="1508" t="e">
        <f t="shared" si="139"/>
        <v>#DIV/0!</v>
      </c>
      <c r="BF84" s="1508" t="e">
        <f t="shared" si="139"/>
        <v>#DIV/0!</v>
      </c>
      <c r="BG84" s="1508" t="e">
        <f t="shared" si="139"/>
        <v>#DIV/0!</v>
      </c>
      <c r="BH84" s="1508">
        <f t="shared" si="139"/>
        <v>4.2186538688181878</v>
      </c>
      <c r="BI84" s="1508">
        <f t="shared" si="139"/>
        <v>3.8221588510717273</v>
      </c>
      <c r="BJ84" s="1188"/>
      <c r="BL84" s="1508">
        <f t="shared" si="140"/>
        <v>4.0280833874550224</v>
      </c>
      <c r="BM84" s="1508">
        <f t="shared" si="140"/>
        <v>4.8660241230769241</v>
      </c>
      <c r="BN84" s="1508">
        <f t="shared" si="140"/>
        <v>3.6662991557390741</v>
      </c>
      <c r="BO84" s="1508">
        <f t="shared" si="140"/>
        <v>3.9223824444182172</v>
      </c>
      <c r="BP84" s="1508">
        <f t="shared" si="140"/>
        <v>3.8221588510717273</v>
      </c>
      <c r="BQ84" s="1508">
        <f t="shared" si="140"/>
        <v>3.9263319516002912</v>
      </c>
      <c r="BR84" s="1508">
        <f t="shared" si="140"/>
        <v>3.7479606564531891</v>
      </c>
      <c r="BS84" s="1508">
        <f t="shared" si="140"/>
        <v>3.7584824277239925</v>
      </c>
      <c r="BT84" s="1508">
        <f t="shared" si="140"/>
        <v>3.8125818548882799</v>
      </c>
      <c r="BU84" s="1508">
        <f t="shared" si="140"/>
        <v>3.6212442503029507</v>
      </c>
      <c r="BV84" s="1508">
        <f t="shared" si="140"/>
        <v>3.8395703706641742</v>
      </c>
      <c r="BW84" s="1508">
        <f t="shared" si="140"/>
        <v>4.2289350593029402</v>
      </c>
      <c r="BX84" s="1508">
        <f t="shared" si="140"/>
        <v>3.9170466316642316</v>
      </c>
    </row>
    <row r="85" spans="1:76">
      <c r="A85" s="422">
        <f t="shared" ref="A85:A109" si="141">A84+1</f>
        <v>3</v>
      </c>
      <c r="B85" s="422" t="s">
        <v>440</v>
      </c>
      <c r="C85" s="422" t="s">
        <v>443</v>
      </c>
      <c r="D85" s="1175" t="s">
        <v>443</v>
      </c>
      <c r="E85" s="422" t="s">
        <v>1252</v>
      </c>
      <c r="F85" s="442">
        <f t="shared" si="133"/>
        <v>5.7619981327943465E-2</v>
      </c>
      <c r="G85" s="442">
        <f t="shared" si="133"/>
        <v>4.6104216180025456E-2</v>
      </c>
      <c r="H85" s="442">
        <f t="shared" si="133"/>
        <v>4.1299178418671874E-2</v>
      </c>
      <c r="I85" s="442">
        <f t="shared" si="133"/>
        <v>5.0863813788455239E-2</v>
      </c>
      <c r="J85" s="442">
        <f t="shared" si="133"/>
        <v>4.1048275943614161E-2</v>
      </c>
      <c r="K85" s="442">
        <f t="shared" si="133"/>
        <v>4.7542615026611584E-2</v>
      </c>
      <c r="L85" s="442">
        <f t="shared" si="133"/>
        <v>4.2977874225545845E-2</v>
      </c>
      <c r="M85" s="442">
        <f t="shared" si="133"/>
        <v>4.3107695150381625E-2</v>
      </c>
      <c r="N85" s="442">
        <f t="shared" si="133"/>
        <v>5.0906363910743678E-2</v>
      </c>
      <c r="O85" s="442">
        <f t="shared" si="133"/>
        <v>4.5217675393441313E-2</v>
      </c>
      <c r="P85" s="442">
        <f t="shared" si="133"/>
        <v>5.5540428246328363E-2</v>
      </c>
      <c r="Q85" s="442">
        <f t="shared" si="133"/>
        <v>3.0750935901317264E-2</v>
      </c>
      <c r="R85" s="1508">
        <f t="shared" si="134"/>
        <v>1.3205499572308257</v>
      </c>
      <c r="S85" s="442">
        <f t="shared" si="135"/>
        <v>2.6022053890036777E-2</v>
      </c>
      <c r="T85" s="442">
        <f t="shared" si="135"/>
        <v>3.648906193889085E-2</v>
      </c>
      <c r="U85" s="442">
        <f t="shared" si="135"/>
        <v>2.3389733130826228E-2</v>
      </c>
      <c r="V85" s="442">
        <f t="shared" si="135"/>
        <v>2.6169406298280955E-2</v>
      </c>
      <c r="W85" s="442">
        <f t="shared" si="135"/>
        <v>2.6689661920769697E-2</v>
      </c>
      <c r="X85" s="442">
        <f t="shared" si="135"/>
        <v>3.3236609209593315E-2</v>
      </c>
      <c r="Y85" s="442">
        <f t="shared" si="135"/>
        <v>5.0471802763190729E-2</v>
      </c>
      <c r="Z85" s="442">
        <f t="shared" si="135"/>
        <v>4.2418399421381529E-2</v>
      </c>
      <c r="AA85" s="442">
        <f t="shared" si="135"/>
        <v>3.6631586751361939E-2</v>
      </c>
      <c r="AB85" s="442">
        <f t="shared" si="135"/>
        <v>2.8715616649742523E-2</v>
      </c>
      <c r="AC85" s="442">
        <f t="shared" si="135"/>
        <v>2.7460514511190307E-2</v>
      </c>
      <c r="AD85" s="442"/>
      <c r="AE85" s="442"/>
      <c r="AF85" s="442">
        <f t="shared" si="136"/>
        <v>3.140926323493759E-2</v>
      </c>
      <c r="AG85" s="1508">
        <f t="shared" si="137"/>
        <v>0.88827791301693937</v>
      </c>
      <c r="AH85" s="1508">
        <f t="shared" si="138"/>
        <v>5.4319694725645074E-2</v>
      </c>
      <c r="AI85" s="1508">
        <f t="shared" si="138"/>
        <v>4.0216901827363975E-2</v>
      </c>
      <c r="AJ85" s="1508">
        <f t="shared" si="138"/>
        <v>2.954758231473175E-2</v>
      </c>
      <c r="AK85" s="1508">
        <f t="shared" si="138"/>
        <v>3.1657598158581185E-2</v>
      </c>
      <c r="AL85" s="1508">
        <f t="shared" si="138"/>
        <v>2.8869424353056665E-2</v>
      </c>
      <c r="AM85" s="1508">
        <f t="shared" si="138"/>
        <v>3.197300946289635E-2</v>
      </c>
      <c r="AN85" s="1508">
        <f t="shared" si="138"/>
        <v>2.9338486317762941E-2</v>
      </c>
      <c r="AO85" s="1508">
        <f t="shared" si="138"/>
        <v>2.9162933268977089E-2</v>
      </c>
      <c r="AP85" s="1508">
        <f t="shared" si="138"/>
        <v>3.1624700258618701E-2</v>
      </c>
      <c r="AQ85" s="1508">
        <f t="shared" si="138"/>
        <v>4.0503333958891767E-2</v>
      </c>
      <c r="AR85" s="1508">
        <f t="shared" si="138"/>
        <v>5.3090025461383743E-2</v>
      </c>
      <c r="AS85" s="1508">
        <f t="shared" si="138"/>
        <v>3.9703138190055443E-2</v>
      </c>
      <c r="AT85" s="1508"/>
      <c r="AU85" s="1508">
        <f t="shared" si="139"/>
        <v>1.0856965759960384</v>
      </c>
      <c r="AV85" s="1508">
        <f t="shared" si="139"/>
        <v>0.74391400695660381</v>
      </c>
      <c r="AW85" s="1508">
        <f t="shared" si="139"/>
        <v>1.1611774545856108</v>
      </c>
      <c r="AX85" s="1508">
        <f t="shared" si="139"/>
        <v>0.49494497076636962</v>
      </c>
      <c r="AY85" s="1508">
        <f t="shared" si="139"/>
        <v>0.5212386296327467</v>
      </c>
      <c r="AZ85" s="1508">
        <f t="shared" si="139"/>
        <v>0.64881265778602182</v>
      </c>
      <c r="BA85" s="1508" t="e">
        <f t="shared" si="139"/>
        <v>#DIV/0!</v>
      </c>
      <c r="BB85" s="1508" t="e">
        <f t="shared" si="139"/>
        <v>#DIV/0!</v>
      </c>
      <c r="BC85" s="1508" t="e">
        <f t="shared" si="139"/>
        <v>#DIV/0!</v>
      </c>
      <c r="BD85" s="1508" t="e">
        <f t="shared" si="139"/>
        <v>#DIV/0!</v>
      </c>
      <c r="BE85" s="1508" t="e">
        <f t="shared" si="139"/>
        <v>#DIV/0!</v>
      </c>
      <c r="BF85" s="1508" t="e">
        <f t="shared" si="139"/>
        <v>#DIV/0!</v>
      </c>
      <c r="BG85" s="1508" t="e">
        <f t="shared" si="139"/>
        <v>#DIV/0!</v>
      </c>
      <c r="BH85" s="1508">
        <f t="shared" si="139"/>
        <v>0.64791080315610339</v>
      </c>
      <c r="BI85" s="1508">
        <f t="shared" si="139"/>
        <v>1.4055716687384354</v>
      </c>
      <c r="BJ85" s="1188"/>
      <c r="BL85" s="1508">
        <f t="shared" si="140"/>
        <v>1.3409582960608886</v>
      </c>
      <c r="BM85" s="1508">
        <f t="shared" si="140"/>
        <v>1.7528141796366146</v>
      </c>
      <c r="BN85" s="1508">
        <f t="shared" si="140"/>
        <v>1.3934622998602688</v>
      </c>
      <c r="BO85" s="1508">
        <f t="shared" si="140"/>
        <v>1.3983493407751659</v>
      </c>
      <c r="BP85" s="1508">
        <f t="shared" si="140"/>
        <v>1.4055716687384354</v>
      </c>
      <c r="BQ85" s="1508">
        <f t="shared" si="140"/>
        <v>1.4108911831964102</v>
      </c>
      <c r="BR85" s="1508">
        <f t="shared" si="140"/>
        <v>1.3783070912057309</v>
      </c>
      <c r="BS85" s="1508">
        <f t="shared" si="140"/>
        <v>1.3656910079910332</v>
      </c>
      <c r="BT85" s="1508">
        <f t="shared" si="140"/>
        <v>1.3703948805788324</v>
      </c>
      <c r="BU85" s="1508">
        <f t="shared" si="140"/>
        <v>1.3654998031782681</v>
      </c>
      <c r="BV85" s="1508">
        <f t="shared" si="140"/>
        <v>1.3844650782224108</v>
      </c>
      <c r="BW85" s="1508">
        <f t="shared" si="140"/>
        <v>1.3714334411718112</v>
      </c>
      <c r="BX85" s="1508">
        <f t="shared" si="140"/>
        <v>1.4046146123609957</v>
      </c>
    </row>
    <row r="86" spans="1:76">
      <c r="A86" s="422">
        <f t="shared" si="141"/>
        <v>4</v>
      </c>
      <c r="B86" s="422" t="s">
        <v>440</v>
      </c>
      <c r="C86" s="422" t="s">
        <v>445</v>
      </c>
      <c r="D86" s="1175" t="s">
        <v>445</v>
      </c>
      <c r="E86" s="422" t="s">
        <v>1252</v>
      </c>
      <c r="F86" s="442">
        <f t="shared" si="133"/>
        <v>1.3406400526404291E-2</v>
      </c>
      <c r="G86" s="442">
        <f t="shared" si="133"/>
        <v>1.0653076680650075E-2</v>
      </c>
      <c r="H86" s="442">
        <f t="shared" si="133"/>
        <v>8.5081275984518322E-3</v>
      </c>
      <c r="I86" s="442">
        <f t="shared" si="133"/>
        <v>8.7769088585150229E-3</v>
      </c>
      <c r="J86" s="442">
        <f t="shared" si="133"/>
        <v>9.6807108726609144E-3</v>
      </c>
      <c r="K86" s="442">
        <f t="shared" si="133"/>
        <v>9.1627528551082148E-3</v>
      </c>
      <c r="L86" s="442">
        <f t="shared" si="133"/>
        <v>8.2944021859789243E-3</v>
      </c>
      <c r="M86" s="442">
        <f t="shared" si="133"/>
        <v>8.6967731124782E-3</v>
      </c>
      <c r="N86" s="442">
        <f t="shared" si="133"/>
        <v>8.3881771050163239E-3</v>
      </c>
      <c r="O86" s="442">
        <f t="shared" si="133"/>
        <v>8.5884973214401319E-3</v>
      </c>
      <c r="P86" s="442">
        <f t="shared" si="133"/>
        <v>1.1845313037789218E-2</v>
      </c>
      <c r="Q86" s="442">
        <f t="shared" si="133"/>
        <v>6.9001029035347695E-3</v>
      </c>
      <c r="R86" s="1508">
        <f t="shared" si="134"/>
        <v>0.26910403957145146</v>
      </c>
      <c r="S86" s="442">
        <f t="shared" si="135"/>
        <v>6.2145134182428202E-3</v>
      </c>
      <c r="T86" s="442">
        <f t="shared" si="135"/>
        <v>8.4024620619190891E-3</v>
      </c>
      <c r="U86" s="442">
        <f t="shared" si="135"/>
        <v>6.499417265946072E-3</v>
      </c>
      <c r="V86" s="442">
        <f t="shared" si="135"/>
        <v>7.2399805751416349E-3</v>
      </c>
      <c r="W86" s="442">
        <f t="shared" si="135"/>
        <v>7.9313935604201791E-3</v>
      </c>
      <c r="X86" s="442">
        <f t="shared" si="135"/>
        <v>8.0002072118127415E-3</v>
      </c>
      <c r="Y86" s="442">
        <f t="shared" si="135"/>
        <v>1.0464928437978862E-2</v>
      </c>
      <c r="Z86" s="442">
        <f t="shared" si="135"/>
        <v>1.062839615438628E-2</v>
      </c>
      <c r="AA86" s="442">
        <f t="shared" si="135"/>
        <v>1.079193501936989E-2</v>
      </c>
      <c r="AB86" s="442">
        <f t="shared" si="135"/>
        <v>6.9454271043552325E-3</v>
      </c>
      <c r="AC86" s="442">
        <f t="shared" si="135"/>
        <v>7.968330932188487E-3</v>
      </c>
      <c r="AD86" s="442"/>
      <c r="AE86" s="442"/>
      <c r="AF86" s="442">
        <f t="shared" si="136"/>
        <v>8.2229191070485805E-3</v>
      </c>
      <c r="AG86" s="1508">
        <f t="shared" si="137"/>
        <v>0.23255042210577787</v>
      </c>
      <c r="AH86" s="1508">
        <f t="shared" si="138"/>
        <v>1.2094642878012429E-2</v>
      </c>
      <c r="AI86" s="1508">
        <f t="shared" si="138"/>
        <v>1.0579092573510434E-2</v>
      </c>
      <c r="AJ86" s="1508">
        <f t="shared" si="138"/>
        <v>6.9907642527344506E-3</v>
      </c>
      <c r="AK86" s="1508">
        <f t="shared" si="138"/>
        <v>8.8991692213344509E-3</v>
      </c>
      <c r="AL86" s="1508">
        <f t="shared" si="138"/>
        <v>7.6506114540586508E-3</v>
      </c>
      <c r="AM86" s="1508">
        <f t="shared" si="138"/>
        <v>6.9706508929085328E-3</v>
      </c>
      <c r="AN86" s="1508">
        <f t="shared" si="138"/>
        <v>6.9522646024024514E-3</v>
      </c>
      <c r="AO86" s="1508">
        <f t="shared" si="138"/>
        <v>6.5649893020245332E-3</v>
      </c>
      <c r="AP86" s="1508">
        <f t="shared" si="138"/>
        <v>6.7636105112354088E-3</v>
      </c>
      <c r="AQ86" s="1508">
        <f t="shared" si="138"/>
        <v>9.0874459524230879E-3</v>
      </c>
      <c r="AR86" s="1508">
        <f t="shared" si="138"/>
        <v>1.2034914748114489E-2</v>
      </c>
      <c r="AS86" s="1508">
        <f t="shared" si="138"/>
        <v>7.8809467952848621E-3</v>
      </c>
      <c r="AT86" s="1508"/>
      <c r="AU86" s="1508">
        <f t="shared" si="139"/>
        <v>0.25359604392146062</v>
      </c>
      <c r="AV86" s="1508">
        <f t="shared" si="139"/>
        <v>0.20940053756763932</v>
      </c>
      <c r="AW86" s="1508">
        <f t="shared" si="139"/>
        <v>0.2875632416763293</v>
      </c>
      <c r="AX86" s="1508">
        <f t="shared" si="139"/>
        <v>0.14167265203859622</v>
      </c>
      <c r="AY86" s="1508">
        <f t="shared" si="139"/>
        <v>0.13201920565645439</v>
      </c>
      <c r="AZ86" s="1508">
        <f t="shared" si="139"/>
        <v>0.16986217399703063</v>
      </c>
      <c r="BA86" s="1508" t="e">
        <f t="shared" si="139"/>
        <v>#DIV/0!</v>
      </c>
      <c r="BB86" s="1508" t="e">
        <f t="shared" si="139"/>
        <v>#DIV/0!</v>
      </c>
      <c r="BC86" s="1508" t="e">
        <f t="shared" si="139"/>
        <v>#DIV/0!</v>
      </c>
      <c r="BD86" s="1508" t="e">
        <f t="shared" si="139"/>
        <v>#DIV/0!</v>
      </c>
      <c r="BE86" s="1508" t="e">
        <f t="shared" si="139"/>
        <v>#DIV/0!</v>
      </c>
      <c r="BF86" s="1508" t="e">
        <f t="shared" si="139"/>
        <v>#DIV/0!</v>
      </c>
      <c r="BG86" s="1508" t="e">
        <f t="shared" si="139"/>
        <v>#DIV/0!</v>
      </c>
      <c r="BH86" s="1508">
        <f t="shared" si="139"/>
        <v>0.17225936790039134</v>
      </c>
      <c r="BI86" s="1508">
        <f t="shared" si="139"/>
        <v>0.18992578524853149</v>
      </c>
      <c r="BJ86" s="1188"/>
      <c r="BL86" s="1508">
        <f t="shared" si="140"/>
        <v>0.27748736454987039</v>
      </c>
      <c r="BM86" s="1508">
        <f t="shared" si="140"/>
        <v>0.21090549736518913</v>
      </c>
      <c r="BN86" s="1508">
        <f t="shared" si="140"/>
        <v>0.2193025637914239</v>
      </c>
      <c r="BO86" s="1508">
        <f t="shared" si="140"/>
        <v>0.22880421214988117</v>
      </c>
      <c r="BP86" s="1508">
        <f t="shared" si="140"/>
        <v>0.18992578524853149</v>
      </c>
      <c r="BQ86" s="1508">
        <f t="shared" si="140"/>
        <v>0.19910078636907305</v>
      </c>
      <c r="BR86" s="1508">
        <f t="shared" si="140"/>
        <v>0.19001164782225713</v>
      </c>
      <c r="BS86" s="1508">
        <f t="shared" si="140"/>
        <v>0.17807244558038546</v>
      </c>
      <c r="BT86" s="1508">
        <f t="shared" si="140"/>
        <v>0.18502952846408868</v>
      </c>
      <c r="BU86" s="1508">
        <f t="shared" si="140"/>
        <v>0.18014406007843944</v>
      </c>
      <c r="BV86" s="1508">
        <f t="shared" si="140"/>
        <v>0.15753206059426347</v>
      </c>
      <c r="BW86" s="1508">
        <f t="shared" si="140"/>
        <v>0.17951148742636125</v>
      </c>
      <c r="BX86" s="1508">
        <f t="shared" si="140"/>
        <v>0.19863491008042145</v>
      </c>
    </row>
    <row r="87" spans="1:76">
      <c r="A87" s="422">
        <f t="shared" si="141"/>
        <v>5</v>
      </c>
      <c r="B87" s="422" t="s">
        <v>440</v>
      </c>
      <c r="C87" s="422" t="s">
        <v>446</v>
      </c>
      <c r="D87" s="1175" t="s">
        <v>839</v>
      </c>
      <c r="E87" s="422" t="s">
        <v>1252</v>
      </c>
      <c r="F87" s="442">
        <f t="shared" si="133"/>
        <v>5.810961877701467E-3</v>
      </c>
      <c r="G87" s="442">
        <f t="shared" si="133"/>
        <v>2.7870739094193056E-3</v>
      </c>
      <c r="H87" s="442">
        <f t="shared" si="133"/>
        <v>2.8494951053127686E-3</v>
      </c>
      <c r="I87" s="442">
        <f t="shared" si="133"/>
        <v>1.6839947024657298E-3</v>
      </c>
      <c r="J87" s="442">
        <f t="shared" si="133"/>
        <v>4.0435816987700211E-3</v>
      </c>
      <c r="K87" s="442">
        <f t="shared" si="133"/>
        <v>3.9162032359852722E-3</v>
      </c>
      <c r="L87" s="442">
        <f t="shared" si="133"/>
        <v>5.7997144816962793E-3</v>
      </c>
      <c r="M87" s="442">
        <f t="shared" si="133"/>
        <v>4.0187980397367422E-3</v>
      </c>
      <c r="N87" s="442">
        <f t="shared" si="133"/>
        <v>3.9925180652990522E-3</v>
      </c>
      <c r="O87" s="442">
        <f t="shared" si="133"/>
        <v>4.8018799957131163E-3</v>
      </c>
      <c r="P87" s="442">
        <f t="shared" si="133"/>
        <v>8.6282444885201568E-3</v>
      </c>
      <c r="Q87" s="442">
        <f t="shared" si="133"/>
        <v>6.178943418997546E-3</v>
      </c>
      <c r="R87" s="1508">
        <f t="shared" si="134"/>
        <v>0.13730866431217725</v>
      </c>
      <c r="S87" s="442">
        <f t="shared" si="135"/>
        <v>2.831953083215395E-3</v>
      </c>
      <c r="T87" s="442">
        <f t="shared" si="135"/>
        <v>3.4034379102633435E-3</v>
      </c>
      <c r="U87" s="442">
        <f t="shared" si="135"/>
        <v>2.8744653507042908E-3</v>
      </c>
      <c r="V87" s="442">
        <f t="shared" si="135"/>
        <v>2.8089701871157132E-3</v>
      </c>
      <c r="W87" s="442">
        <f t="shared" si="135"/>
        <v>4.1006626907531705E-3</v>
      </c>
      <c r="X87" s="442">
        <f t="shared" si="135"/>
        <v>5.0862429171282236E-3</v>
      </c>
      <c r="Y87" s="442">
        <f t="shared" si="135"/>
        <v>4.7330480762826288E-3</v>
      </c>
      <c r="Z87" s="442">
        <f t="shared" si="135"/>
        <v>4.081538386888026E-3</v>
      </c>
      <c r="AA87" s="442">
        <f t="shared" si="135"/>
        <v>4.8856004674189893E-3</v>
      </c>
      <c r="AB87" s="442">
        <f t="shared" si="135"/>
        <v>5.1054597915208061E-3</v>
      </c>
      <c r="AC87" s="442">
        <f t="shared" si="135"/>
        <v>5.1221437636295849E-3</v>
      </c>
      <c r="AD87" s="442"/>
      <c r="AE87" s="442"/>
      <c r="AF87" s="442">
        <f t="shared" si="136"/>
        <v>4.3018621319550528E-3</v>
      </c>
      <c r="AG87" s="1508">
        <f t="shared" si="137"/>
        <v>0.12165994114784362</v>
      </c>
      <c r="AH87" s="1508">
        <f t="shared" si="138"/>
        <v>7.4210052609873789E-3</v>
      </c>
      <c r="AI87" s="1508">
        <f t="shared" si="138"/>
        <v>6.1448203816796103E-3</v>
      </c>
      <c r="AJ87" s="1508">
        <f t="shared" si="138"/>
        <v>4.13745885392372E-3</v>
      </c>
      <c r="AK87" s="1508">
        <f t="shared" si="138"/>
        <v>4.4057290960860087E-3</v>
      </c>
      <c r="AL87" s="1508">
        <f t="shared" si="138"/>
        <v>4.0473227382693986E-3</v>
      </c>
      <c r="AM87" s="1508">
        <f t="shared" si="138"/>
        <v>5.2353340695067991E-3</v>
      </c>
      <c r="AN87" s="1508">
        <f t="shared" si="138"/>
        <v>5.3458066298749619E-3</v>
      </c>
      <c r="AO87" s="1508">
        <f t="shared" si="138"/>
        <v>4.441492635795955E-3</v>
      </c>
      <c r="AP87" s="1508">
        <f t="shared" si="138"/>
        <v>4.6090239250987357E-3</v>
      </c>
      <c r="AQ87" s="1508">
        <f t="shared" si="138"/>
        <v>5.5806794505585816E-3</v>
      </c>
      <c r="AR87" s="1508">
        <f t="shared" si="138"/>
        <v>7.737558979258272E-3</v>
      </c>
      <c r="AS87" s="1508">
        <f t="shared" si="138"/>
        <v>5.5349167976985903E-3</v>
      </c>
      <c r="AT87" s="1508"/>
      <c r="AU87" s="1508">
        <f t="shared" si="139"/>
        <v>0.16061005732732278</v>
      </c>
      <c r="AV87" s="1508">
        <f t="shared" si="139"/>
        <v>0.16805952897947296</v>
      </c>
      <c r="AW87" s="1508">
        <f t="shared" si="139"/>
        <v>0.18464703715973715</v>
      </c>
      <c r="AX87" s="1508">
        <f t="shared" si="139"/>
        <v>0.11599064210703662</v>
      </c>
      <c r="AY87" s="1508">
        <f t="shared" si="139"/>
        <v>0.13654924275654856</v>
      </c>
      <c r="AZ87" s="1508">
        <f t="shared" si="139"/>
        <v>0.18191142828672283</v>
      </c>
      <c r="BA87" s="1508" t="e">
        <f t="shared" si="139"/>
        <v>#DIV/0!</v>
      </c>
      <c r="BB87" s="1508" t="e">
        <f t="shared" si="139"/>
        <v>#DIV/0!</v>
      </c>
      <c r="BC87" s="1508" t="e">
        <f t="shared" si="139"/>
        <v>#DIV/0!</v>
      </c>
      <c r="BD87" s="1508" t="e">
        <f t="shared" si="139"/>
        <v>#DIV/0!</v>
      </c>
      <c r="BE87" s="1508" t="e">
        <f t="shared" si="139"/>
        <v>#DIV/0!</v>
      </c>
      <c r="BF87" s="1508" t="e">
        <f t="shared" si="139"/>
        <v>#DIV/0!</v>
      </c>
      <c r="BG87" s="1508" t="e">
        <f t="shared" si="139"/>
        <v>#DIV/0!</v>
      </c>
      <c r="BH87" s="1508">
        <f t="shared" si="139"/>
        <v>0.15147000158340035</v>
      </c>
      <c r="BI87" s="1508">
        <f t="shared" si="139"/>
        <v>0.18244515782364643</v>
      </c>
      <c r="BJ87" s="1188"/>
      <c r="BL87" s="1508">
        <f t="shared" si="140"/>
        <v>8.6752360624113567E-2</v>
      </c>
      <c r="BM87" s="1508">
        <f t="shared" si="140"/>
        <v>0.11592658864878813</v>
      </c>
      <c r="BN87" s="1508">
        <f t="shared" si="140"/>
        <v>0.16158625374242402</v>
      </c>
      <c r="BO87" s="1508">
        <f t="shared" si="140"/>
        <v>0.17030367713540137</v>
      </c>
      <c r="BP87" s="1508">
        <f t="shared" si="140"/>
        <v>0.18244515782364643</v>
      </c>
      <c r="BQ87" s="1508">
        <f t="shared" si="140"/>
        <v>0.21845618433749234</v>
      </c>
      <c r="BR87" s="1508">
        <f t="shared" si="140"/>
        <v>0.19119195008148954</v>
      </c>
      <c r="BS87" s="1508">
        <f t="shared" si="140"/>
        <v>0.18795667965740265</v>
      </c>
      <c r="BT87" s="1508">
        <f t="shared" si="140"/>
        <v>0.22537763437032785</v>
      </c>
      <c r="BU87" s="1508">
        <f t="shared" si="140"/>
        <v>0.20565749680810866</v>
      </c>
      <c r="BV87" s="1508">
        <f t="shared" si="140"/>
        <v>0.20516345831777263</v>
      </c>
      <c r="BW87" s="1508">
        <f t="shared" si="140"/>
        <v>0.18799541156052998</v>
      </c>
      <c r="BX87" s="1508">
        <f t="shared" si="140"/>
        <v>0.18032712723461042</v>
      </c>
    </row>
    <row r="88" spans="1:76">
      <c r="A88" s="422">
        <f t="shared" si="141"/>
        <v>6</v>
      </c>
      <c r="B88" s="422" t="s">
        <v>440</v>
      </c>
      <c r="C88" s="422" t="s">
        <v>447</v>
      </c>
      <c r="D88" s="1175" t="s">
        <v>447</v>
      </c>
      <c r="E88" s="422" t="s">
        <v>1252</v>
      </c>
      <c r="F88" s="442">
        <f t="shared" si="133"/>
        <v>1.2770615794126586E-3</v>
      </c>
      <c r="G88" s="442">
        <f t="shared" si="133"/>
        <v>0</v>
      </c>
      <c r="H88" s="442">
        <f t="shared" si="133"/>
        <v>8.542855250601375E-4</v>
      </c>
      <c r="I88" s="442">
        <f t="shared" si="133"/>
        <v>1.548005647584758E-3</v>
      </c>
      <c r="J88" s="442">
        <f t="shared" si="133"/>
        <v>1.1510425475443262E-3</v>
      </c>
      <c r="K88" s="442">
        <f t="shared" si="133"/>
        <v>5.3806790772743156E-4</v>
      </c>
      <c r="L88" s="442">
        <f t="shared" si="133"/>
        <v>1.507409291522577E-3</v>
      </c>
      <c r="M88" s="442">
        <f t="shared" si="133"/>
        <v>1.4724789472676278E-3</v>
      </c>
      <c r="N88" s="442">
        <f t="shared" si="133"/>
        <v>1.9545518706528511E-3</v>
      </c>
      <c r="O88" s="442">
        <f t="shared" si="133"/>
        <v>2.0385057223931704E-3</v>
      </c>
      <c r="P88" s="442">
        <f t="shared" si="133"/>
        <v>3.0308508544911001E-3</v>
      </c>
      <c r="Q88" s="442">
        <f t="shared" si="133"/>
        <v>3.2105203537437831E-3</v>
      </c>
      <c r="R88" s="1508">
        <f t="shared" si="134"/>
        <v>4.9682017059497222E-2</v>
      </c>
      <c r="S88" s="442">
        <f t="shared" si="135"/>
        <v>3.9960790418568076E-3</v>
      </c>
      <c r="T88" s="442">
        <f t="shared" si="135"/>
        <v>6.8511725996902272E-3</v>
      </c>
      <c r="U88" s="442">
        <f t="shared" si="135"/>
        <v>4.5806132484378093E-3</v>
      </c>
      <c r="V88" s="442">
        <f t="shared" si="135"/>
        <v>7.4510099209267782E-3</v>
      </c>
      <c r="W88" s="442">
        <f t="shared" si="135"/>
        <v>8.0290889399462859E-3</v>
      </c>
      <c r="X88" s="442">
        <f t="shared" si="135"/>
        <v>1.1436929217850552E-2</v>
      </c>
      <c r="Y88" s="442">
        <f t="shared" si="135"/>
        <v>1.7892469923777014E-2</v>
      </c>
      <c r="Z88" s="442">
        <f t="shared" si="135"/>
        <v>1.2094232378926081E-2</v>
      </c>
      <c r="AA88" s="442">
        <f t="shared" si="135"/>
        <v>9.1660682919056779E-3</v>
      </c>
      <c r="AB88" s="442">
        <f t="shared" si="135"/>
        <v>7.0239676831571141E-3</v>
      </c>
      <c r="AC88" s="442">
        <f t="shared" si="135"/>
        <v>7.079403052549383E-3</v>
      </c>
      <c r="AD88" s="442"/>
      <c r="AE88" s="442"/>
      <c r="AF88" s="442">
        <f t="shared" si="136"/>
        <v>8.2522276447359235E-3</v>
      </c>
      <c r="AG88" s="1508">
        <f t="shared" si="137"/>
        <v>0.23337928989856116</v>
      </c>
      <c r="AH88" s="1508">
        <f t="shared" si="138"/>
        <v>1.5922813451683952E-2</v>
      </c>
      <c r="AI88" s="1508">
        <f t="shared" si="138"/>
        <v>9.813270955326121E-3</v>
      </c>
      <c r="AJ88" s="1508">
        <f t="shared" si="138"/>
        <v>4.975246125364971E-3</v>
      </c>
      <c r="AK88" s="1508">
        <f t="shared" si="138"/>
        <v>7.2017904936550418E-3</v>
      </c>
      <c r="AL88" s="1508">
        <f t="shared" si="138"/>
        <v>8.3897185871620837E-3</v>
      </c>
      <c r="AM88" s="1508">
        <f t="shared" si="138"/>
        <v>1.1333589373382648E-2</v>
      </c>
      <c r="AN88" s="1508">
        <f t="shared" si="138"/>
        <v>8.9192174686221377E-3</v>
      </c>
      <c r="AO88" s="1508">
        <f t="shared" si="138"/>
        <v>9.2879806460306313E-3</v>
      </c>
      <c r="AP88" s="1508">
        <f t="shared" si="138"/>
        <v>1.1449930541274271E-2</v>
      </c>
      <c r="AQ88" s="1508">
        <f t="shared" si="138"/>
        <v>1.3011717077486546E-2</v>
      </c>
      <c r="AR88" s="1508">
        <f t="shared" si="138"/>
        <v>1.5081149019012365E-2</v>
      </c>
      <c r="AS88" s="1508">
        <f t="shared" si="138"/>
        <v>1.1226400915407322E-2</v>
      </c>
      <c r="AT88" s="1508"/>
      <c r="AU88" s="1508">
        <f t="shared" si="139"/>
        <v>0.31349431329757194</v>
      </c>
      <c r="AV88" s="1508">
        <f t="shared" si="139"/>
        <v>0.4323113569595714</v>
      </c>
      <c r="AW88" s="1508">
        <f t="shared" si="139"/>
        <v>0.63844040527855994</v>
      </c>
      <c r="AX88" s="1508">
        <f t="shared" si="139"/>
        <v>0.2242600843231517</v>
      </c>
      <c r="AY88" s="1508">
        <f t="shared" si="139"/>
        <v>0.24302405398970056</v>
      </c>
      <c r="AZ88" s="1508">
        <f t="shared" si="139"/>
        <v>0.23348484252154797</v>
      </c>
      <c r="BA88" s="1508" t="e">
        <f t="shared" si="139"/>
        <v>#DIV/0!</v>
      </c>
      <c r="BB88" s="1508" t="e">
        <f t="shared" si="139"/>
        <v>#DIV/0!</v>
      </c>
      <c r="BC88" s="1508" t="e">
        <f t="shared" si="139"/>
        <v>#DIV/0!</v>
      </c>
      <c r="BD88" s="1508" t="e">
        <f t="shared" si="139"/>
        <v>#DIV/0!</v>
      </c>
      <c r="BE88" s="1508" t="e">
        <f t="shared" si="139"/>
        <v>#DIV/0!</v>
      </c>
      <c r="BF88" s="1508" t="e">
        <f t="shared" si="139"/>
        <v>#DIV/0!</v>
      </c>
      <c r="BG88" s="1508" t="e">
        <f t="shared" si="139"/>
        <v>#DIV/0!</v>
      </c>
      <c r="BH88" s="1508">
        <f t="shared" si="139"/>
        <v>0.31066039939255502</v>
      </c>
      <c r="BI88" s="1508">
        <f t="shared" si="139"/>
        <v>0.72003953141064891</v>
      </c>
      <c r="BJ88" s="1188"/>
      <c r="BL88" s="1508">
        <f t="shared" si="140"/>
        <v>0.36428045286708838</v>
      </c>
      <c r="BM88" s="1508">
        <f t="shared" si="140"/>
        <v>0.71322079865108989</v>
      </c>
      <c r="BN88" s="1508">
        <f t="shared" si="140"/>
        <v>0.66461884411414851</v>
      </c>
      <c r="BO88" s="1508">
        <f t="shared" si="140"/>
        <v>0.6399456023935054</v>
      </c>
      <c r="BP88" s="1508">
        <f t="shared" si="140"/>
        <v>0.72003953141064891</v>
      </c>
      <c r="BQ88" s="1508">
        <f t="shared" si="140"/>
        <v>0.72902266966062668</v>
      </c>
      <c r="BR88" s="1508">
        <f t="shared" si="140"/>
        <v>0.72508525604039498</v>
      </c>
      <c r="BS88" s="1508">
        <f t="shared" si="140"/>
        <v>0.76008719764942234</v>
      </c>
      <c r="BT88" s="1508">
        <f t="shared" si="140"/>
        <v>0.74588791814345934</v>
      </c>
      <c r="BU88" s="1508">
        <f t="shared" si="140"/>
        <v>0.74308976819089778</v>
      </c>
      <c r="BV88" s="1508">
        <f t="shared" si="140"/>
        <v>0.75509131039830024</v>
      </c>
      <c r="BW88" s="1508">
        <f t="shared" si="140"/>
        <v>0.70992106682705736</v>
      </c>
      <c r="BX88" s="1508">
        <f t="shared" si="140"/>
        <v>0.69131808646801118</v>
      </c>
    </row>
    <row r="89" spans="1:76">
      <c r="A89" s="422">
        <f t="shared" si="141"/>
        <v>7</v>
      </c>
      <c r="B89" s="422" t="s">
        <v>440</v>
      </c>
      <c r="C89" s="422" t="s">
        <v>444</v>
      </c>
      <c r="D89" s="1175" t="s">
        <v>840</v>
      </c>
      <c r="E89" s="422" t="s">
        <v>1252</v>
      </c>
      <c r="F89" s="442">
        <f t="shared" si="133"/>
        <v>3.4860695681677547E-3</v>
      </c>
      <c r="G89" s="442">
        <f t="shared" si="133"/>
        <v>2.1946063559575035E-3</v>
      </c>
      <c r="H89" s="442">
        <f t="shared" si="133"/>
        <v>4.9606678759211284E-3</v>
      </c>
      <c r="I89" s="442">
        <f t="shared" si="133"/>
        <v>1.9940488665898702E-3</v>
      </c>
      <c r="J89" s="442">
        <f t="shared" si="133"/>
        <v>3.0946827796311058E-3</v>
      </c>
      <c r="K89" s="442">
        <f t="shared" si="133"/>
        <v>4.5682098172500117E-3</v>
      </c>
      <c r="L89" s="442">
        <f t="shared" si="133"/>
        <v>2.0604674941460638E-3</v>
      </c>
      <c r="M89" s="442">
        <f t="shared" si="133"/>
        <v>2.381278470154239E-3</v>
      </c>
      <c r="N89" s="442">
        <f t="shared" si="133"/>
        <v>3.4321507575005824E-3</v>
      </c>
      <c r="O89" s="442">
        <f t="shared" si="133"/>
        <v>1.9318940179986538E-3</v>
      </c>
      <c r="P89" s="442">
        <f t="shared" si="133"/>
        <v>1.2318017560304304E-3</v>
      </c>
      <c r="Q89" s="442">
        <f t="shared" si="133"/>
        <v>4.0472985030316011E-3</v>
      </c>
      <c r="R89" s="1508">
        <f t="shared" si="134"/>
        <v>8.8891976170333231E-2</v>
      </c>
      <c r="S89" s="442">
        <f t="shared" si="135"/>
        <v>1.7472185452895154E-3</v>
      </c>
      <c r="T89" s="442">
        <f t="shared" si="135"/>
        <v>2.8574961078566326E-3</v>
      </c>
      <c r="U89" s="442">
        <f t="shared" si="135"/>
        <v>1.7998489265588916E-3</v>
      </c>
      <c r="V89" s="442">
        <f t="shared" si="135"/>
        <v>1.7410092431046189E-3</v>
      </c>
      <c r="W89" s="442">
        <f t="shared" si="135"/>
        <v>2.4107673936559302E-3</v>
      </c>
      <c r="X89" s="442">
        <f t="shared" si="135"/>
        <v>2.4412567456124179E-3</v>
      </c>
      <c r="Y89" s="442">
        <f t="shared" si="135"/>
        <v>3.3875681562581228E-3</v>
      </c>
      <c r="Z89" s="442">
        <f t="shared" si="135"/>
        <v>6.9419596519442973E-3</v>
      </c>
      <c r="AA89" s="442">
        <f t="shared" si="135"/>
        <v>4.4256623496663743E-3</v>
      </c>
      <c r="AB89" s="442">
        <f t="shared" si="135"/>
        <v>6.7967272167608495E-3</v>
      </c>
      <c r="AC89" s="442">
        <f t="shared" si="135"/>
        <v>4.9141507729610181E-3</v>
      </c>
      <c r="AD89" s="442"/>
      <c r="AE89" s="442"/>
      <c r="AF89" s="442">
        <f t="shared" si="136"/>
        <v>7.3045892217414501E-3</v>
      </c>
      <c r="AG89" s="1508">
        <f t="shared" si="137"/>
        <v>0.20657935274703099</v>
      </c>
      <c r="AH89" s="1508">
        <f t="shared" si="138"/>
        <v>1.3369129146718173E-2</v>
      </c>
      <c r="AI89" s="1508">
        <f t="shared" si="138"/>
        <v>7.2865049758886738E-3</v>
      </c>
      <c r="AJ89" s="1508">
        <f t="shared" si="138"/>
        <v>5.7299590508498831E-3</v>
      </c>
      <c r="AK89" s="1508">
        <f t="shared" si="138"/>
        <v>5.9089927092201393E-3</v>
      </c>
      <c r="AL89" s="1508">
        <f t="shared" si="138"/>
        <v>7.0249955316045651E-3</v>
      </c>
      <c r="AM89" s="1508">
        <f t="shared" si="138"/>
        <v>7.2132185992264657E-3</v>
      </c>
      <c r="AN89" s="1508">
        <f t="shared" si="138"/>
        <v>8.786294195662599E-3</v>
      </c>
      <c r="AO89" s="1508">
        <f t="shared" si="138"/>
        <v>8.5106436785603486E-3</v>
      </c>
      <c r="AP89" s="1508">
        <f t="shared" si="138"/>
        <v>1.0276976297946156E-2</v>
      </c>
      <c r="AQ89" s="1508">
        <f t="shared" si="138"/>
        <v>8.8760839396905961E-3</v>
      </c>
      <c r="AR89" s="1508">
        <f t="shared" si="138"/>
        <v>3.4811179341749217E-2</v>
      </c>
      <c r="AS89" s="1508">
        <f t="shared" si="138"/>
        <v>1.182629414123593E-2</v>
      </c>
      <c r="AT89" s="1508"/>
      <c r="AU89" s="1508">
        <f t="shared" si="139"/>
        <v>0.31201315052621575</v>
      </c>
      <c r="AV89" s="1508">
        <f t="shared" si="139"/>
        <v>0.29327243921338136</v>
      </c>
      <c r="AW89" s="1508">
        <f t="shared" si="139"/>
        <v>0.52155492960079508</v>
      </c>
      <c r="AX89" s="1508">
        <f t="shared" si="139"/>
        <v>0.17621264992152103</v>
      </c>
      <c r="AY89" s="1508">
        <f t="shared" si="139"/>
        <v>0.18360063418283851</v>
      </c>
      <c r="AZ89" s="1508">
        <f t="shared" si="139"/>
        <v>0.30977514903907449</v>
      </c>
      <c r="BA89" s="1508" t="e">
        <f t="shared" si="139"/>
        <v>#DIV/0!</v>
      </c>
      <c r="BB89" s="1508" t="e">
        <f t="shared" si="139"/>
        <v>#DIV/0!</v>
      </c>
      <c r="BC89" s="1508" t="e">
        <f t="shared" si="139"/>
        <v>#DIV/0!</v>
      </c>
      <c r="BD89" s="1508" t="e">
        <f t="shared" si="139"/>
        <v>#DIV/0!</v>
      </c>
      <c r="BE89" s="1508" t="e">
        <f t="shared" si="139"/>
        <v>#DIV/0!</v>
      </c>
      <c r="BF89" s="1508" t="e">
        <f t="shared" si="139"/>
        <v>#DIV/0!</v>
      </c>
      <c r="BG89" s="1508" t="e">
        <f t="shared" si="139"/>
        <v>#DIV/0!</v>
      </c>
      <c r="BH89" s="1508">
        <f t="shared" si="139"/>
        <v>0.26328083103436828</v>
      </c>
      <c r="BI89" s="1508">
        <f t="shared" si="139"/>
        <v>0.20809802026704743</v>
      </c>
      <c r="BJ89" s="1188"/>
      <c r="BL89" s="1508">
        <f t="shared" si="140"/>
        <v>0.26223006777611396</v>
      </c>
      <c r="BM89" s="1508">
        <f t="shared" si="140"/>
        <v>0.2474807176189763</v>
      </c>
      <c r="BN89" s="1508">
        <f t="shared" si="140"/>
        <v>0.20160545894818938</v>
      </c>
      <c r="BO89" s="1508">
        <f t="shared" si="140"/>
        <v>0.22224940890659725</v>
      </c>
      <c r="BP89" s="1508">
        <f t="shared" si="140"/>
        <v>0.20809802026704743</v>
      </c>
      <c r="BQ89" s="1508">
        <f t="shared" si="140"/>
        <v>0.18690358989525094</v>
      </c>
      <c r="BR89" s="1508">
        <f t="shared" si="140"/>
        <v>0.17183152230721591</v>
      </c>
      <c r="BS89" s="1508">
        <f t="shared" si="140"/>
        <v>0.19043542912057471</v>
      </c>
      <c r="BT89" s="1508">
        <f t="shared" si="140"/>
        <v>0.18562407001689513</v>
      </c>
      <c r="BU89" s="1508">
        <f t="shared" si="140"/>
        <v>0.1879616799673314</v>
      </c>
      <c r="BV89" s="1508">
        <f t="shared" si="140"/>
        <v>0.18071616317675421</v>
      </c>
      <c r="BW89" s="1508">
        <f t="shared" si="140"/>
        <v>0.18185213384978904</v>
      </c>
      <c r="BX89" s="1508">
        <f t="shared" si="140"/>
        <v>0.20071500394427785</v>
      </c>
    </row>
    <row r="90" spans="1:76" ht="28">
      <c r="A90" s="422">
        <f t="shared" si="141"/>
        <v>8</v>
      </c>
      <c r="B90" s="422" t="s">
        <v>440</v>
      </c>
      <c r="C90" s="422" t="s">
        <v>446</v>
      </c>
      <c r="D90" s="1186" t="s">
        <v>841</v>
      </c>
      <c r="E90" s="422" t="s">
        <v>1252</v>
      </c>
      <c r="F90" s="442">
        <f t="shared" si="133"/>
        <v>7.7825095466055967E-4</v>
      </c>
      <c r="G90" s="442">
        <f t="shared" si="133"/>
        <v>5.0865362220434477E-4</v>
      </c>
      <c r="H90" s="442">
        <f t="shared" si="133"/>
        <v>1.7095356160464073E-3</v>
      </c>
      <c r="I90" s="442">
        <f t="shared" si="133"/>
        <v>1.5602838753505097E-3</v>
      </c>
      <c r="J90" s="442">
        <f t="shared" si="133"/>
        <v>1.3926498568937891E-3</v>
      </c>
      <c r="K90" s="442">
        <f t="shared" si="133"/>
        <v>1.9547494676885389E-3</v>
      </c>
      <c r="L90" s="442">
        <f t="shared" si="133"/>
        <v>2.6128234706641641E-3</v>
      </c>
      <c r="M90" s="442">
        <f t="shared" si="133"/>
        <v>2.0787693833684909E-3</v>
      </c>
      <c r="N90" s="442">
        <f t="shared" si="133"/>
        <v>1.6993526993456963E-3</v>
      </c>
      <c r="O90" s="442">
        <f t="shared" si="133"/>
        <v>2.0915012116622354E-3</v>
      </c>
      <c r="P90" s="442">
        <f t="shared" si="133"/>
        <v>2.3929460353266435E-3</v>
      </c>
      <c r="Q90" s="442">
        <f t="shared" si="133"/>
        <v>1.825915485707561E-3</v>
      </c>
      <c r="R90" s="1508">
        <f t="shared" si="134"/>
        <v>5.2650662192156264E-2</v>
      </c>
      <c r="S90" s="442">
        <f t="shared" si="135"/>
        <v>1.4218236550640265E-3</v>
      </c>
      <c r="T90" s="442">
        <f t="shared" si="135"/>
        <v>2.4203512651307093E-3</v>
      </c>
      <c r="U90" s="442">
        <f t="shared" si="135"/>
        <v>1.6438070591289059E-3</v>
      </c>
      <c r="V90" s="442">
        <f t="shared" si="135"/>
        <v>1.7105562183768218E-3</v>
      </c>
      <c r="W90" s="442">
        <f t="shared" si="135"/>
        <v>1.5504568888800487E-3</v>
      </c>
      <c r="X90" s="442">
        <f t="shared" si="135"/>
        <v>2.3708164872355475E-3</v>
      </c>
      <c r="Y90" s="442">
        <f t="shared" si="135"/>
        <v>2.0788271086365048E-3</v>
      </c>
      <c r="Z90" s="442">
        <f t="shared" si="135"/>
        <v>3.9237926927973418E-3</v>
      </c>
      <c r="AA90" s="442">
        <f t="shared" si="135"/>
        <v>2.1681806724046242E-3</v>
      </c>
      <c r="AB90" s="442">
        <f t="shared" si="135"/>
        <v>1.5627927466015962E-3</v>
      </c>
      <c r="AC90" s="442">
        <f t="shared" si="135"/>
        <v>2.6544069559950949E-3</v>
      </c>
      <c r="AD90" s="442"/>
      <c r="AE90" s="442"/>
      <c r="AF90" s="442">
        <f t="shared" si="136"/>
        <v>2.2389394433967357E-3</v>
      </c>
      <c r="AG90" s="1508">
        <f t="shared" si="137"/>
        <v>6.3318914591398309E-2</v>
      </c>
      <c r="AH90" s="1508">
        <f t="shared" si="138"/>
        <v>3.1459103424823511E-3</v>
      </c>
      <c r="AI90" s="1508">
        <f t="shared" si="138"/>
        <v>3.6711615766742978E-3</v>
      </c>
      <c r="AJ90" s="1508">
        <f t="shared" si="138"/>
        <v>1.6093436818219737E-3</v>
      </c>
      <c r="AK90" s="1508">
        <f t="shared" si="138"/>
        <v>2.3755515230625399E-3</v>
      </c>
      <c r="AL90" s="1508">
        <f t="shared" si="138"/>
        <v>2.0197095643636237E-3</v>
      </c>
      <c r="AM90" s="1508">
        <f t="shared" si="138"/>
        <v>3.172621567029515E-3</v>
      </c>
      <c r="AN90" s="1508">
        <f t="shared" si="138"/>
        <v>2.7068587090404174E-3</v>
      </c>
      <c r="AO90" s="1508">
        <f t="shared" si="138"/>
        <v>3.2145882709038722E-3</v>
      </c>
      <c r="AP90" s="1508">
        <f t="shared" si="138"/>
        <v>1.7021798379438296E-3</v>
      </c>
      <c r="AQ90" s="1508">
        <f t="shared" si="138"/>
        <v>3.1175616572426518E-3</v>
      </c>
      <c r="AR90" s="1508">
        <f t="shared" si="138"/>
        <v>3.3816948749942552E-3</v>
      </c>
      <c r="AS90" s="1508">
        <f t="shared" si="138"/>
        <v>2.6309993442774834E-3</v>
      </c>
      <c r="AT90" s="1508"/>
      <c r="AU90" s="1508">
        <f t="shared" si="139"/>
        <v>8.2182232195600377E-2</v>
      </c>
      <c r="AV90" s="1508">
        <f t="shared" si="139"/>
        <v>0.10816045559994761</v>
      </c>
      <c r="AW90" s="1508">
        <f t="shared" si="139"/>
        <v>9.7227616917895193E-2</v>
      </c>
      <c r="AX90" s="1508">
        <f t="shared" si="139"/>
        <v>4.7616574782643445E-2</v>
      </c>
      <c r="AY90" s="1508">
        <f t="shared" si="139"/>
        <v>3.4201228597107183E-2</v>
      </c>
      <c r="AZ90" s="1508">
        <f t="shared" si="139"/>
        <v>6.1467096726067046E-2</v>
      </c>
      <c r="BA90" s="1508" t="e">
        <f t="shared" si="139"/>
        <v>#DIV/0!</v>
      </c>
      <c r="BB90" s="1508" t="e">
        <f t="shared" si="139"/>
        <v>#DIV/0!</v>
      </c>
      <c r="BC90" s="1508" t="e">
        <f t="shared" si="139"/>
        <v>#DIV/0!</v>
      </c>
      <c r="BD90" s="1508" t="e">
        <f t="shared" si="139"/>
        <v>#DIV/0!</v>
      </c>
      <c r="BE90" s="1508" t="e">
        <f t="shared" si="139"/>
        <v>#DIV/0!</v>
      </c>
      <c r="BF90" s="1508" t="e">
        <f t="shared" si="139"/>
        <v>#DIV/0!</v>
      </c>
      <c r="BG90" s="1508" t="e">
        <f t="shared" si="139"/>
        <v>#DIV/0!</v>
      </c>
      <c r="BH90" s="1508">
        <f t="shared" si="139"/>
        <v>6.2665304934666974E-2</v>
      </c>
      <c r="BI90" s="1508">
        <f t="shared" si="139"/>
        <v>4.9809908117023335E-2</v>
      </c>
      <c r="BJ90" s="1188"/>
      <c r="BL90" s="1508">
        <f t="shared" si="140"/>
        <v>8.6496539733264668E-2</v>
      </c>
      <c r="BM90" s="1508">
        <f t="shared" si="140"/>
        <v>6.8971341339002082E-2</v>
      </c>
      <c r="BN90" s="1508">
        <f t="shared" si="140"/>
        <v>5.8258068430654217E-2</v>
      </c>
      <c r="BO90" s="1508">
        <f t="shared" si="140"/>
        <v>5.3253887479758136E-2</v>
      </c>
      <c r="BP90" s="1508">
        <f t="shared" si="140"/>
        <v>4.9809908117023335E-2</v>
      </c>
      <c r="BQ90" s="1508">
        <f t="shared" si="140"/>
        <v>7.7911724206870384E-2</v>
      </c>
      <c r="BR90" s="1508">
        <f t="shared" si="140"/>
        <v>4.5382349263678623E-2</v>
      </c>
      <c r="BS90" s="1508">
        <f t="shared" si="140"/>
        <v>4.9531787256688421E-2</v>
      </c>
      <c r="BT90" s="1508">
        <f t="shared" si="140"/>
        <v>5.750473256296864E-2</v>
      </c>
      <c r="BU90" s="1508">
        <f t="shared" si="140"/>
        <v>4.3491760345143474E-2</v>
      </c>
      <c r="BV90" s="1508">
        <f t="shared" si="140"/>
        <v>5.7456923683270468E-2</v>
      </c>
      <c r="BW90" s="1508">
        <f t="shared" si="140"/>
        <v>7.5273941184987425E-2</v>
      </c>
      <c r="BX90" s="1508">
        <f t="shared" si="140"/>
        <v>5.991463224981481E-2</v>
      </c>
    </row>
    <row r="91" spans="1:76">
      <c r="A91" s="422">
        <f t="shared" si="141"/>
        <v>9</v>
      </c>
      <c r="B91" s="422" t="s">
        <v>440</v>
      </c>
      <c r="C91" s="422" t="s">
        <v>444</v>
      </c>
      <c r="D91" s="1175" t="s">
        <v>842</v>
      </c>
      <c r="E91" s="422" t="s">
        <v>1252</v>
      </c>
      <c r="F91" s="442">
        <f t="shared" si="133"/>
        <v>0</v>
      </c>
      <c r="G91" s="442">
        <f t="shared" si="133"/>
        <v>0</v>
      </c>
      <c r="H91" s="442">
        <f t="shared" si="133"/>
        <v>0</v>
      </c>
      <c r="I91" s="442">
        <f t="shared" si="133"/>
        <v>0</v>
      </c>
      <c r="J91" s="442">
        <f t="shared" si="133"/>
        <v>0</v>
      </c>
      <c r="K91" s="442">
        <f t="shared" si="133"/>
        <v>0</v>
      </c>
      <c r="L91" s="442">
        <f t="shared" si="133"/>
        <v>0</v>
      </c>
      <c r="M91" s="442">
        <f t="shared" si="133"/>
        <v>0</v>
      </c>
      <c r="N91" s="442">
        <f t="shared" si="133"/>
        <v>0</v>
      </c>
      <c r="O91" s="442">
        <f t="shared" si="133"/>
        <v>0</v>
      </c>
      <c r="P91" s="442">
        <f t="shared" si="133"/>
        <v>3.5289426456127102E-3</v>
      </c>
      <c r="Q91" s="442">
        <f t="shared" si="133"/>
        <v>2.218521872625953E-3</v>
      </c>
      <c r="R91" s="1508">
        <f t="shared" si="134"/>
        <v>1.7157734421011102E-2</v>
      </c>
      <c r="S91" s="442">
        <f t="shared" si="135"/>
        <v>6.4117496113250336E-3</v>
      </c>
      <c r="T91" s="442">
        <f t="shared" si="135"/>
        <v>3.5302277818314181E-3</v>
      </c>
      <c r="U91" s="442">
        <f t="shared" si="135"/>
        <v>2.24177231406348E-3</v>
      </c>
      <c r="V91" s="442">
        <f t="shared" si="135"/>
        <v>2.1431984326621828E-3</v>
      </c>
      <c r="W91" s="442">
        <f t="shared" si="135"/>
        <v>6.120550929368869E-3</v>
      </c>
      <c r="X91" s="442">
        <f t="shared" si="135"/>
        <v>5.808717042889309E-3</v>
      </c>
      <c r="Y91" s="442">
        <f t="shared" si="135"/>
        <v>6.6679265201592718E-3</v>
      </c>
      <c r="Z91" s="442">
        <f t="shared" si="135"/>
        <v>1.3416753826281106E-2</v>
      </c>
      <c r="AA91" s="442">
        <f t="shared" si="135"/>
        <v>1.5710728538566268E-2</v>
      </c>
      <c r="AB91" s="442">
        <f t="shared" si="135"/>
        <v>9.6901678047065284E-3</v>
      </c>
      <c r="AC91" s="442">
        <f t="shared" si="135"/>
        <v>1.2363224279655945E-2</v>
      </c>
      <c r="AD91" s="442"/>
      <c r="AE91" s="442"/>
      <c r="AF91" s="442">
        <f t="shared" si="136"/>
        <v>8.887077456660241E-3</v>
      </c>
      <c r="AG91" s="1508">
        <f t="shared" si="137"/>
        <v>0.25133332663598001</v>
      </c>
      <c r="AH91" s="1508">
        <f t="shared" si="138"/>
        <v>6.5171892614063979E-3</v>
      </c>
      <c r="AI91" s="1508">
        <f t="shared" si="138"/>
        <v>5.9607025031773141E-3</v>
      </c>
      <c r="AJ91" s="1508">
        <f t="shared" si="138"/>
        <v>6.6180671271972025E-3</v>
      </c>
      <c r="AK91" s="1508">
        <f t="shared" si="138"/>
        <v>3.9433274496720391E-3</v>
      </c>
      <c r="AL91" s="1508">
        <f t="shared" si="138"/>
        <v>4.1960393519556065E-3</v>
      </c>
      <c r="AM91" s="1508">
        <f t="shared" si="138"/>
        <v>4.4398116398353714E-3</v>
      </c>
      <c r="AN91" s="1508">
        <f t="shared" si="138"/>
        <v>1.3360421226294456E-3</v>
      </c>
      <c r="AO91" s="1508">
        <f t="shared" si="138"/>
        <v>6.3877023413585901E-4</v>
      </c>
      <c r="AP91" s="1508">
        <f t="shared" si="138"/>
        <v>1.9307814513367517E-3</v>
      </c>
      <c r="AQ91" s="1508">
        <f t="shared" si="138"/>
        <v>2.3467123154664693E-3</v>
      </c>
      <c r="AR91" s="1508">
        <f t="shared" si="138"/>
        <v>2.1412756270212108E-3</v>
      </c>
      <c r="AS91" s="1508">
        <f t="shared" si="138"/>
        <v>1.4073373705688558E-2</v>
      </c>
      <c r="AT91" s="1508"/>
      <c r="AU91" s="1508">
        <f t="shared" si="139"/>
        <v>0.13426987156294726</v>
      </c>
      <c r="AV91" s="1508">
        <f t="shared" si="139"/>
        <v>6.1340102910187724E-2</v>
      </c>
      <c r="AW91" s="1508">
        <f t="shared" si="139"/>
        <v>0.13707394898128208</v>
      </c>
      <c r="AX91" s="1508">
        <f t="shared" si="139"/>
        <v>6.0657552805954175E-3</v>
      </c>
      <c r="AY91" s="1508">
        <f t="shared" si="139"/>
        <v>2.330930904421025E-2</v>
      </c>
      <c r="AZ91" s="1508">
        <f t="shared" si="139"/>
        <v>7.3564057715099745E-2</v>
      </c>
      <c r="BA91" s="1508" t="e">
        <f t="shared" si="139"/>
        <v>#DIV/0!</v>
      </c>
      <c r="BB91" s="1508" t="e">
        <f t="shared" si="139"/>
        <v>#DIV/0!</v>
      </c>
      <c r="BC91" s="1508" t="e">
        <f t="shared" si="139"/>
        <v>#DIV/0!</v>
      </c>
      <c r="BD91" s="1508" t="e">
        <f t="shared" si="139"/>
        <v>#DIV/0!</v>
      </c>
      <c r="BE91" s="1508" t="e">
        <f t="shared" si="139"/>
        <v>#DIV/0!</v>
      </c>
      <c r="BF91" s="1508" t="e">
        <f t="shared" si="139"/>
        <v>#DIV/0!</v>
      </c>
      <c r="BG91" s="1508" t="e">
        <f t="shared" si="139"/>
        <v>#DIV/0!</v>
      </c>
      <c r="BH91" s="1508">
        <f t="shared" si="139"/>
        <v>4.8240505411919085E-2</v>
      </c>
      <c r="BI91" s="1508">
        <f t="shared" si="139"/>
        <v>0.13723995915811399</v>
      </c>
      <c r="BJ91" s="1188"/>
      <c r="BL91" s="1508">
        <f t="shared" si="140"/>
        <v>0.12570835797945465</v>
      </c>
      <c r="BM91" s="1508">
        <f t="shared" si="140"/>
        <v>0.14775295326142782</v>
      </c>
      <c r="BN91" s="1508">
        <f t="shared" si="140"/>
        <v>0.11567149175713709</v>
      </c>
      <c r="BO91" s="1508">
        <f t="shared" si="140"/>
        <v>0.14700264530850315</v>
      </c>
      <c r="BP91" s="1508">
        <f t="shared" si="140"/>
        <v>0.13723995915811399</v>
      </c>
      <c r="BQ91" s="1508">
        <f t="shared" si="140"/>
        <v>0.17141411478547158</v>
      </c>
      <c r="BR91" s="1508">
        <f t="shared" si="140"/>
        <v>0.12557599252172</v>
      </c>
      <c r="BS91" s="1508">
        <f t="shared" si="140"/>
        <v>0.14245918589774506</v>
      </c>
      <c r="BT91" s="1508">
        <f t="shared" si="140"/>
        <v>0.12485512000437372</v>
      </c>
      <c r="BU91" s="1508">
        <f t="shared" si="140"/>
        <v>0.16819138033571088</v>
      </c>
      <c r="BV91" s="1508">
        <f t="shared" si="140"/>
        <v>0.17370618386243383</v>
      </c>
      <c r="BW91" s="1508">
        <f t="shared" si="140"/>
        <v>0.16615092522825234</v>
      </c>
      <c r="BX91" s="1508">
        <f t="shared" si="140"/>
        <v>0.14568067581999997</v>
      </c>
    </row>
    <row r="92" spans="1:76">
      <c r="A92" s="422">
        <f t="shared" si="141"/>
        <v>10</v>
      </c>
      <c r="B92" s="422" t="s">
        <v>440</v>
      </c>
      <c r="C92" s="422" t="s">
        <v>444</v>
      </c>
      <c r="D92" s="1175" t="s">
        <v>843</v>
      </c>
      <c r="E92" s="422" t="s">
        <v>1252</v>
      </c>
      <c r="F92" s="442">
        <f t="shared" si="133"/>
        <v>3.5046796798092919E-3</v>
      </c>
      <c r="G92" s="442">
        <f t="shared" si="133"/>
        <v>8.534715844637122E-4</v>
      </c>
      <c r="H92" s="442">
        <f t="shared" si="133"/>
        <v>3.2798174882664294E-3</v>
      </c>
      <c r="I92" s="442">
        <f t="shared" si="133"/>
        <v>2.9768457684456791E-3</v>
      </c>
      <c r="J92" s="442">
        <f t="shared" si="133"/>
        <v>1.2084657191083418E-3</v>
      </c>
      <c r="K92" s="442">
        <f t="shared" si="133"/>
        <v>3.3712990707003843E-3</v>
      </c>
      <c r="L92" s="442">
        <f t="shared" si="133"/>
        <v>2.3611865505404187E-3</v>
      </c>
      <c r="M92" s="442">
        <f t="shared" si="133"/>
        <v>1.8065474408546498E-3</v>
      </c>
      <c r="N92" s="442">
        <f t="shared" si="133"/>
        <v>1.8943453080453327E-3</v>
      </c>
      <c r="O92" s="442">
        <f t="shared" si="133"/>
        <v>1.5005621362290137E-3</v>
      </c>
      <c r="P92" s="442">
        <f t="shared" si="133"/>
        <v>1.2296100322323877E-3</v>
      </c>
      <c r="Q92" s="442">
        <f t="shared" si="133"/>
        <v>9.9045266258981825E-4</v>
      </c>
      <c r="R92" s="1508">
        <f t="shared" si="134"/>
        <v>5.8238597640011235E-2</v>
      </c>
      <c r="S92" s="442">
        <f t="shared" si="135"/>
        <v>6.3556943482973006E-4</v>
      </c>
      <c r="T92" s="442">
        <f t="shared" si="135"/>
        <v>1.7526522325536568E-3</v>
      </c>
      <c r="U92" s="442">
        <f t="shared" si="135"/>
        <v>7.7479708334636359E-4</v>
      </c>
      <c r="V92" s="442">
        <f t="shared" si="135"/>
        <v>8.6028509019235794E-4</v>
      </c>
      <c r="W92" s="442">
        <f t="shared" si="135"/>
        <v>9.0928170757015618E-4</v>
      </c>
      <c r="X92" s="442">
        <f t="shared" si="135"/>
        <v>1.5072497234315798E-3</v>
      </c>
      <c r="Y92" s="442">
        <f t="shared" si="135"/>
        <v>1.7336467415423995E-3</v>
      </c>
      <c r="Z92" s="442">
        <f t="shared" si="135"/>
        <v>1.502826410327331E-3</v>
      </c>
      <c r="AA92" s="442">
        <f t="shared" si="135"/>
        <v>1.2271719425672825E-3</v>
      </c>
      <c r="AB92" s="442">
        <f t="shared" si="135"/>
        <v>1.1042882912215279E-3</v>
      </c>
      <c r="AC92" s="442">
        <f t="shared" si="135"/>
        <v>1.2079260663040302E-3</v>
      </c>
      <c r="AD92" s="442"/>
      <c r="AE92" s="442"/>
      <c r="AF92" s="442">
        <f t="shared" si="136"/>
        <v>1.1655333409381003E-3</v>
      </c>
      <c r="AG92" s="1508">
        <f t="shared" si="137"/>
        <v>3.2962171570090758E-2</v>
      </c>
      <c r="AH92" s="1508">
        <f t="shared" si="138"/>
        <v>2.3329689365936546E-3</v>
      </c>
      <c r="AI92" s="1508">
        <f t="shared" si="138"/>
        <v>1.0833393902323282E-3</v>
      </c>
      <c r="AJ92" s="1508">
        <f t="shared" si="138"/>
        <v>8.6692439067316855E-4</v>
      </c>
      <c r="AK92" s="1508">
        <f t="shared" si="138"/>
        <v>8.4722085734995132E-4</v>
      </c>
      <c r="AL92" s="1508">
        <f t="shared" si="138"/>
        <v>4.8811820802852318E-4</v>
      </c>
      <c r="AM92" s="1508">
        <f t="shared" si="138"/>
        <v>1.9399024670002055E-3</v>
      </c>
      <c r="AN92" s="1508">
        <f t="shared" si="138"/>
        <v>1.0898020542242368E-3</v>
      </c>
      <c r="AO92" s="1508">
        <f t="shared" si="138"/>
        <v>2.1031038001748086E-3</v>
      </c>
      <c r="AP92" s="1508">
        <f t="shared" si="138"/>
        <v>1.5613935621190593E-3</v>
      </c>
      <c r="AQ92" s="1508">
        <f t="shared" si="138"/>
        <v>6.7334167644444065E-4</v>
      </c>
      <c r="AR92" s="1508">
        <f t="shared" si="138"/>
        <v>3.3663628877118172E-3</v>
      </c>
      <c r="AS92" s="1508">
        <f t="shared" si="138"/>
        <v>2.1007912240878913E-3</v>
      </c>
      <c r="AT92" s="1508"/>
      <c r="AU92" s="1508">
        <f t="shared" si="139"/>
        <v>4.5175578576388598E-2</v>
      </c>
      <c r="AV92" s="1508">
        <f t="shared" si="139"/>
        <v>5.7319973711633415E-2</v>
      </c>
      <c r="AW92" s="1508">
        <f t="shared" si="139"/>
        <v>8.8506160344541993E-2</v>
      </c>
      <c r="AX92" s="1508">
        <f t="shared" si="139"/>
        <v>3.9661150431745479E-2</v>
      </c>
      <c r="AY92" s="1508">
        <f t="shared" si="139"/>
        <v>3.8619413047944195E-2</v>
      </c>
      <c r="AZ92" s="1508">
        <f t="shared" si="139"/>
        <v>1.7383165000409168E-2</v>
      </c>
      <c r="BA92" s="1508" t="e">
        <f t="shared" si="139"/>
        <v>#DIV/0!</v>
      </c>
      <c r="BB92" s="1508" t="e">
        <f t="shared" si="139"/>
        <v>#DIV/0!</v>
      </c>
      <c r="BC92" s="1508" t="e">
        <f t="shared" si="139"/>
        <v>#DIV/0!</v>
      </c>
      <c r="BD92" s="1508" t="e">
        <f t="shared" si="139"/>
        <v>#DIV/0!</v>
      </c>
      <c r="BE92" s="1508" t="e">
        <f t="shared" si="139"/>
        <v>#DIV/0!</v>
      </c>
      <c r="BF92" s="1508" t="e">
        <f t="shared" si="139"/>
        <v>#DIV/0!</v>
      </c>
      <c r="BG92" s="1508" t="e">
        <f t="shared" si="139"/>
        <v>#DIV/0!</v>
      </c>
      <c r="BH92" s="1508">
        <f t="shared" si="139"/>
        <v>4.2883461215760442E-2</v>
      </c>
      <c r="BI92" s="1508">
        <f t="shared" si="139"/>
        <v>5.2115014918830506E-2</v>
      </c>
      <c r="BJ92" s="1188"/>
      <c r="BL92" s="1508">
        <f t="shared" si="140"/>
        <v>5.656193724888809E-2</v>
      </c>
      <c r="BM92" s="1508">
        <f t="shared" si="140"/>
        <v>5.1959137096626321E-2</v>
      </c>
      <c r="BN92" s="1508">
        <f t="shared" si="140"/>
        <v>6.0777433490796721E-2</v>
      </c>
      <c r="BO92" s="1508">
        <f t="shared" si="140"/>
        <v>5.2374945271950031E-2</v>
      </c>
      <c r="BP92" s="1508">
        <f t="shared" si="140"/>
        <v>5.2115014918830506E-2</v>
      </c>
      <c r="BQ92" s="1508">
        <f t="shared" si="140"/>
        <v>6.585593962292019E-2</v>
      </c>
      <c r="BR92" s="1508">
        <f t="shared" si="140"/>
        <v>5.1878240634492478E-2</v>
      </c>
      <c r="BS92" s="1508">
        <f t="shared" si="140"/>
        <v>5.5859384198478815E-2</v>
      </c>
      <c r="BT92" s="1508">
        <f t="shared" si="140"/>
        <v>5.4633420316177364E-2</v>
      </c>
      <c r="BU92" s="1508">
        <f t="shared" si="140"/>
        <v>5.0255916799547738E-2</v>
      </c>
      <c r="BV92" s="1508">
        <f t="shared" si="140"/>
        <v>5.0953356159171084E-2</v>
      </c>
      <c r="BW92" s="1508">
        <f t="shared" si="140"/>
        <v>5.4901811345999793E-2</v>
      </c>
      <c r="BX92" s="1508">
        <f t="shared" si="140"/>
        <v>5.4865294974180585E-2</v>
      </c>
    </row>
    <row r="93" spans="1:76">
      <c r="A93" s="422">
        <f t="shared" si="141"/>
        <v>11</v>
      </c>
      <c r="B93" s="422" t="s">
        <v>440</v>
      </c>
      <c r="C93" s="422" t="s">
        <v>444</v>
      </c>
      <c r="D93" s="1175" t="s">
        <v>844</v>
      </c>
      <c r="E93" s="422" t="s">
        <v>1252</v>
      </c>
      <c r="F93" s="442">
        <f t="shared" si="133"/>
        <v>2.5044588039166388E-3</v>
      </c>
      <c r="G93" s="442">
        <f t="shared" si="133"/>
        <v>3.605300587116448E-3</v>
      </c>
      <c r="H93" s="442">
        <f t="shared" si="133"/>
        <v>2.9603658497678186E-3</v>
      </c>
      <c r="I93" s="442">
        <f t="shared" si="133"/>
        <v>3.4305183317806225E-3</v>
      </c>
      <c r="J93" s="442">
        <f t="shared" si="133"/>
        <v>1.4123244978062174E-3</v>
      </c>
      <c r="K93" s="442">
        <f t="shared" si="133"/>
        <v>1.6079231780889917E-3</v>
      </c>
      <c r="L93" s="442">
        <f t="shared" si="133"/>
        <v>1.3923320524130856E-3</v>
      </c>
      <c r="M93" s="442">
        <f t="shared" si="133"/>
        <v>1.3245767375795014E-3</v>
      </c>
      <c r="N93" s="442">
        <f t="shared" si="133"/>
        <v>0</v>
      </c>
      <c r="O93" s="442">
        <f t="shared" si="133"/>
        <v>0</v>
      </c>
      <c r="P93" s="442">
        <f t="shared" si="133"/>
        <v>1.0153578769673058E-3</v>
      </c>
      <c r="Q93" s="442">
        <f t="shared" si="133"/>
        <v>5.3492312839607825E-4</v>
      </c>
      <c r="R93" s="1508">
        <f t="shared" si="134"/>
        <v>4.4195433663230428E-2</v>
      </c>
      <c r="S93" s="442">
        <f t="shared" si="135"/>
        <v>4.5820173853992218E-4</v>
      </c>
      <c r="T93" s="442">
        <f t="shared" si="135"/>
        <v>6.4146317774450758E-4</v>
      </c>
      <c r="U93" s="442">
        <f t="shared" si="135"/>
        <v>4.1178270083270596E-4</v>
      </c>
      <c r="V93" s="442">
        <f t="shared" si="135"/>
        <v>4.3435329038326545E-4</v>
      </c>
      <c r="W93" s="442">
        <f t="shared" si="135"/>
        <v>4.3509625160291965E-4</v>
      </c>
      <c r="X93" s="442">
        <f t="shared" si="135"/>
        <v>5.4153804061731143E-4</v>
      </c>
      <c r="Y93" s="442">
        <f t="shared" si="135"/>
        <v>8.1380533998269165E-4</v>
      </c>
      <c r="Z93" s="442">
        <f t="shared" si="135"/>
        <v>6.7960796364305136E-4</v>
      </c>
      <c r="AA93" s="442">
        <f t="shared" si="135"/>
        <v>5.6309503447214931E-4</v>
      </c>
      <c r="AB93" s="442">
        <f t="shared" si="135"/>
        <v>1.1135553515122815E-3</v>
      </c>
      <c r="AC93" s="442">
        <f t="shared" si="135"/>
        <v>6.4012994977836145E-4</v>
      </c>
      <c r="AD93" s="442"/>
      <c r="AE93" s="442"/>
      <c r="AF93" s="442">
        <f t="shared" si="136"/>
        <v>6.1455315086281432E-4</v>
      </c>
      <c r="AG93" s="1508">
        <f t="shared" si="137"/>
        <v>1.7380031686932043E-2</v>
      </c>
      <c r="AH93" s="1508">
        <f t="shared" si="138"/>
        <v>1.1483238009373585E-3</v>
      </c>
      <c r="AI93" s="1508">
        <f t="shared" si="138"/>
        <v>8.49844224546835E-4</v>
      </c>
      <c r="AJ93" s="1508">
        <f t="shared" si="138"/>
        <v>5.9350864649687066E-4</v>
      </c>
      <c r="AK93" s="1508">
        <f t="shared" si="138"/>
        <v>0</v>
      </c>
      <c r="AL93" s="1508">
        <f t="shared" si="138"/>
        <v>5.6724264335053661E-4</v>
      </c>
      <c r="AM93" s="1508">
        <f t="shared" si="138"/>
        <v>6.7893382292199167E-4</v>
      </c>
      <c r="AN93" s="1508">
        <f t="shared" si="138"/>
        <v>6.2329742243706122E-4</v>
      </c>
      <c r="AO93" s="1508">
        <f t="shared" si="138"/>
        <v>6.1842680191308936E-4</v>
      </c>
      <c r="AP93" s="1508">
        <f t="shared" si="138"/>
        <v>6.2277679531174399E-4</v>
      </c>
      <c r="AQ93" s="1508">
        <f t="shared" si="138"/>
        <v>8.2507262024943909E-4</v>
      </c>
      <c r="AR93" s="1508">
        <f t="shared" si="138"/>
        <v>1.0470322259399491E-3</v>
      </c>
      <c r="AS93" s="1508">
        <f t="shared" si="138"/>
        <v>7.7942827359006714E-4</v>
      </c>
      <c r="AT93" s="1508"/>
      <c r="AU93" s="1508">
        <f t="shared" si="139"/>
        <v>2.0436550429011265E-2</v>
      </c>
      <c r="AV93" s="1508">
        <f t="shared" si="139"/>
        <v>3.0401545299978378E-2</v>
      </c>
      <c r="AW93" s="1508">
        <f t="shared" si="139"/>
        <v>4.8152469769753188E-2</v>
      </c>
      <c r="AX93" s="1508">
        <f t="shared" si="139"/>
        <v>2.0378353116458532E-2</v>
      </c>
      <c r="AY93" s="1508">
        <f t="shared" si="139"/>
        <v>1.9954975480548708E-2</v>
      </c>
      <c r="AZ93" s="1508">
        <f t="shared" si="139"/>
        <v>1.8509124937859795E-2</v>
      </c>
      <c r="BA93" s="1508" t="e">
        <f t="shared" si="139"/>
        <v>#DIV/0!</v>
      </c>
      <c r="BB93" s="1508" t="e">
        <f t="shared" si="139"/>
        <v>#DIV/0!</v>
      </c>
      <c r="BC93" s="1508" t="e">
        <f t="shared" si="139"/>
        <v>#DIV/0!</v>
      </c>
      <c r="BD93" s="1508" t="e">
        <f t="shared" si="139"/>
        <v>#DIV/0!</v>
      </c>
      <c r="BE93" s="1508" t="e">
        <f t="shared" si="139"/>
        <v>#DIV/0!</v>
      </c>
      <c r="BF93" s="1508" t="e">
        <f t="shared" si="139"/>
        <v>#DIV/0!</v>
      </c>
      <c r="BG93" s="1508" t="e">
        <f t="shared" si="139"/>
        <v>#DIV/0!</v>
      </c>
      <c r="BH93" s="1508">
        <f t="shared" si="139"/>
        <v>2.4543793172933918E-2</v>
      </c>
      <c r="BI93" s="1508">
        <f t="shared" si="139"/>
        <v>4.1710464334539607E-2</v>
      </c>
      <c r="BJ93" s="1188"/>
      <c r="BL93" s="1508">
        <f t="shared" si="140"/>
        <v>2.2050300421407501E-2</v>
      </c>
      <c r="BM93" s="1508">
        <f t="shared" si="140"/>
        <v>2.6874865382639959E-2</v>
      </c>
      <c r="BN93" s="1508">
        <f t="shared" si="140"/>
        <v>2.1039550824286289E-2</v>
      </c>
      <c r="BO93" s="1508">
        <f t="shared" si="140"/>
        <v>2.0988914119534699E-2</v>
      </c>
      <c r="BP93" s="1508">
        <f t="shared" si="140"/>
        <v>4.1710464334539607E-2</v>
      </c>
      <c r="BQ93" s="1508">
        <f t="shared" si="140"/>
        <v>4.0872310795902284E-2</v>
      </c>
      <c r="BR93" s="1508">
        <f t="shared" si="140"/>
        <v>3.9928377521170129E-2</v>
      </c>
      <c r="BS93" s="1508">
        <f t="shared" si="140"/>
        <v>3.9562900381388252E-2</v>
      </c>
      <c r="BT93" s="1508">
        <f t="shared" si="140"/>
        <v>3.9699167546880978E-2</v>
      </c>
      <c r="BU93" s="1508">
        <f t="shared" si="140"/>
        <v>3.9472574124809742E-2</v>
      </c>
      <c r="BV93" s="1508">
        <f t="shared" si="140"/>
        <v>4.0020804320987653E-2</v>
      </c>
      <c r="BW93" s="1508">
        <f t="shared" si="140"/>
        <v>3.9562900381388252E-2</v>
      </c>
      <c r="BX93" s="1508">
        <f t="shared" si="140"/>
        <v>3.4639094999999995E-2</v>
      </c>
    </row>
    <row r="94" spans="1:76">
      <c r="A94" s="422">
        <f t="shared" si="141"/>
        <v>12</v>
      </c>
      <c r="B94" s="422" t="s">
        <v>440</v>
      </c>
      <c r="C94" s="422" t="s">
        <v>444</v>
      </c>
      <c r="D94" s="1175" t="s">
        <v>845</v>
      </c>
      <c r="E94" s="422" t="s">
        <v>1252</v>
      </c>
      <c r="F94" s="442">
        <f t="shared" si="133"/>
        <v>1.0116339393676458E-3</v>
      </c>
      <c r="G94" s="442">
        <f t="shared" si="133"/>
        <v>1.6403422683011154E-3</v>
      </c>
      <c r="H94" s="442">
        <f t="shared" si="133"/>
        <v>4.9465557426948633E-4</v>
      </c>
      <c r="I94" s="442">
        <f t="shared" si="133"/>
        <v>4.6958997351361436E-4</v>
      </c>
      <c r="J94" s="442">
        <f t="shared" si="133"/>
        <v>3.2826755314385026E-4</v>
      </c>
      <c r="K94" s="442">
        <f t="shared" si="133"/>
        <v>4.1371743471780101E-4</v>
      </c>
      <c r="L94" s="442">
        <f t="shared" si="133"/>
        <v>5.7746989899538296E-4</v>
      </c>
      <c r="M94" s="442">
        <f t="shared" si="133"/>
        <v>5.5816928886549995E-4</v>
      </c>
      <c r="N94" s="442">
        <f t="shared" si="133"/>
        <v>7.9614845718320557E-4</v>
      </c>
      <c r="O94" s="442">
        <f t="shared" si="133"/>
        <v>6.7467876322780513E-4</v>
      </c>
      <c r="P94" s="442">
        <f t="shared" si="133"/>
        <v>6.8549034901987471E-4</v>
      </c>
      <c r="Q94" s="442">
        <f t="shared" si="133"/>
        <v>4.9218345223767893E-4</v>
      </c>
      <c r="R94" s="1508">
        <f t="shared" si="134"/>
        <v>1.9055506864276671E-2</v>
      </c>
      <c r="S94" s="442">
        <f t="shared" si="135"/>
        <v>2.6388843524956986E-3</v>
      </c>
      <c r="T94" s="442">
        <f t="shared" si="135"/>
        <v>3.4769080792164432E-3</v>
      </c>
      <c r="U94" s="442">
        <f t="shared" si="135"/>
        <v>3.467908096046551E-4</v>
      </c>
      <c r="V94" s="442">
        <f t="shared" si="135"/>
        <v>3.6836361154637856E-4</v>
      </c>
      <c r="W94" s="442">
        <f t="shared" si="135"/>
        <v>3.6600146487124189E-4</v>
      </c>
      <c r="X94" s="442">
        <f t="shared" si="135"/>
        <v>7.1725879959819172E-4</v>
      </c>
      <c r="Y94" s="442">
        <f t="shared" si="135"/>
        <v>7.6315442310336814E-4</v>
      </c>
      <c r="Z94" s="442">
        <f t="shared" si="135"/>
        <v>1.0410117245930669E-3</v>
      </c>
      <c r="AA94" s="442">
        <f t="shared" si="135"/>
        <v>6.3118804239788093E-3</v>
      </c>
      <c r="AB94" s="442">
        <f t="shared" si="135"/>
        <v>4.5242035618014851E-4</v>
      </c>
      <c r="AC94" s="442">
        <f t="shared" si="135"/>
        <v>5.2921594947948427E-4</v>
      </c>
      <c r="AD94" s="442"/>
      <c r="AE94" s="442"/>
      <c r="AF94" s="442">
        <f t="shared" si="136"/>
        <v>1.3855642660970658E-3</v>
      </c>
      <c r="AG94" s="1508">
        <f t="shared" si="137"/>
        <v>3.9184813901350153E-2</v>
      </c>
      <c r="AH94" s="1508">
        <f t="shared" si="138"/>
        <v>7.8235744811109009E-3</v>
      </c>
      <c r="AI94" s="1508">
        <f t="shared" si="138"/>
        <v>8.1388929492068687E-4</v>
      </c>
      <c r="AJ94" s="1508">
        <f t="shared" si="138"/>
        <v>4.7191336782528501E-4</v>
      </c>
      <c r="AK94" s="1508">
        <f t="shared" si="138"/>
        <v>3.4931328713723572E-4</v>
      </c>
      <c r="AL94" s="1508">
        <f t="shared" si="138"/>
        <v>3.2694719232502175E-4</v>
      </c>
      <c r="AM94" s="1508">
        <f t="shared" si="138"/>
        <v>2.1485516436693647E-4</v>
      </c>
      <c r="AN94" s="1508">
        <f t="shared" si="138"/>
        <v>6.5314885070747591E-4</v>
      </c>
      <c r="AO94" s="1508">
        <f t="shared" si="138"/>
        <v>1.1092526593734296E-3</v>
      </c>
      <c r="AP94" s="1508">
        <f t="shared" si="138"/>
        <v>1.1385548521563638E-2</v>
      </c>
      <c r="AQ94" s="1508">
        <f t="shared" si="138"/>
        <v>1.3161247506946058E-3</v>
      </c>
      <c r="AR94" s="1508">
        <f t="shared" si="138"/>
        <v>1.2325534681613328E-3</v>
      </c>
      <c r="AS94" s="1508">
        <f t="shared" si="138"/>
        <v>1.4150938139741577E-3</v>
      </c>
      <c r="AT94" s="1508"/>
      <c r="AU94" s="1508">
        <f t="shared" si="139"/>
        <v>6.6770000495513321E-2</v>
      </c>
      <c r="AV94" s="1508">
        <f t="shared" si="139"/>
        <v>0.10420332958669204</v>
      </c>
      <c r="AW94" s="1508">
        <f t="shared" si="139"/>
        <v>0.35536872287560045</v>
      </c>
      <c r="AX94" s="1508">
        <f t="shared" si="139"/>
        <v>3.0134365574955333E-2</v>
      </c>
      <c r="AY94" s="1508">
        <f t="shared" si="139"/>
        <v>1.4321804475286672E-2</v>
      </c>
      <c r="AZ94" s="1508">
        <f t="shared" si="139"/>
        <v>3.477662732187263E-2</v>
      </c>
      <c r="BA94" s="1508" t="e">
        <f t="shared" si="139"/>
        <v>#DIV/0!</v>
      </c>
      <c r="BB94" s="1508" t="e">
        <f t="shared" si="139"/>
        <v>#DIV/0!</v>
      </c>
      <c r="BC94" s="1508" t="e">
        <f t="shared" si="139"/>
        <v>#DIV/0!</v>
      </c>
      <c r="BD94" s="1508" t="e">
        <f t="shared" si="139"/>
        <v>#DIV/0!</v>
      </c>
      <c r="BE94" s="1508" t="e">
        <f t="shared" si="139"/>
        <v>#DIV/0!</v>
      </c>
      <c r="BF94" s="1508" t="e">
        <f t="shared" si="139"/>
        <v>#DIV/0!</v>
      </c>
      <c r="BG94" s="1508" t="e">
        <f t="shared" si="139"/>
        <v>#DIV/0!</v>
      </c>
      <c r="BH94" s="1508">
        <f t="shared" si="139"/>
        <v>7.44004748008711E-2</v>
      </c>
      <c r="BI94" s="1508">
        <f t="shared" si="139"/>
        <v>1.0824286590269402E-2</v>
      </c>
      <c r="BJ94" s="1188"/>
      <c r="BL94" s="1508">
        <f t="shared" si="140"/>
        <v>0.23253106900547832</v>
      </c>
      <c r="BM94" s="1508">
        <f t="shared" si="140"/>
        <v>3.0652285952747816E-2</v>
      </c>
      <c r="BN94" s="1508">
        <f t="shared" si="140"/>
        <v>1.0824286590269402E-2</v>
      </c>
      <c r="BO94" s="1508">
        <f t="shared" si="140"/>
        <v>1.0798235359005216E-2</v>
      </c>
      <c r="BP94" s="1508">
        <f t="shared" si="140"/>
        <v>1.0824286590269402E-2</v>
      </c>
      <c r="BQ94" s="1508">
        <f t="shared" si="140"/>
        <v>2.4612856312619613E-2</v>
      </c>
      <c r="BR94" s="1508">
        <f t="shared" si="140"/>
        <v>0.19657098896128888</v>
      </c>
      <c r="BS94" s="1508">
        <f t="shared" si="140"/>
        <v>0.2014994009616432</v>
      </c>
      <c r="BT94" s="1508">
        <f t="shared" si="140"/>
        <v>1.8210801213711662E-2</v>
      </c>
      <c r="BU94" s="1508">
        <f t="shared" si="140"/>
        <v>2.3670360148945423E-2</v>
      </c>
      <c r="BV94" s="1508">
        <f t="shared" si="140"/>
        <v>2.3999115151014109E-2</v>
      </c>
      <c r="BW94" s="1508">
        <f t="shared" si="140"/>
        <v>2.3724525732810288E-2</v>
      </c>
      <c r="BX94" s="1508">
        <f t="shared" si="140"/>
        <v>6.7597615356666668E-2</v>
      </c>
    </row>
    <row r="95" spans="1:76">
      <c r="A95" s="422">
        <f t="shared" si="141"/>
        <v>13</v>
      </c>
      <c r="B95" s="422" t="s">
        <v>440</v>
      </c>
      <c r="C95" s="422" t="s">
        <v>444</v>
      </c>
      <c r="D95" s="1175" t="s">
        <v>846</v>
      </c>
      <c r="E95" s="422" t="s">
        <v>1252</v>
      </c>
      <c r="F95" s="442">
        <f t="shared" si="133"/>
        <v>1.2505130152176051E-3</v>
      </c>
      <c r="G95" s="442">
        <f t="shared" si="133"/>
        <v>1.6384383836384037E-3</v>
      </c>
      <c r="H95" s="442">
        <f t="shared" si="133"/>
        <v>1.13816745370175E-3</v>
      </c>
      <c r="I95" s="442">
        <f t="shared" si="133"/>
        <v>1.1987837637753671E-3</v>
      </c>
      <c r="J95" s="442">
        <f t="shared" si="133"/>
        <v>1.0231008679802238E-3</v>
      </c>
      <c r="K95" s="442">
        <f t="shared" si="133"/>
        <v>1.1396524396805516E-3</v>
      </c>
      <c r="L95" s="442">
        <f t="shared" si="133"/>
        <v>1.0198679417349685E-3</v>
      </c>
      <c r="M95" s="442">
        <f t="shared" si="133"/>
        <v>9.3486200555609861E-4</v>
      </c>
      <c r="N95" s="442">
        <f t="shared" si="133"/>
        <v>1.0566190751683956E-3</v>
      </c>
      <c r="O95" s="442">
        <f t="shared" si="133"/>
        <v>9.7355355870875791E-4</v>
      </c>
      <c r="P95" s="442">
        <f t="shared" si="133"/>
        <v>1.1889016973412948E-3</v>
      </c>
      <c r="Q95" s="442">
        <f t="shared" si="133"/>
        <v>6.0304906062164099E-4</v>
      </c>
      <c r="R95" s="1508">
        <f t="shared" si="134"/>
        <v>3.1078432122346487E-2</v>
      </c>
      <c r="S95" s="442">
        <f t="shared" si="135"/>
        <v>6.2972925108893479E-4</v>
      </c>
      <c r="T95" s="442">
        <f t="shared" si="135"/>
        <v>7.1681568037543697E-4</v>
      </c>
      <c r="U95" s="442">
        <f t="shared" si="135"/>
        <v>4.9742723196080749E-4</v>
      </c>
      <c r="V95" s="442">
        <f t="shared" si="135"/>
        <v>1.1517494340242665E-3</v>
      </c>
      <c r="W95" s="442">
        <f t="shared" si="135"/>
        <v>8.6150092053596686E-4</v>
      </c>
      <c r="X95" s="442">
        <f t="shared" si="135"/>
        <v>1.9084659362666465E-3</v>
      </c>
      <c r="Y95" s="442">
        <f t="shared" si="135"/>
        <v>1.9334212414453935E-3</v>
      </c>
      <c r="Z95" s="442">
        <f t="shared" si="135"/>
        <v>1.5381904777780565E-3</v>
      </c>
      <c r="AA95" s="442">
        <f t="shared" si="135"/>
        <v>1.4798590514271503E-3</v>
      </c>
      <c r="AB95" s="442">
        <f t="shared" si="135"/>
        <v>1.1276514164084454E-3</v>
      </c>
      <c r="AC95" s="442">
        <f t="shared" si="135"/>
        <v>1.087708138270683E-3</v>
      </c>
      <c r="AD95" s="442"/>
      <c r="AE95" s="442"/>
      <c r="AF95" s="442">
        <f t="shared" si="136"/>
        <v>1.1298129664928992E-3</v>
      </c>
      <c r="AG95" s="1508">
        <f t="shared" si="137"/>
        <v>3.1951972144939229E-2</v>
      </c>
      <c r="AH95" s="1508">
        <f t="shared" si="138"/>
        <v>2.0696064522871117E-3</v>
      </c>
      <c r="AI95" s="1508">
        <f t="shared" si="138"/>
        <v>1.5876628525168298E-3</v>
      </c>
      <c r="AJ95" s="1508">
        <f t="shared" si="138"/>
        <v>1.3199101406968839E-3</v>
      </c>
      <c r="AK95" s="1508">
        <f t="shared" si="138"/>
        <v>1.5803036810475065E-3</v>
      </c>
      <c r="AL95" s="1508">
        <f t="shared" si="138"/>
        <v>1.2701374161452326E-3</v>
      </c>
      <c r="AM95" s="1508">
        <f t="shared" si="138"/>
        <v>1.3357664163858674E-3</v>
      </c>
      <c r="AN95" s="1508">
        <f t="shared" si="138"/>
        <v>1.3321304872764349E-3</v>
      </c>
      <c r="AO95" s="1508">
        <f t="shared" si="138"/>
        <v>1.2940668150070171E-3</v>
      </c>
      <c r="AP95" s="1508">
        <f t="shared" si="138"/>
        <v>1.3324285176029712E-3</v>
      </c>
      <c r="AQ95" s="1508">
        <f t="shared" si="138"/>
        <v>1.6940023301111556E-3</v>
      </c>
      <c r="AR95" s="1508">
        <f t="shared" si="138"/>
        <v>2.2321471729713003E-3</v>
      </c>
      <c r="AS95" s="1508">
        <f t="shared" si="138"/>
        <v>1.7207601335440684E-3</v>
      </c>
      <c r="AT95" s="1508"/>
      <c r="AU95" s="1508">
        <f t="shared" si="139"/>
        <v>4.6787217500693971E-2</v>
      </c>
      <c r="AV95" s="1508">
        <f t="shared" si="139"/>
        <v>6.4482823275052531E-2</v>
      </c>
      <c r="AW95" s="1508">
        <f t="shared" si="139"/>
        <v>8.9394842913146699E-2</v>
      </c>
      <c r="AX95" s="1508">
        <f t="shared" si="139"/>
        <v>4.2020671159570692E-2</v>
      </c>
      <c r="AY95" s="1508">
        <f t="shared" si="139"/>
        <v>4.7113577067529736E-2</v>
      </c>
      <c r="AZ95" s="1508">
        <f t="shared" si="139"/>
        <v>5.5061650321403338E-2</v>
      </c>
      <c r="BA95" s="1508" t="e">
        <f t="shared" si="139"/>
        <v>#DIV/0!</v>
      </c>
      <c r="BB95" s="1508" t="e">
        <f t="shared" si="139"/>
        <v>#DIV/0!</v>
      </c>
      <c r="BC95" s="1508" t="e">
        <f t="shared" si="139"/>
        <v>#DIV/0!</v>
      </c>
      <c r="BD95" s="1508" t="e">
        <f t="shared" si="139"/>
        <v>#DIV/0!</v>
      </c>
      <c r="BE95" s="1508" t="e">
        <f t="shared" si="139"/>
        <v>#DIV/0!</v>
      </c>
      <c r="BF95" s="1508" t="e">
        <f t="shared" si="139"/>
        <v>#DIV/0!</v>
      </c>
      <c r="BG95" s="1508" t="e">
        <f t="shared" si="139"/>
        <v>#DIV/0!</v>
      </c>
      <c r="BH95" s="1508">
        <f t="shared" si="139"/>
        <v>5.4982585594972218E-2</v>
      </c>
      <c r="BI95" s="1508">
        <f t="shared" si="139"/>
        <v>4.5838359469240045E-2</v>
      </c>
      <c r="BJ95" s="1188"/>
      <c r="BL95" s="1508">
        <f t="shared" si="140"/>
        <v>4.804045512010114E-2</v>
      </c>
      <c r="BM95" s="1508">
        <f t="shared" si="140"/>
        <v>5.8551617873651769E-2</v>
      </c>
      <c r="BN95" s="1508">
        <f t="shared" si="140"/>
        <v>4.5838359469240045E-2</v>
      </c>
      <c r="BO95" s="1508">
        <f t="shared" si="140"/>
        <v>4.5728038507821901E-2</v>
      </c>
      <c r="BP95" s="1508">
        <f t="shared" si="140"/>
        <v>4.5838359469240045E-2</v>
      </c>
      <c r="BQ95" s="1508">
        <f t="shared" si="140"/>
        <v>4.4917257683215132E-2</v>
      </c>
      <c r="BR95" s="1508">
        <f t="shared" si="140"/>
        <v>4.3879907621247112E-2</v>
      </c>
      <c r="BS95" s="1508">
        <f t="shared" si="140"/>
        <v>4.3478260869565216E-2</v>
      </c>
      <c r="BT95" s="1508">
        <f t="shared" si="140"/>
        <v>4.3628013777267508E-2</v>
      </c>
      <c r="BU95" s="1508">
        <f t="shared" si="140"/>
        <v>4.3378995433789952E-2</v>
      </c>
      <c r="BV95" s="1508">
        <f t="shared" si="140"/>
        <v>4.3981481481481483E-2</v>
      </c>
      <c r="BW95" s="1508">
        <f t="shared" si="140"/>
        <v>4.3478260869565216E-2</v>
      </c>
      <c r="BX95" s="1508">
        <f t="shared" si="140"/>
        <v>4.5600000000000002E-2</v>
      </c>
    </row>
    <row r="96" spans="1:76">
      <c r="A96" s="422">
        <f t="shared" si="141"/>
        <v>14</v>
      </c>
      <c r="B96" s="422" t="s">
        <v>440</v>
      </c>
      <c r="C96" s="422" t="s">
        <v>446</v>
      </c>
      <c r="D96" s="1175" t="s">
        <v>847</v>
      </c>
      <c r="E96" s="422" t="s">
        <v>1252</v>
      </c>
      <c r="F96" s="442">
        <f t="shared" si="133"/>
        <v>4.9412128738602473E-4</v>
      </c>
      <c r="G96" s="442">
        <f t="shared" si="133"/>
        <v>3.6618930248761991E-4</v>
      </c>
      <c r="H96" s="442">
        <f t="shared" si="133"/>
        <v>3.5647263328020598E-4</v>
      </c>
      <c r="I96" s="442">
        <f t="shared" si="133"/>
        <v>4.3514190614308532E-4</v>
      </c>
      <c r="J96" s="442">
        <f t="shared" si="133"/>
        <v>7.4825327007447975E-4</v>
      </c>
      <c r="K96" s="442">
        <f t="shared" si="133"/>
        <v>5.9148879680181955E-4</v>
      </c>
      <c r="L96" s="442">
        <f t="shared" si="133"/>
        <v>6.0307381455261305E-4</v>
      </c>
      <c r="M96" s="442">
        <f t="shared" si="133"/>
        <v>9.9216038872075541E-4</v>
      </c>
      <c r="N96" s="442">
        <f t="shared" si="133"/>
        <v>5.8193617601368661E-4</v>
      </c>
      <c r="O96" s="442">
        <f t="shared" si="133"/>
        <v>1.0338779536479888E-3</v>
      </c>
      <c r="P96" s="442">
        <f t="shared" si="133"/>
        <v>9.1741745054355745E-4</v>
      </c>
      <c r="Q96" s="442">
        <f t="shared" si="133"/>
        <v>5.6769734841355596E-4</v>
      </c>
      <c r="R96" s="1508">
        <f t="shared" si="134"/>
        <v>1.9348490865216245E-2</v>
      </c>
      <c r="S96" s="442">
        <f t="shared" si="135"/>
        <v>3.9699232059161216E-4</v>
      </c>
      <c r="T96" s="442">
        <f t="shared" si="135"/>
        <v>1.9257480082925989E-3</v>
      </c>
      <c r="U96" s="442">
        <f t="shared" si="135"/>
        <v>9.3935199213026743E-4</v>
      </c>
      <c r="V96" s="442">
        <f t="shared" si="135"/>
        <v>7.1535950321068411E-4</v>
      </c>
      <c r="W96" s="442">
        <f t="shared" si="135"/>
        <v>6.3089441082356701E-4</v>
      </c>
      <c r="X96" s="442">
        <f t="shared" si="135"/>
        <v>1.0556105539448793E-3</v>
      </c>
      <c r="Y96" s="442">
        <f t="shared" si="135"/>
        <v>1.9326734194615035E-3</v>
      </c>
      <c r="Z96" s="442">
        <f t="shared" si="135"/>
        <v>2.3420007964550563E-3</v>
      </c>
      <c r="AA96" s="442">
        <f t="shared" si="135"/>
        <v>2.8405208885370287E-3</v>
      </c>
      <c r="AB96" s="442">
        <f t="shared" si="135"/>
        <v>1.7540426040611107E-3</v>
      </c>
      <c r="AC96" s="442">
        <f t="shared" si="135"/>
        <v>2.0416048551047091E-3</v>
      </c>
      <c r="AD96" s="442"/>
      <c r="AE96" s="442"/>
      <c r="AF96" s="442">
        <f t="shared" si="136"/>
        <v>1.5447340439252429E-3</v>
      </c>
      <c r="AG96" s="1508">
        <f t="shared" si="137"/>
        <v>4.36862565810789E-2</v>
      </c>
      <c r="AH96" s="1508">
        <f t="shared" si="138"/>
        <v>3.0548700111655185E-3</v>
      </c>
      <c r="AI96" s="1508">
        <f t="shared" si="138"/>
        <v>2.3941756248213077E-3</v>
      </c>
      <c r="AJ96" s="1508">
        <f t="shared" si="138"/>
        <v>1.8218398649797673E-3</v>
      </c>
      <c r="AK96" s="1508">
        <f t="shared" si="138"/>
        <v>2.2865356745169173E-3</v>
      </c>
      <c r="AL96" s="1508">
        <f t="shared" si="138"/>
        <v>1.4575145998529391E-3</v>
      </c>
      <c r="AM96" s="1508">
        <f t="shared" si="138"/>
        <v>1.6720135915206586E-3</v>
      </c>
      <c r="AN96" s="1508">
        <f t="shared" si="138"/>
        <v>1.5159765445735883E-3</v>
      </c>
      <c r="AO96" s="1508">
        <f t="shared" si="138"/>
        <v>1.5967333113923385E-3</v>
      </c>
      <c r="AP96" s="1508">
        <f t="shared" si="138"/>
        <v>1.7781091890067551E-3</v>
      </c>
      <c r="AQ96" s="1508">
        <f t="shared" si="138"/>
        <v>3.3877630579319004E-3</v>
      </c>
      <c r="AR96" s="1508">
        <f t="shared" si="138"/>
        <v>2.665486480326015E-3</v>
      </c>
      <c r="AS96" s="1508">
        <f t="shared" si="138"/>
        <v>1.6102684087471242E-3</v>
      </c>
      <c r="AT96" s="1508"/>
      <c r="AU96" s="1508">
        <f t="shared" si="139"/>
        <v>6.2214593132474807E-2</v>
      </c>
      <c r="AV96" s="1508">
        <f t="shared" si="139"/>
        <v>5.4575102553302487E-2</v>
      </c>
      <c r="AW96" s="1508">
        <f t="shared" si="139"/>
        <v>0.10244035282425044</v>
      </c>
      <c r="AX96" s="1508">
        <f t="shared" si="139"/>
        <v>3.7051901290083941E-2</v>
      </c>
      <c r="AY96" s="1508">
        <f t="shared" si="139"/>
        <v>6.1468686690347496E-2</v>
      </c>
      <c r="AZ96" s="1508">
        <f t="shared" si="139"/>
        <v>0.10690096702129495</v>
      </c>
      <c r="BA96" s="1508" t="e">
        <f t="shared" si="139"/>
        <v>#DIV/0!</v>
      </c>
      <c r="BB96" s="1508" t="e">
        <f t="shared" si="139"/>
        <v>#DIV/0!</v>
      </c>
      <c r="BC96" s="1508" t="e">
        <f t="shared" si="139"/>
        <v>#DIV/0!</v>
      </c>
      <c r="BD96" s="1508" t="e">
        <f t="shared" si="139"/>
        <v>#DIV/0!</v>
      </c>
      <c r="BE96" s="1508" t="e">
        <f t="shared" si="139"/>
        <v>#DIV/0!</v>
      </c>
      <c r="BF96" s="1508" t="e">
        <f t="shared" si="139"/>
        <v>#DIV/0!</v>
      </c>
      <c r="BG96" s="1508" t="e">
        <f t="shared" si="139"/>
        <v>#DIV/0!</v>
      </c>
      <c r="BH96" s="1508">
        <f t="shared" si="139"/>
        <v>6.8155874495589727E-2</v>
      </c>
      <c r="BI96" s="1508">
        <f t="shared" si="139"/>
        <v>4.8412255123307851E-2</v>
      </c>
      <c r="BJ96" s="1188"/>
      <c r="BL96" s="1508">
        <f t="shared" si="140"/>
        <v>7.9188765192033883E-2</v>
      </c>
      <c r="BM96" s="1508">
        <f t="shared" si="140"/>
        <v>5.6390672522186214E-2</v>
      </c>
      <c r="BN96" s="1508">
        <f t="shared" si="140"/>
        <v>8.349810152459454E-2</v>
      </c>
      <c r="BO96" s="1508">
        <f t="shared" si="140"/>
        <v>5.4109085395774727E-2</v>
      </c>
      <c r="BP96" s="1508">
        <f t="shared" si="140"/>
        <v>4.8412255123307851E-2</v>
      </c>
      <c r="BQ96" s="1508">
        <f t="shared" si="140"/>
        <v>5.5955575134620426E-2</v>
      </c>
      <c r="BR96" s="1508">
        <f t="shared" si="140"/>
        <v>6.619995255645357E-2</v>
      </c>
      <c r="BS96" s="1508">
        <f t="shared" si="140"/>
        <v>3.5784401045639444E-2</v>
      </c>
      <c r="BT96" s="1508">
        <f t="shared" si="140"/>
        <v>2.9143589300293402E-2</v>
      </c>
      <c r="BU96" s="1508">
        <f t="shared" si="140"/>
        <v>2.8087885099568718E-2</v>
      </c>
      <c r="BV96" s="1508">
        <f t="shared" si="140"/>
        <v>1.834792817001029E-2</v>
      </c>
      <c r="BW96" s="1508">
        <f t="shared" si="140"/>
        <v>2.1095450273328261E-2</v>
      </c>
      <c r="BX96" s="1508">
        <f t="shared" si="140"/>
        <v>4.737764244560197E-2</v>
      </c>
    </row>
    <row r="97" spans="1:76">
      <c r="A97" s="422">
        <f t="shared" si="141"/>
        <v>15</v>
      </c>
      <c r="B97" s="422" t="s">
        <v>440</v>
      </c>
      <c r="C97" s="422" t="s">
        <v>444</v>
      </c>
      <c r="D97" s="1175" t="s">
        <v>175</v>
      </c>
      <c r="E97" s="422" t="s">
        <v>1252</v>
      </c>
      <c r="F97" s="442">
        <f t="shared" si="133"/>
        <v>3.0943515526103498E-3</v>
      </c>
      <c r="G97" s="442">
        <f t="shared" si="133"/>
        <v>1.2093088237246615E-3</v>
      </c>
      <c r="H97" s="442">
        <f t="shared" si="133"/>
        <v>1.2365500220946526E-3</v>
      </c>
      <c r="I97" s="442">
        <f t="shared" si="133"/>
        <v>1.3673613895439321E-3</v>
      </c>
      <c r="J97" s="442">
        <f t="shared" si="133"/>
        <v>1.2702171858641744E-3</v>
      </c>
      <c r="K97" s="442">
        <f t="shared" si="133"/>
        <v>1.204178378383479E-3</v>
      </c>
      <c r="L97" s="442">
        <f t="shared" si="133"/>
        <v>1.0761458298268179E-3</v>
      </c>
      <c r="M97" s="442">
        <f t="shared" si="133"/>
        <v>4.8923346534958877E-4</v>
      </c>
      <c r="N97" s="442">
        <f t="shared" si="133"/>
        <v>6.4204413561016614E-4</v>
      </c>
      <c r="O97" s="442">
        <f t="shared" si="133"/>
        <v>5.1489060815601063E-4</v>
      </c>
      <c r="P97" s="442">
        <f t="shared" si="133"/>
        <v>3.1519345172794619E-4</v>
      </c>
      <c r="Q97" s="442">
        <f t="shared" si="133"/>
        <v>1.1827764485482388E-4</v>
      </c>
      <c r="R97" s="1508">
        <f t="shared" si="134"/>
        <v>2.7038722931418204E-2</v>
      </c>
      <c r="S97" s="442">
        <f t="shared" si="135"/>
        <v>1.3049050085870166E-4</v>
      </c>
      <c r="T97" s="442">
        <f t="shared" si="135"/>
        <v>9.7088565254045356E-5</v>
      </c>
      <c r="U97" s="442">
        <f t="shared" si="135"/>
        <v>2.4854480159893346E-4</v>
      </c>
      <c r="V97" s="442">
        <f t="shared" si="135"/>
        <v>3.8204937388348675E-4</v>
      </c>
      <c r="W97" s="442">
        <f t="shared" si="135"/>
        <v>1.3300939342250314E-4</v>
      </c>
      <c r="X97" s="442">
        <f t="shared" si="135"/>
        <v>9.8140685301044417E-4</v>
      </c>
      <c r="Y97" s="442">
        <f t="shared" si="135"/>
        <v>2.9545229370921567E-4</v>
      </c>
      <c r="Z97" s="442">
        <f t="shared" si="135"/>
        <v>1.2949126016241976E-3</v>
      </c>
      <c r="AA97" s="442">
        <f t="shared" si="135"/>
        <v>1.1108604624656393E-3</v>
      </c>
      <c r="AB97" s="442">
        <f t="shared" si="135"/>
        <v>6.8100151745303819E-4</v>
      </c>
      <c r="AC97" s="442">
        <f t="shared" si="135"/>
        <v>4.540899466488688E-4</v>
      </c>
      <c r="AD97" s="442"/>
      <c r="AE97" s="442"/>
      <c r="AF97" s="442">
        <f t="shared" si="136"/>
        <v>1.1626174249901055E-3</v>
      </c>
      <c r="AG97" s="1508">
        <f t="shared" si="137"/>
        <v>3.2879707243772628E-2</v>
      </c>
      <c r="AH97" s="1508">
        <f t="shared" si="138"/>
        <v>7.709211906623682E-4</v>
      </c>
      <c r="AI97" s="1508">
        <f t="shared" si="138"/>
        <v>2.4012722029436015E-4</v>
      </c>
      <c r="AJ97" s="1508">
        <f t="shared" si="138"/>
        <v>9.2847340301411413E-5</v>
      </c>
      <c r="AK97" s="1508">
        <f t="shared" si="138"/>
        <v>1.9821979248265943E-4</v>
      </c>
      <c r="AL97" s="1508">
        <f t="shared" si="138"/>
        <v>4.2123760812924803E-5</v>
      </c>
      <c r="AM97" s="1508">
        <f t="shared" si="138"/>
        <v>1.4942611568578412E-4</v>
      </c>
      <c r="AN97" s="1508">
        <f t="shared" si="138"/>
        <v>1.9714623508056017E-4</v>
      </c>
      <c r="AO97" s="1508">
        <f t="shared" si="138"/>
        <v>2.3719356037736391E-4</v>
      </c>
      <c r="AP97" s="1508">
        <f t="shared" si="138"/>
        <v>1.0666951368131506E-4</v>
      </c>
      <c r="AQ97" s="1508">
        <f t="shared" si="138"/>
        <v>1.0716145158764985E-3</v>
      </c>
      <c r="AR97" s="1508">
        <f t="shared" si="138"/>
        <v>3.2702859638449885E-4</v>
      </c>
      <c r="AS97" s="1508">
        <f t="shared" si="138"/>
        <v>1.0242205671543311E-2</v>
      </c>
      <c r="AT97" s="1508"/>
      <c r="AU97" s="1508">
        <f t="shared" si="139"/>
        <v>3.297030634164537E-2</v>
      </c>
      <c r="AV97" s="1508">
        <f t="shared" si="139"/>
        <v>7.5098396177815819E-3</v>
      </c>
      <c r="AW97" s="1508">
        <f t="shared" si="139"/>
        <v>6.5929081773507814E-3</v>
      </c>
      <c r="AX97" s="1508">
        <f t="shared" si="139"/>
        <v>1.000473794885324E-2</v>
      </c>
      <c r="AY97" s="1508">
        <f t="shared" si="139"/>
        <v>1.0466036154069023E-2</v>
      </c>
      <c r="AZ97" s="1508">
        <f t="shared" si="139"/>
        <v>6.805118571585239E-3</v>
      </c>
      <c r="BA97" s="1508" t="e">
        <f t="shared" si="139"/>
        <v>#DIV/0!</v>
      </c>
      <c r="BB97" s="1508" t="e">
        <f t="shared" si="139"/>
        <v>#DIV/0!</v>
      </c>
      <c r="BC97" s="1508" t="e">
        <f t="shared" si="139"/>
        <v>#DIV/0!</v>
      </c>
      <c r="BD97" s="1508" t="e">
        <f t="shared" si="139"/>
        <v>#DIV/0!</v>
      </c>
      <c r="BE97" s="1508" t="e">
        <f t="shared" si="139"/>
        <v>#DIV/0!</v>
      </c>
      <c r="BF97" s="1508" t="e">
        <f t="shared" si="139"/>
        <v>#DIV/0!</v>
      </c>
      <c r="BG97" s="1508" t="e">
        <f t="shared" si="139"/>
        <v>#DIV/0!</v>
      </c>
      <c r="BH97" s="1508">
        <f t="shared" si="139"/>
        <v>8.6564933998111507E-3</v>
      </c>
      <c r="BI97" s="1508">
        <f t="shared" si="139"/>
        <v>5.0967157509047047E-3</v>
      </c>
      <c r="BJ97" s="1188"/>
      <c r="BL97" s="1508">
        <f t="shared" si="140"/>
        <v>5.5817665707964606E-3</v>
      </c>
      <c r="BM97" s="1508">
        <f t="shared" si="140"/>
        <v>4.7845567912172572E-3</v>
      </c>
      <c r="BN97" s="1508">
        <f t="shared" si="140"/>
        <v>4.8554612273823882E-3</v>
      </c>
      <c r="BO97" s="1508">
        <f t="shared" si="140"/>
        <v>3.7366755204572806E-3</v>
      </c>
      <c r="BP97" s="1508">
        <f t="shared" si="140"/>
        <v>5.0967157509047047E-3</v>
      </c>
      <c r="BQ97" s="1508">
        <f t="shared" si="140"/>
        <v>4.4978455762411359E-3</v>
      </c>
      <c r="BR97" s="1508">
        <f t="shared" si="140"/>
        <v>4.648010805427252E-3</v>
      </c>
      <c r="BS97" s="1508">
        <f t="shared" si="140"/>
        <v>3.5528345051487418E-3</v>
      </c>
      <c r="BT97" s="1508">
        <f t="shared" si="140"/>
        <v>4.8509498938002294E-3</v>
      </c>
      <c r="BU97" s="1508">
        <f t="shared" si="140"/>
        <v>3.5447230108447492E-3</v>
      </c>
      <c r="BV97" s="1508">
        <f t="shared" si="140"/>
        <v>4.6587700896990741E-3</v>
      </c>
      <c r="BW97" s="1508">
        <f t="shared" si="140"/>
        <v>3.5528345051487418E-3</v>
      </c>
      <c r="BX97" s="1508">
        <f t="shared" si="140"/>
        <v>4.4272128290000013E-3</v>
      </c>
    </row>
    <row r="98" spans="1:76">
      <c r="A98" s="422">
        <f t="shared" si="141"/>
        <v>16</v>
      </c>
      <c r="B98" s="422" t="s">
        <v>440</v>
      </c>
      <c r="C98" s="422" t="s">
        <v>444</v>
      </c>
      <c r="D98" s="1175" t="s">
        <v>848</v>
      </c>
      <c r="E98" s="422" t="s">
        <v>1252</v>
      </c>
      <c r="F98" s="442">
        <f t="shared" si="133"/>
        <v>1.4042973024254255E-5</v>
      </c>
      <c r="G98" s="442">
        <f t="shared" si="133"/>
        <v>3.3964691670557382E-3</v>
      </c>
      <c r="H98" s="442">
        <f t="shared" si="133"/>
        <v>2.0017148595932122E-4</v>
      </c>
      <c r="I98" s="442">
        <f t="shared" si="133"/>
        <v>2.2832303767334828E-4</v>
      </c>
      <c r="J98" s="442">
        <f t="shared" si="133"/>
        <v>1.6941918986978827E-4</v>
      </c>
      <c r="K98" s="442">
        <f t="shared" si="133"/>
        <v>3.8187108781577E-4</v>
      </c>
      <c r="L98" s="442">
        <f t="shared" si="133"/>
        <v>3.2033901660828045E-4</v>
      </c>
      <c r="M98" s="442">
        <f t="shared" si="133"/>
        <v>3.0475029918548049E-4</v>
      </c>
      <c r="N98" s="442">
        <f t="shared" si="133"/>
        <v>7.9462065542818027E-4</v>
      </c>
      <c r="O98" s="442">
        <f t="shared" si="133"/>
        <v>3.0457067341369253E-4</v>
      </c>
      <c r="P98" s="442">
        <f t="shared" si="133"/>
        <v>3.7351738587110516E-4</v>
      </c>
      <c r="Q98" s="442">
        <f t="shared" si="133"/>
        <v>3.2777667777891188E-4</v>
      </c>
      <c r="R98" s="1508">
        <f t="shared" si="134"/>
        <v>1.5640936483992306E-2</v>
      </c>
      <c r="S98" s="442">
        <f t="shared" si="135"/>
        <v>2.1567715979624571E-4</v>
      </c>
      <c r="T98" s="442">
        <f t="shared" si="135"/>
        <v>1.6358226242091636E-3</v>
      </c>
      <c r="U98" s="442">
        <f t="shared" si="135"/>
        <v>3.198046549923765E-4</v>
      </c>
      <c r="V98" s="442">
        <f t="shared" si="135"/>
        <v>7.9616505753745206E-4</v>
      </c>
      <c r="W98" s="442">
        <f t="shared" si="135"/>
        <v>9.1019636161661832E-4</v>
      </c>
      <c r="X98" s="442">
        <f t="shared" si="135"/>
        <v>2.3336921743330888E-3</v>
      </c>
      <c r="Y98" s="442">
        <f t="shared" si="135"/>
        <v>2.9426627520154243E-3</v>
      </c>
      <c r="Z98" s="442">
        <f t="shared" si="135"/>
        <v>6.8460969054010452E-3</v>
      </c>
      <c r="AA98" s="442">
        <f t="shared" si="135"/>
        <v>2.9831788126324413E-3</v>
      </c>
      <c r="AB98" s="442">
        <f t="shared" si="135"/>
        <v>7.9424919672092011E-3</v>
      </c>
      <c r="AC98" s="442">
        <f t="shared" si="135"/>
        <v>3.9064045413743096E-3</v>
      </c>
      <c r="AD98" s="442"/>
      <c r="AE98" s="442"/>
      <c r="AF98" s="442">
        <f t="shared" si="136"/>
        <v>3.571865014248438E-3</v>
      </c>
      <c r="AG98" s="1508">
        <f t="shared" si="137"/>
        <v>0.10101506605559597</v>
      </c>
      <c r="AH98" s="1508">
        <f t="shared" si="138"/>
        <v>1.3141098941716509E-2</v>
      </c>
      <c r="AI98" s="1508">
        <f t="shared" si="138"/>
        <v>3.5800582476773553E-3</v>
      </c>
      <c r="AJ98" s="1508">
        <f t="shared" si="138"/>
        <v>8.2569588049123937E-3</v>
      </c>
      <c r="AK98" s="1508">
        <f t="shared" si="138"/>
        <v>3.3059142516382979E-3</v>
      </c>
      <c r="AL98" s="1508">
        <f t="shared" si="138"/>
        <v>5.0887554331294485E-3</v>
      </c>
      <c r="AM98" s="1508">
        <f t="shared" si="138"/>
        <v>6.2394668855398369E-4</v>
      </c>
      <c r="AN98" s="1508">
        <f t="shared" si="138"/>
        <v>7.0546407683758994E-4</v>
      </c>
      <c r="AO98" s="1508">
        <f t="shared" si="138"/>
        <v>2.3786624309595056E-3</v>
      </c>
      <c r="AP98" s="1508">
        <f t="shared" si="138"/>
        <v>5.3313679686715833E-4</v>
      </c>
      <c r="AQ98" s="1508">
        <f t="shared" si="138"/>
        <v>1.5424470974084892E-2</v>
      </c>
      <c r="AR98" s="1508">
        <f t="shared" si="138"/>
        <v>3.3838166508283044E-3</v>
      </c>
      <c r="AS98" s="1508">
        <f t="shared" si="138"/>
        <v>5.9590831294006026E-3</v>
      </c>
      <c r="AT98" s="1508"/>
      <c r="AU98" s="1508">
        <f t="shared" si="139"/>
        <v>0.14643474461934555</v>
      </c>
      <c r="AV98" s="1508">
        <f t="shared" si="139"/>
        <v>0.28866246474614476</v>
      </c>
      <c r="AW98" s="1508">
        <f t="shared" si="139"/>
        <v>0.14913643697200596</v>
      </c>
      <c r="AX98" s="1508">
        <f t="shared" si="139"/>
        <v>4.9246280805956041E-2</v>
      </c>
      <c r="AY98" s="1508">
        <f t="shared" si="139"/>
        <v>0.11654773827814541</v>
      </c>
      <c r="AZ98" s="1508">
        <f t="shared" si="139"/>
        <v>0.13979704326739747</v>
      </c>
      <c r="BA98" s="1508" t="e">
        <f t="shared" si="139"/>
        <v>#DIV/0!</v>
      </c>
      <c r="BB98" s="1508" t="e">
        <f t="shared" si="139"/>
        <v>#DIV/0!</v>
      </c>
      <c r="BC98" s="1508" t="e">
        <f t="shared" si="139"/>
        <v>#DIV/0!</v>
      </c>
      <c r="BD98" s="1508" t="e">
        <f t="shared" si="139"/>
        <v>#DIV/0!</v>
      </c>
      <c r="BE98" s="1508" t="e">
        <f t="shared" si="139"/>
        <v>#DIV/0!</v>
      </c>
      <c r="BF98" s="1508" t="e">
        <f t="shared" si="139"/>
        <v>#DIV/0!</v>
      </c>
      <c r="BG98" s="1508" t="e">
        <f t="shared" si="139"/>
        <v>#DIV/0!</v>
      </c>
      <c r="BH98" s="1508">
        <f t="shared" si="139"/>
        <v>0.13712765381812417</v>
      </c>
      <c r="BI98" s="1508">
        <f t="shared" si="139"/>
        <v>0.34604643715319661</v>
      </c>
      <c r="BJ98" s="1188"/>
      <c r="BL98" s="1508">
        <f t="shared" si="140"/>
        <v>0.42929519140328698</v>
      </c>
      <c r="BM98" s="1508">
        <f t="shared" si="140"/>
        <v>6.1209497688751923E-3</v>
      </c>
      <c r="BN98" s="1508">
        <f t="shared" si="140"/>
        <v>4.5443300844390834E-2</v>
      </c>
      <c r="BO98" s="1508">
        <f t="shared" si="140"/>
        <v>1.8619129241877256E-2</v>
      </c>
      <c r="BP98" s="1508">
        <f t="shared" si="140"/>
        <v>0.34604643715319661</v>
      </c>
      <c r="BQ98" s="1508">
        <f t="shared" si="140"/>
        <v>1.6702714420803785E-2</v>
      </c>
      <c r="BR98" s="1508">
        <f t="shared" si="140"/>
        <v>4.5255213548883753E-2</v>
      </c>
      <c r="BS98" s="1508">
        <f t="shared" si="140"/>
        <v>1.9228638138825322E-2</v>
      </c>
      <c r="BT98" s="1508">
        <f t="shared" si="140"/>
        <v>0.29943264033677769</v>
      </c>
      <c r="BU98" s="1508">
        <f t="shared" si="140"/>
        <v>2.283770517503805E-2</v>
      </c>
      <c r="BV98" s="1508">
        <f t="shared" si="140"/>
        <v>2.2923414043209873E-2</v>
      </c>
      <c r="BW98" s="1508">
        <f t="shared" si="140"/>
        <v>1.9228638138825322E-2</v>
      </c>
      <c r="BX98" s="1508">
        <f t="shared" si="140"/>
        <v>0.1071113142</v>
      </c>
    </row>
    <row r="99" spans="1:76">
      <c r="A99" s="422">
        <f t="shared" si="141"/>
        <v>17</v>
      </c>
      <c r="B99" s="422" t="s">
        <v>440</v>
      </c>
      <c r="C99" s="422" t="s">
        <v>444</v>
      </c>
      <c r="D99" s="1175" t="s">
        <v>849</v>
      </c>
      <c r="E99" s="422" t="s">
        <v>1252</v>
      </c>
      <c r="F99" s="442">
        <f t="shared" ref="F99:Q108" si="142">F39/F$50</f>
        <v>8.8424420732109233E-4</v>
      </c>
      <c r="G99" s="442">
        <f t="shared" si="142"/>
        <v>5.0973479636587924E-4</v>
      </c>
      <c r="H99" s="442">
        <f t="shared" si="142"/>
        <v>1.9966453302864667E-4</v>
      </c>
      <c r="I99" s="442">
        <f t="shared" si="142"/>
        <v>7.7781402151621637E-4</v>
      </c>
      <c r="J99" s="442">
        <f t="shared" si="142"/>
        <v>4.3518035583450191E-4</v>
      </c>
      <c r="K99" s="442">
        <f t="shared" si="142"/>
        <v>4.5242619057615302E-4</v>
      </c>
      <c r="L99" s="442">
        <f t="shared" si="142"/>
        <v>4.9398631985946983E-4</v>
      </c>
      <c r="M99" s="442">
        <f t="shared" si="142"/>
        <v>7.4291872246653697E-4</v>
      </c>
      <c r="N99" s="442">
        <f t="shared" si="142"/>
        <v>5.3848228106117614E-4</v>
      </c>
      <c r="O99" s="442">
        <f t="shared" si="142"/>
        <v>6.4444323248041596E-4</v>
      </c>
      <c r="P99" s="442">
        <f t="shared" si="142"/>
        <v>6.7808839651591361E-4</v>
      </c>
      <c r="Q99" s="442">
        <f t="shared" si="142"/>
        <v>7.4296569277477575E-4</v>
      </c>
      <c r="R99" s="1508">
        <f t="shared" si="134"/>
        <v>1.7526372690139517E-2</v>
      </c>
      <c r="S99" s="442">
        <f t="shared" ref="S99:AC108" si="143">S39/S$50</f>
        <v>4.9124270031066332E-4</v>
      </c>
      <c r="T99" s="442">
        <f t="shared" si="143"/>
        <v>5.5521943841304526E-4</v>
      </c>
      <c r="U99" s="442">
        <f t="shared" si="143"/>
        <v>2.4731876229345303E-4</v>
      </c>
      <c r="V99" s="442">
        <f t="shared" si="143"/>
        <v>7.3651754860596785E-4</v>
      </c>
      <c r="W99" s="442">
        <f t="shared" si="143"/>
        <v>7.1066725675488884E-4</v>
      </c>
      <c r="X99" s="442">
        <f t="shared" si="143"/>
        <v>5.9141219587168219E-4</v>
      </c>
      <c r="Y99" s="442">
        <f t="shared" si="143"/>
        <v>2.0248550063852347E-3</v>
      </c>
      <c r="Z99" s="442">
        <f t="shared" si="143"/>
        <v>1.34442623227821E-3</v>
      </c>
      <c r="AA99" s="442">
        <f t="shared" si="143"/>
        <v>1.0928300441615203E-3</v>
      </c>
      <c r="AB99" s="442">
        <f t="shared" si="143"/>
        <v>8.1373693153230476E-4</v>
      </c>
      <c r="AC99" s="442">
        <f t="shared" si="143"/>
        <v>5.9143333429544597E-4</v>
      </c>
      <c r="AD99" s="442"/>
      <c r="AE99" s="442"/>
      <c r="AF99" s="442">
        <f t="shared" si="136"/>
        <v>9.8887404855855197E-4</v>
      </c>
      <c r="AG99" s="1508">
        <f t="shared" si="137"/>
        <v>2.7966112083556722E-2</v>
      </c>
      <c r="AH99" s="1508">
        <f t="shared" ref="AH99:AS110" si="144">AH39/AH$50</f>
        <v>1.3187942744547333E-3</v>
      </c>
      <c r="AI99" s="1508">
        <f t="shared" si="144"/>
        <v>9.7933691363755117E-4</v>
      </c>
      <c r="AJ99" s="1508">
        <f t="shared" si="144"/>
        <v>3.1943616035458471E-3</v>
      </c>
      <c r="AK99" s="1508">
        <f t="shared" si="144"/>
        <v>9.8256605860880209E-4</v>
      </c>
      <c r="AL99" s="1508">
        <f t="shared" si="144"/>
        <v>3.9180262769753497E-4</v>
      </c>
      <c r="AM99" s="1508">
        <f t="shared" si="144"/>
        <v>1.8558126599499403E-3</v>
      </c>
      <c r="AN99" s="1508">
        <f t="shared" si="144"/>
        <v>3.4632349994897422E-3</v>
      </c>
      <c r="AO99" s="1508">
        <f t="shared" si="144"/>
        <v>1.0941767516852411E-3</v>
      </c>
      <c r="AP99" s="1508">
        <f t="shared" si="144"/>
        <v>1.5032293996864433E-3</v>
      </c>
      <c r="AQ99" s="1508">
        <f t="shared" si="144"/>
        <v>7.4730730223425031E-3</v>
      </c>
      <c r="AR99" s="1508">
        <f t="shared" si="144"/>
        <v>5.2940955107219244E-3</v>
      </c>
      <c r="AS99" s="1508">
        <f t="shared" si="144"/>
        <v>2.3538832643041009E-3</v>
      </c>
      <c r="AT99" s="1508"/>
      <c r="AU99" s="1508">
        <f t="shared" ref="AU99:BI109" si="145">AU39/AU$55</f>
        <v>7.4000751539132034E-2</v>
      </c>
      <c r="AV99" s="1508">
        <f t="shared" si="145"/>
        <v>0.16681323067239881</v>
      </c>
      <c r="AW99" s="1508">
        <f t="shared" si="145"/>
        <v>8.3850325216719118E-2</v>
      </c>
      <c r="AX99" s="1508">
        <f t="shared" si="145"/>
        <v>8.5792010915321903E-2</v>
      </c>
      <c r="AY99" s="1508">
        <f t="shared" si="145"/>
        <v>6.3969201416456692E-2</v>
      </c>
      <c r="AZ99" s="1508">
        <f t="shared" si="145"/>
        <v>0.14105793972302588</v>
      </c>
      <c r="BA99" s="1508" t="e">
        <f t="shared" si="145"/>
        <v>#DIV/0!</v>
      </c>
      <c r="BB99" s="1508" t="e">
        <f t="shared" si="145"/>
        <v>#DIV/0!</v>
      </c>
      <c r="BC99" s="1508" t="e">
        <f t="shared" si="145"/>
        <v>#DIV/0!</v>
      </c>
      <c r="BD99" s="1508" t="e">
        <f t="shared" si="145"/>
        <v>#DIV/0!</v>
      </c>
      <c r="BE99" s="1508" t="e">
        <f t="shared" si="145"/>
        <v>#DIV/0!</v>
      </c>
      <c r="BF99" s="1508" t="e">
        <f t="shared" si="145"/>
        <v>#DIV/0!</v>
      </c>
      <c r="BG99" s="1508" t="e">
        <f t="shared" si="145"/>
        <v>#DIV/0!</v>
      </c>
      <c r="BH99" s="1508">
        <f t="shared" si="145"/>
        <v>0.10541598732308192</v>
      </c>
      <c r="BI99" s="1508">
        <f t="shared" si="145"/>
        <v>7.9822707720144742E-2</v>
      </c>
      <c r="BJ99" s="1188"/>
      <c r="BL99" s="1508">
        <f t="shared" ref="BL99:BX109" si="146">BL39/BL$55</f>
        <v>6.6845796080910236E-2</v>
      </c>
      <c r="BM99" s="1508">
        <f t="shared" si="146"/>
        <v>3.5728851617873654E-2</v>
      </c>
      <c r="BN99" s="1508">
        <f t="shared" si="146"/>
        <v>8.3176145597104956E-2</v>
      </c>
      <c r="BO99" s="1508">
        <f t="shared" si="146"/>
        <v>8.7110739711191335E-2</v>
      </c>
      <c r="BP99" s="1508">
        <f t="shared" si="146"/>
        <v>7.9822707720144742E-2</v>
      </c>
      <c r="BQ99" s="1508">
        <f t="shared" si="146"/>
        <v>6.2816814066193855E-2</v>
      </c>
      <c r="BR99" s="1508">
        <f t="shared" si="146"/>
        <v>4.0056610508083138E-2</v>
      </c>
      <c r="BS99" s="1508">
        <f t="shared" si="146"/>
        <v>3.8647625514874141E-2</v>
      </c>
      <c r="BT99" s="1508">
        <f t="shared" si="146"/>
        <v>6.7989695407577502E-2</v>
      </c>
      <c r="BU99" s="1508">
        <f t="shared" si="146"/>
        <v>7.4301398059360743E-2</v>
      </c>
      <c r="BV99" s="1508">
        <f t="shared" si="146"/>
        <v>3.6201417476851849E-2</v>
      </c>
      <c r="BW99" s="1508">
        <f t="shared" si="146"/>
        <v>4.3144193020594961E-2</v>
      </c>
      <c r="BX99" s="1508">
        <f t="shared" si="146"/>
        <v>5.984812963999999E-2</v>
      </c>
    </row>
    <row r="100" spans="1:76">
      <c r="A100" s="422">
        <f t="shared" si="141"/>
        <v>18</v>
      </c>
      <c r="B100" s="422" t="s">
        <v>440</v>
      </c>
      <c r="C100" s="422" t="s">
        <v>444</v>
      </c>
      <c r="D100" s="1175" t="s">
        <v>850</v>
      </c>
      <c r="E100" s="422" t="s">
        <v>1252</v>
      </c>
      <c r="F100" s="442">
        <f t="shared" si="142"/>
        <v>9.182057492802951E-4</v>
      </c>
      <c r="G100" s="442">
        <f t="shared" si="142"/>
        <v>1.1950476471101043E-3</v>
      </c>
      <c r="H100" s="442">
        <f t="shared" si="142"/>
        <v>1.0383337055866713E-3</v>
      </c>
      <c r="I100" s="442">
        <f t="shared" si="142"/>
        <v>9.9148849051055817E-4</v>
      </c>
      <c r="J100" s="442">
        <f t="shared" si="142"/>
        <v>7.222309502787419E-4</v>
      </c>
      <c r="K100" s="442">
        <f t="shared" si="142"/>
        <v>3.2494714934223239E-4</v>
      </c>
      <c r="L100" s="442">
        <f t="shared" si="142"/>
        <v>1.5966507882637126E-3</v>
      </c>
      <c r="M100" s="442">
        <f t="shared" si="142"/>
        <v>5.1431413195553004E-4</v>
      </c>
      <c r="N100" s="442">
        <f t="shared" si="142"/>
        <v>3.2100286174658211E-4</v>
      </c>
      <c r="O100" s="442">
        <f t="shared" si="142"/>
        <v>3.4593630300251964E-4</v>
      </c>
      <c r="P100" s="442">
        <f t="shared" si="142"/>
        <v>2.3897589510735688E-4</v>
      </c>
      <c r="Q100" s="442">
        <f t="shared" si="142"/>
        <v>1.8094774698151978E-4</v>
      </c>
      <c r="R100" s="1508">
        <f t="shared" si="134"/>
        <v>1.9438676506667536E-2</v>
      </c>
      <c r="S100" s="442">
        <f t="shared" si="143"/>
        <v>7.8107223363217031E-5</v>
      </c>
      <c r="T100" s="442">
        <f t="shared" si="143"/>
        <v>3.0472609705648097E-4</v>
      </c>
      <c r="U100" s="442">
        <f t="shared" si="143"/>
        <v>2.916819026697526E-4</v>
      </c>
      <c r="V100" s="442">
        <f t="shared" si="143"/>
        <v>8.4809793238057565E-4</v>
      </c>
      <c r="W100" s="442">
        <f t="shared" si="143"/>
        <v>5.2931612540179339E-4</v>
      </c>
      <c r="X100" s="442">
        <f t="shared" si="143"/>
        <v>2.3480913850976954E-4</v>
      </c>
      <c r="Y100" s="442">
        <f t="shared" si="143"/>
        <v>1.6016555525483554E-3</v>
      </c>
      <c r="Z100" s="442">
        <f t="shared" si="143"/>
        <v>2.539299932391705E-4</v>
      </c>
      <c r="AA100" s="442">
        <f t="shared" si="143"/>
        <v>3.1942489450794657E-4</v>
      </c>
      <c r="AB100" s="442">
        <f t="shared" si="143"/>
        <v>5.8791592163565597E-4</v>
      </c>
      <c r="AC100" s="442">
        <f t="shared" si="143"/>
        <v>3.2649753196307627E-4</v>
      </c>
      <c r="AD100" s="442"/>
      <c r="AE100" s="442"/>
      <c r="AF100" s="442">
        <f t="shared" si="136"/>
        <v>4.6037206840932737E-4</v>
      </c>
      <c r="AG100" s="1508">
        <f t="shared" si="137"/>
        <v>1.301967311614788E-2</v>
      </c>
      <c r="AH100" s="1508">
        <f t="shared" si="144"/>
        <v>1.8300604532019602E-3</v>
      </c>
      <c r="AI100" s="1508">
        <f t="shared" si="144"/>
        <v>4.5059799781753184E-4</v>
      </c>
      <c r="AJ100" s="1508">
        <f t="shared" si="144"/>
        <v>2.195581991328631E-4</v>
      </c>
      <c r="AK100" s="1508">
        <f t="shared" si="144"/>
        <v>5.2289363853034933E-4</v>
      </c>
      <c r="AL100" s="1508">
        <f t="shared" si="144"/>
        <v>3.0254589294044499E-4</v>
      </c>
      <c r="AM100" s="1508">
        <f t="shared" si="144"/>
        <v>2.3693832453478464E-4</v>
      </c>
      <c r="AN100" s="1508">
        <f t="shared" si="144"/>
        <v>5.1526283738398328E-4</v>
      </c>
      <c r="AO100" s="1508">
        <f t="shared" si="144"/>
        <v>2.4644968541524337E-4</v>
      </c>
      <c r="AP100" s="1508">
        <f t="shared" si="144"/>
        <v>5.7446270623001325E-4</v>
      </c>
      <c r="AQ100" s="1508">
        <f t="shared" si="144"/>
        <v>3.1985080445144344E-4</v>
      </c>
      <c r="AR100" s="1508">
        <f t="shared" si="144"/>
        <v>2.2984857143544968E-4</v>
      </c>
      <c r="AS100" s="1508">
        <f t="shared" si="144"/>
        <v>2.3264405663576219E-4</v>
      </c>
      <c r="AT100" s="1508"/>
      <c r="AU100" s="1508">
        <f t="shared" si="145"/>
        <v>1.3259717864890422E-2</v>
      </c>
      <c r="AV100" s="1508">
        <f t="shared" si="145"/>
        <v>7.1269170162093871E-3</v>
      </c>
      <c r="AW100" s="1508">
        <f t="shared" si="145"/>
        <v>7.0402125779912752E-3</v>
      </c>
      <c r="AX100" s="1508">
        <f t="shared" si="145"/>
        <v>1.2934772586166246E-2</v>
      </c>
      <c r="AY100" s="1508">
        <f t="shared" si="145"/>
        <v>1.1566036625434119E-2</v>
      </c>
      <c r="AZ100" s="1508">
        <f t="shared" si="145"/>
        <v>5.475727882400948E-3</v>
      </c>
      <c r="BA100" s="1508" t="e">
        <f t="shared" si="145"/>
        <v>#DIV/0!</v>
      </c>
      <c r="BB100" s="1508" t="e">
        <f t="shared" si="145"/>
        <v>#DIV/0!</v>
      </c>
      <c r="BC100" s="1508" t="e">
        <f t="shared" si="145"/>
        <v>#DIV/0!</v>
      </c>
      <c r="BD100" s="1508" t="e">
        <f t="shared" si="145"/>
        <v>#DIV/0!</v>
      </c>
      <c r="BE100" s="1508" t="e">
        <f t="shared" si="145"/>
        <v>#DIV/0!</v>
      </c>
      <c r="BF100" s="1508" t="e">
        <f t="shared" si="145"/>
        <v>#DIV/0!</v>
      </c>
      <c r="BG100" s="1508" t="e">
        <f t="shared" si="145"/>
        <v>#DIV/0!</v>
      </c>
      <c r="BH100" s="1508">
        <f t="shared" si="145"/>
        <v>9.3822864977958602E-3</v>
      </c>
      <c r="BI100" s="1508">
        <f t="shared" si="145"/>
        <v>5.3453674521220778E-3</v>
      </c>
      <c r="BJ100" s="1188"/>
      <c r="BL100" s="1508">
        <f t="shared" si="146"/>
        <v>7.1394876772392837E-3</v>
      </c>
      <c r="BM100" s="1508">
        <f t="shared" si="146"/>
        <v>5.774666591385519E-3</v>
      </c>
      <c r="BN100" s="1508">
        <f t="shared" si="146"/>
        <v>2.2454658867808345E-2</v>
      </c>
      <c r="BO100" s="1508">
        <f t="shared" si="146"/>
        <v>5.9645313531947707E-3</v>
      </c>
      <c r="BP100" s="1508">
        <f t="shared" si="146"/>
        <v>5.3453674521220778E-3</v>
      </c>
      <c r="BQ100" s="1508">
        <f t="shared" si="146"/>
        <v>1.9922456337367753E-2</v>
      </c>
      <c r="BR100" s="1508">
        <f t="shared" si="146"/>
        <v>2.1896702256934013E-2</v>
      </c>
      <c r="BS100" s="1508">
        <f t="shared" si="146"/>
        <v>4.7997272514979433E-3</v>
      </c>
      <c r="BT100" s="1508">
        <f t="shared" si="146"/>
        <v>1.7637281283706969E-2</v>
      </c>
      <c r="BU100" s="1508">
        <f t="shared" si="146"/>
        <v>3.6653755188411578E-3</v>
      </c>
      <c r="BV100" s="1508">
        <f t="shared" si="146"/>
        <v>3.8910840483902796E-3</v>
      </c>
      <c r="BW100" s="1508">
        <f t="shared" si="146"/>
        <v>1.679536802752573E-2</v>
      </c>
      <c r="BX100" s="1508">
        <f t="shared" si="146"/>
        <v>1.1402373380444012E-2</v>
      </c>
    </row>
    <row r="101" spans="1:76">
      <c r="A101" s="422">
        <f t="shared" si="141"/>
        <v>19</v>
      </c>
      <c r="B101" s="422" t="s">
        <v>440</v>
      </c>
      <c r="C101" s="422" t="s">
        <v>444</v>
      </c>
      <c r="D101" s="1175" t="s">
        <v>851</v>
      </c>
      <c r="E101" s="422" t="s">
        <v>1252</v>
      </c>
      <c r="F101" s="442">
        <f t="shared" si="142"/>
        <v>4.2940395409082395E-4</v>
      </c>
      <c r="G101" s="442">
        <f t="shared" si="142"/>
        <v>7.0033150269122242E-4</v>
      </c>
      <c r="H101" s="442">
        <f t="shared" si="142"/>
        <v>5.2067329008688196E-4</v>
      </c>
      <c r="I101" s="442">
        <f t="shared" si="142"/>
        <v>8.6912113426389063E-4</v>
      </c>
      <c r="J101" s="442">
        <f t="shared" si="142"/>
        <v>4.0561962678050534E-4</v>
      </c>
      <c r="K101" s="442">
        <f t="shared" si="142"/>
        <v>4.5071406439700927E-4</v>
      </c>
      <c r="L101" s="442">
        <f t="shared" si="142"/>
        <v>3.4942581003681795E-4</v>
      </c>
      <c r="M101" s="442">
        <f t="shared" si="142"/>
        <v>4.7728172900368985E-4</v>
      </c>
      <c r="N101" s="442">
        <f t="shared" si="142"/>
        <v>2.2463556097985466E-4</v>
      </c>
      <c r="O101" s="442">
        <f t="shared" si="142"/>
        <v>5.548810251298058E-4</v>
      </c>
      <c r="P101" s="442">
        <f t="shared" si="142"/>
        <v>5.1637468842285019E-4</v>
      </c>
      <c r="Q101" s="442">
        <f t="shared" si="142"/>
        <v>1.210179811627554E-4</v>
      </c>
      <c r="R101" s="1508">
        <f t="shared" si="134"/>
        <v>1.306363443556946E-2</v>
      </c>
      <c r="S101" s="442">
        <f t="shared" si="143"/>
        <v>3.8522077766681839E-4</v>
      </c>
      <c r="T101" s="442">
        <f t="shared" si="143"/>
        <v>4.1540727357493638E-4</v>
      </c>
      <c r="U101" s="442">
        <f t="shared" si="143"/>
        <v>2.6511338914379193E-4</v>
      </c>
      <c r="V101" s="442">
        <f t="shared" si="143"/>
        <v>3.2091080433158445E-4</v>
      </c>
      <c r="W101" s="442">
        <f t="shared" si="143"/>
        <v>3.6021149074369718E-4</v>
      </c>
      <c r="X101" s="442">
        <f t="shared" si="143"/>
        <v>3.4053884679132042E-4</v>
      </c>
      <c r="Y101" s="442">
        <f t="shared" si="143"/>
        <v>5.1838892915119907E-4</v>
      </c>
      <c r="Z101" s="442">
        <f t="shared" si="143"/>
        <v>4.3806275930528658E-4</v>
      </c>
      <c r="AA101" s="442">
        <f t="shared" si="143"/>
        <v>3.582169705083523E-4</v>
      </c>
      <c r="AB101" s="442">
        <f t="shared" si="143"/>
        <v>3.0095265924893984E-4</v>
      </c>
      <c r="AC101" s="442">
        <f t="shared" si="143"/>
        <v>3.8199958855149243E-4</v>
      </c>
      <c r="AD101" s="442"/>
      <c r="AE101" s="442"/>
      <c r="AF101" s="442">
        <f t="shared" si="136"/>
        <v>3.6559410460322838E-4</v>
      </c>
      <c r="AG101" s="1508">
        <f t="shared" si="137"/>
        <v>1.0339280034019479E-2</v>
      </c>
      <c r="AH101" s="1508">
        <f t="shared" si="144"/>
        <v>3.880319565878828E-4</v>
      </c>
      <c r="AI101" s="1508">
        <f t="shared" si="144"/>
        <v>5.2750690213085663E-4</v>
      </c>
      <c r="AJ101" s="1508">
        <f t="shared" si="144"/>
        <v>2.708260526340351E-4</v>
      </c>
      <c r="AK101" s="1508">
        <f t="shared" si="144"/>
        <v>3.1795683797510157E-4</v>
      </c>
      <c r="AL101" s="1508">
        <f t="shared" si="144"/>
        <v>2.2999065560550655E-4</v>
      </c>
      <c r="AM101" s="1508">
        <f t="shared" si="144"/>
        <v>2.7607623516610977E-4</v>
      </c>
      <c r="AN101" s="1508">
        <f t="shared" si="144"/>
        <v>2.4679664010254912E-4</v>
      </c>
      <c r="AO101" s="1508">
        <f t="shared" si="144"/>
        <v>2.9751698461275223E-4</v>
      </c>
      <c r="AP101" s="1508">
        <f t="shared" si="144"/>
        <v>2.4937987714751368E-4</v>
      </c>
      <c r="AQ101" s="1508">
        <f t="shared" si="144"/>
        <v>4.0121707741608558E-4</v>
      </c>
      <c r="AR101" s="1508">
        <f t="shared" si="144"/>
        <v>3.86038819432999E-4</v>
      </c>
      <c r="AS101" s="1508">
        <f t="shared" si="144"/>
        <v>2.5293060248713349E-4</v>
      </c>
      <c r="AT101" s="1508"/>
      <c r="AU101" s="1508">
        <f t="shared" si="145"/>
        <v>9.5462241713745333E-3</v>
      </c>
      <c r="AV101" s="1508">
        <f t="shared" si="145"/>
        <v>1.1000034599129863E-2</v>
      </c>
      <c r="AW101" s="1508">
        <f t="shared" si="145"/>
        <v>1.9779739937054827E-2</v>
      </c>
      <c r="AX101" s="1508">
        <f t="shared" si="145"/>
        <v>7.89588593404493E-3</v>
      </c>
      <c r="AY101" s="1508">
        <f t="shared" si="145"/>
        <v>7.0129021779675995E-3</v>
      </c>
      <c r="AZ101" s="1508">
        <f t="shared" si="145"/>
        <v>9.3427021929577969E-3</v>
      </c>
      <c r="BA101" s="1508" t="e">
        <f t="shared" si="145"/>
        <v>#DIV/0!</v>
      </c>
      <c r="BB101" s="1508" t="e">
        <f t="shared" si="145"/>
        <v>#DIV/0!</v>
      </c>
      <c r="BC101" s="1508" t="e">
        <f t="shared" si="145"/>
        <v>#DIV/0!</v>
      </c>
      <c r="BD101" s="1508" t="e">
        <f t="shared" si="145"/>
        <v>#DIV/0!</v>
      </c>
      <c r="BE101" s="1508" t="e">
        <f t="shared" si="145"/>
        <v>#DIV/0!</v>
      </c>
      <c r="BF101" s="1508" t="e">
        <f t="shared" si="145"/>
        <v>#DIV/0!</v>
      </c>
      <c r="BG101" s="1508" t="e">
        <f t="shared" si="145"/>
        <v>#DIV/0!</v>
      </c>
      <c r="BH101" s="1508">
        <f t="shared" si="145"/>
        <v>9.7730953203269688E-3</v>
      </c>
      <c r="BI101" s="1508">
        <f t="shared" si="145"/>
        <v>9.1927671267804743E-3</v>
      </c>
      <c r="BJ101" s="1188"/>
      <c r="BL101" s="1508">
        <f t="shared" si="146"/>
        <v>1.3874419116832444E-2</v>
      </c>
      <c r="BM101" s="1508">
        <f t="shared" si="146"/>
        <v>9.8962507849498504E-3</v>
      </c>
      <c r="BN101" s="1508">
        <f t="shared" si="146"/>
        <v>9.1890553779837882E-3</v>
      </c>
      <c r="BO101" s="1508">
        <f t="shared" si="146"/>
        <v>9.7068993660531702E-3</v>
      </c>
      <c r="BP101" s="1508">
        <f t="shared" si="146"/>
        <v>9.1927671267804743E-3</v>
      </c>
      <c r="BQ101" s="1508">
        <f t="shared" si="146"/>
        <v>9.294085719181118E-3</v>
      </c>
      <c r="BR101" s="1508">
        <f t="shared" si="146"/>
        <v>9.1128580068301542E-3</v>
      </c>
      <c r="BS101" s="1508">
        <f t="shared" si="146"/>
        <v>8.2049862678741283E-3</v>
      </c>
      <c r="BT101" s="1508">
        <f t="shared" si="146"/>
        <v>8.4376368510905558E-3</v>
      </c>
      <c r="BU101" s="1508">
        <f t="shared" si="146"/>
        <v>9.3393472194402624E-3</v>
      </c>
      <c r="BV101" s="1508">
        <f t="shared" si="146"/>
        <v>8.3200667522802859E-3</v>
      </c>
      <c r="BW101" s="1508">
        <f t="shared" si="146"/>
        <v>8.1371529942724022E-3</v>
      </c>
      <c r="BX101" s="1508">
        <f t="shared" si="146"/>
        <v>9.345884531344462E-3</v>
      </c>
    </row>
    <row r="102" spans="1:76">
      <c r="A102" s="422">
        <f t="shared" si="141"/>
        <v>20</v>
      </c>
      <c r="B102" s="422" t="s">
        <v>440</v>
      </c>
      <c r="C102" s="422" t="s">
        <v>444</v>
      </c>
      <c r="D102" s="1175" t="s">
        <v>852</v>
      </c>
      <c r="E102" s="422" t="s">
        <v>1252</v>
      </c>
      <c r="F102" s="442">
        <f t="shared" si="142"/>
        <v>1.1237487413743081E-4</v>
      </c>
      <c r="G102" s="442">
        <f t="shared" si="142"/>
        <v>5.5177075893547212E-4</v>
      </c>
      <c r="H102" s="442">
        <f t="shared" si="142"/>
        <v>3.3550754424732844E-4</v>
      </c>
      <c r="I102" s="442">
        <f t="shared" si="142"/>
        <v>4.1819039258039086E-4</v>
      </c>
      <c r="J102" s="442">
        <f t="shared" si="142"/>
        <v>2.1888978235974052E-4</v>
      </c>
      <c r="K102" s="442">
        <f t="shared" si="142"/>
        <v>3.8460058531244383E-4</v>
      </c>
      <c r="L102" s="442">
        <f t="shared" si="142"/>
        <v>2.9673879654075334E-4</v>
      </c>
      <c r="M102" s="442">
        <f t="shared" si="142"/>
        <v>1.9842250968975871E-4</v>
      </c>
      <c r="N102" s="442">
        <f t="shared" si="142"/>
        <v>3.0984155117288196E-4</v>
      </c>
      <c r="O102" s="442">
        <f t="shared" si="142"/>
        <v>4.5890632326119323E-4</v>
      </c>
      <c r="P102" s="442">
        <f t="shared" si="142"/>
        <v>6.6296052531483382E-4</v>
      </c>
      <c r="Q102" s="442">
        <f t="shared" si="142"/>
        <v>2.2826089809800537E-4</v>
      </c>
      <c r="R102" s="1508">
        <f t="shared" si="134"/>
        <v>1.0102637578085983E-2</v>
      </c>
      <c r="S102" s="442">
        <f t="shared" si="143"/>
        <v>3.0527728816735913E-4</v>
      </c>
      <c r="T102" s="442">
        <f t="shared" si="143"/>
        <v>3.0027069882156165E-4</v>
      </c>
      <c r="U102" s="442">
        <f t="shared" si="143"/>
        <v>3.5507122325905327E-4</v>
      </c>
      <c r="V102" s="442">
        <f t="shared" si="143"/>
        <v>4.7156616396529298E-4</v>
      </c>
      <c r="W102" s="442">
        <f t="shared" si="143"/>
        <v>2.7851207061940309E-4</v>
      </c>
      <c r="X102" s="442">
        <f t="shared" si="143"/>
        <v>4.0529857068895476E-4</v>
      </c>
      <c r="Y102" s="442">
        <f t="shared" si="143"/>
        <v>5.6336899495282018E-4</v>
      </c>
      <c r="Z102" s="442">
        <f t="shared" si="143"/>
        <v>6.6282961360541147E-4</v>
      </c>
      <c r="AA102" s="442">
        <f t="shared" si="143"/>
        <v>6.7552005149754037E-4</v>
      </c>
      <c r="AB102" s="442">
        <f t="shared" si="143"/>
        <v>3.8612574253503977E-4</v>
      </c>
      <c r="AC102" s="442">
        <f t="shared" si="143"/>
        <v>3.1378049338554563E-4</v>
      </c>
      <c r="AD102" s="442"/>
      <c r="AE102" s="442"/>
      <c r="AF102" s="442">
        <f t="shared" si="136"/>
        <v>4.0407070759780384E-4</v>
      </c>
      <c r="AG102" s="1508">
        <f t="shared" si="137"/>
        <v>1.1427427704098717E-2</v>
      </c>
      <c r="AH102" s="1508">
        <f t="shared" si="144"/>
        <v>1.8550410724139116E-4</v>
      </c>
      <c r="AI102" s="1508">
        <f t="shared" si="144"/>
        <v>3.6920215956087992E-4</v>
      </c>
      <c r="AJ102" s="1508">
        <f t="shared" si="144"/>
        <v>4.9261092437788098E-4</v>
      </c>
      <c r="AK102" s="1508">
        <f t="shared" si="144"/>
        <v>5.5958917167075962E-4</v>
      </c>
      <c r="AL102" s="1508">
        <f t="shared" si="144"/>
        <v>4.488609750371814E-4</v>
      </c>
      <c r="AM102" s="1508">
        <f t="shared" si="144"/>
        <v>6.0273155831730635E-4</v>
      </c>
      <c r="AN102" s="1508">
        <f t="shared" si="144"/>
        <v>4.8079178646868781E-4</v>
      </c>
      <c r="AO102" s="1508">
        <f t="shared" si="144"/>
        <v>3.7402045513834669E-4</v>
      </c>
      <c r="AP102" s="1508">
        <f t="shared" si="144"/>
        <v>4.0391967218196187E-4</v>
      </c>
      <c r="AQ102" s="1508">
        <f t="shared" si="144"/>
        <v>5.292308723011264E-4</v>
      </c>
      <c r="AR102" s="1508">
        <f t="shared" si="144"/>
        <v>3.9279368224367806E-4</v>
      </c>
      <c r="AS102" s="1508">
        <f t="shared" si="144"/>
        <v>3.2042525652517778E-4</v>
      </c>
      <c r="AT102" s="1508"/>
      <c r="AU102" s="1508">
        <f t="shared" si="145"/>
        <v>1.3719656482287177E-2</v>
      </c>
      <c r="AV102" s="1508">
        <f t="shared" si="145"/>
        <v>1.4087434005645846E-2</v>
      </c>
      <c r="AW102" s="1508">
        <f t="shared" si="145"/>
        <v>9.7438164651316873E-3</v>
      </c>
      <c r="AX102" s="1508">
        <f t="shared" si="145"/>
        <v>1.1845884169815602E-2</v>
      </c>
      <c r="AY102" s="1508">
        <f t="shared" si="145"/>
        <v>1.7030175878216099E-2</v>
      </c>
      <c r="AZ102" s="1508">
        <f t="shared" si="145"/>
        <v>5.7819102831812002E-3</v>
      </c>
      <c r="BA102" s="1508" t="e">
        <f t="shared" si="145"/>
        <v>#DIV/0!</v>
      </c>
      <c r="BB102" s="1508" t="e">
        <f t="shared" si="145"/>
        <v>#DIV/0!</v>
      </c>
      <c r="BC102" s="1508" t="e">
        <f t="shared" si="145"/>
        <v>#DIV/0!</v>
      </c>
      <c r="BD102" s="1508" t="e">
        <f t="shared" si="145"/>
        <v>#DIV/0!</v>
      </c>
      <c r="BE102" s="1508" t="e">
        <f t="shared" si="145"/>
        <v>#DIV/0!</v>
      </c>
      <c r="BF102" s="1508" t="e">
        <f t="shared" si="145"/>
        <v>#DIV/0!</v>
      </c>
      <c r="BG102" s="1508" t="e">
        <f t="shared" si="145"/>
        <v>#DIV/0!</v>
      </c>
      <c r="BH102" s="1508">
        <f t="shared" si="145"/>
        <v>1.2052352950115341E-2</v>
      </c>
      <c r="BI102" s="1508">
        <f t="shared" si="145"/>
        <v>1.3506156338962608E-2</v>
      </c>
      <c r="BJ102" s="1188"/>
      <c r="BL102" s="1508">
        <f t="shared" si="146"/>
        <v>1.4154998236409609E-2</v>
      </c>
      <c r="BM102" s="1508">
        <f t="shared" si="146"/>
        <v>1.7252085677966104E-2</v>
      </c>
      <c r="BN102" s="1508">
        <f t="shared" si="146"/>
        <v>1.4242091320868518E-2</v>
      </c>
      <c r="BO102" s="1508">
        <f t="shared" si="146"/>
        <v>1.3473650547533094E-2</v>
      </c>
      <c r="BP102" s="1508">
        <f t="shared" si="146"/>
        <v>1.3506156338962608E-2</v>
      </c>
      <c r="BQ102" s="1508">
        <f t="shared" si="146"/>
        <v>1.3955902724586289E-2</v>
      </c>
      <c r="BR102" s="1508">
        <f t="shared" si="146"/>
        <v>1.2929103469976907E-2</v>
      </c>
      <c r="BS102" s="1508">
        <f t="shared" si="146"/>
        <v>1.281075927345538E-2</v>
      </c>
      <c r="BT102" s="1508">
        <f t="shared" si="146"/>
        <v>1.3555331463834674E-2</v>
      </c>
      <c r="BU102" s="1508">
        <f t="shared" si="146"/>
        <v>1.2781510964611874E-2</v>
      </c>
      <c r="BV102" s="1508">
        <f t="shared" si="146"/>
        <v>1.2959031950231483E-2</v>
      </c>
      <c r="BW102" s="1508">
        <f t="shared" si="146"/>
        <v>1.281075927345538E-2</v>
      </c>
      <c r="BX102" s="1508">
        <f t="shared" si="146"/>
        <v>1.3618951355999998E-2</v>
      </c>
    </row>
    <row r="103" spans="1:76">
      <c r="A103" s="422">
        <f t="shared" si="141"/>
        <v>21</v>
      </c>
      <c r="B103" s="422" t="s">
        <v>440</v>
      </c>
      <c r="C103" s="422" t="s">
        <v>444</v>
      </c>
      <c r="D103" s="1175" t="s">
        <v>853</v>
      </c>
      <c r="E103" s="422" t="s">
        <v>1252</v>
      </c>
      <c r="F103" s="442">
        <f t="shared" si="142"/>
        <v>4.2794304370147914E-4</v>
      </c>
      <c r="G103" s="442">
        <f t="shared" si="142"/>
        <v>3.0861302015687488E-4</v>
      </c>
      <c r="H103" s="442">
        <f t="shared" si="142"/>
        <v>3.1118125541306792E-4</v>
      </c>
      <c r="I103" s="442">
        <f t="shared" si="142"/>
        <v>3.2670006910054774E-4</v>
      </c>
      <c r="J103" s="442">
        <f t="shared" si="142"/>
        <v>2.9608887770655659E-4</v>
      </c>
      <c r="K103" s="442">
        <f t="shared" si="142"/>
        <v>3.1614132765438884E-4</v>
      </c>
      <c r="L103" s="442">
        <f t="shared" si="142"/>
        <v>3.0179005140056427E-4</v>
      </c>
      <c r="M103" s="442">
        <f t="shared" si="142"/>
        <v>2.9237206422611092E-4</v>
      </c>
      <c r="N103" s="442">
        <f t="shared" si="142"/>
        <v>2.756560534004176E-4</v>
      </c>
      <c r="O103" s="442">
        <f t="shared" si="142"/>
        <v>2.5600287386537326E-4</v>
      </c>
      <c r="P103" s="442">
        <f t="shared" si="142"/>
        <v>3.1090846708502299E-4</v>
      </c>
      <c r="Q103" s="442">
        <f t="shared" si="142"/>
        <v>1.7220694992886313E-4</v>
      </c>
      <c r="R103" s="1508">
        <f t="shared" si="134"/>
        <v>8.4953335878381678E-3</v>
      </c>
      <c r="S103" s="442">
        <f t="shared" si="143"/>
        <v>1.4803601988520862E-4</v>
      </c>
      <c r="T103" s="442">
        <f t="shared" si="143"/>
        <v>2.0417435226217565E-4</v>
      </c>
      <c r="U103" s="442">
        <f t="shared" si="143"/>
        <v>1.5550059291446613E-4</v>
      </c>
      <c r="V103" s="442">
        <f t="shared" si="143"/>
        <v>1.5093218063288349E-4</v>
      </c>
      <c r="W103" s="442">
        <f t="shared" si="143"/>
        <v>1.6277080104239188E-4</v>
      </c>
      <c r="X103" s="442">
        <f t="shared" si="143"/>
        <v>2.0057208959499968E-4</v>
      </c>
      <c r="Y103" s="442">
        <f t="shared" si="143"/>
        <v>3.1142751117309129E-4</v>
      </c>
      <c r="Z103" s="442">
        <f t="shared" si="143"/>
        <v>2.5110157631176431E-4</v>
      </c>
      <c r="AA103" s="442">
        <f t="shared" si="143"/>
        <v>2.3058781139082658E-4</v>
      </c>
      <c r="AB103" s="442">
        <f t="shared" si="143"/>
        <v>1.7068186280504215E-4</v>
      </c>
      <c r="AC103" s="442">
        <f t="shared" si="143"/>
        <v>1.6223535439041688E-4</v>
      </c>
      <c r="AD103" s="442"/>
      <c r="AE103" s="442"/>
      <c r="AF103" s="442">
        <f t="shared" si="136"/>
        <v>1.8752927947923357E-4</v>
      </c>
      <c r="AG103" s="1508">
        <f t="shared" si="137"/>
        <v>5.3034710097909412E-3</v>
      </c>
      <c r="AH103" s="1508">
        <f t="shared" si="144"/>
        <v>2.7792504268301835E-4</v>
      </c>
      <c r="AI103" s="1508">
        <f t="shared" si="144"/>
        <v>2.2241791934771038E-4</v>
      </c>
      <c r="AJ103" s="1508">
        <f t="shared" si="144"/>
        <v>1.6473971250529167E-4</v>
      </c>
      <c r="AK103" s="1508">
        <f t="shared" si="144"/>
        <v>2.6189853552881806E-4</v>
      </c>
      <c r="AL103" s="1508">
        <f t="shared" si="144"/>
        <v>1.5331953806174123E-4</v>
      </c>
      <c r="AM103" s="1508">
        <f t="shared" si="144"/>
        <v>2.1915892513174135E-4</v>
      </c>
      <c r="AN103" s="1508">
        <f t="shared" si="144"/>
        <v>1.4482729627022923E-4</v>
      </c>
      <c r="AO103" s="1508">
        <f t="shared" si="144"/>
        <v>2.3065595404042329E-4</v>
      </c>
      <c r="AP103" s="1508">
        <f t="shared" si="144"/>
        <v>1.6618559167475588E-4</v>
      </c>
      <c r="AQ103" s="1508">
        <f t="shared" si="144"/>
        <v>2.2379370345348805E-4</v>
      </c>
      <c r="AR103" s="1508">
        <f t="shared" si="144"/>
        <v>2.8604649242797945E-4</v>
      </c>
      <c r="AS103" s="1508">
        <f t="shared" si="144"/>
        <v>2.1799212814698637E-4</v>
      </c>
      <c r="AT103" s="1508"/>
      <c r="AU103" s="1508">
        <f t="shared" si="145"/>
        <v>6.4239842520602466E-3</v>
      </c>
      <c r="AV103" s="1508">
        <f t="shared" si="145"/>
        <v>9.2208424112473486E-3</v>
      </c>
      <c r="AW103" s="1508">
        <f t="shared" si="145"/>
        <v>1.2844366407155871E-2</v>
      </c>
      <c r="AX103" s="1508">
        <f t="shared" si="145"/>
        <v>6.0356657068168654E-3</v>
      </c>
      <c r="AY103" s="1508">
        <f t="shared" si="145"/>
        <v>1.0548005400288047E-2</v>
      </c>
      <c r="AZ103" s="1508">
        <f t="shared" si="145"/>
        <v>1.3563236601513855E-2</v>
      </c>
      <c r="BA103" s="1508" t="e">
        <f t="shared" si="145"/>
        <v>#DIV/0!</v>
      </c>
      <c r="BB103" s="1508" t="e">
        <f t="shared" si="145"/>
        <v>#DIV/0!</v>
      </c>
      <c r="BC103" s="1508" t="e">
        <f t="shared" si="145"/>
        <v>#DIV/0!</v>
      </c>
      <c r="BD103" s="1508" t="e">
        <f t="shared" si="145"/>
        <v>#DIV/0!</v>
      </c>
      <c r="BE103" s="1508" t="e">
        <f t="shared" si="145"/>
        <v>#DIV/0!</v>
      </c>
      <c r="BF103" s="1508" t="e">
        <f t="shared" si="145"/>
        <v>#DIV/0!</v>
      </c>
      <c r="BG103" s="1508" t="e">
        <f t="shared" si="145"/>
        <v>#DIV/0!</v>
      </c>
      <c r="BH103" s="1508">
        <f t="shared" si="145"/>
        <v>1.0067813909655018E-2</v>
      </c>
      <c r="BI103" s="1508">
        <f t="shared" si="145"/>
        <v>5.9751852490091337E-3</v>
      </c>
      <c r="BJ103" s="1188"/>
      <c r="BL103" s="1508">
        <f t="shared" si="146"/>
        <v>7.1073887333694538E-3</v>
      </c>
      <c r="BM103" s="1508">
        <f t="shared" si="146"/>
        <v>8.483407249247928E-3</v>
      </c>
      <c r="BN103" s="1508">
        <f t="shared" si="146"/>
        <v>6.466379458900569E-3</v>
      </c>
      <c r="BO103" s="1508">
        <f t="shared" si="146"/>
        <v>6.4026817947395575E-3</v>
      </c>
      <c r="BP103" s="1508">
        <f t="shared" si="146"/>
        <v>5.9751852490091337E-3</v>
      </c>
      <c r="BQ103" s="1508">
        <f t="shared" si="146"/>
        <v>5.855116514690983E-3</v>
      </c>
      <c r="BR103" s="1508">
        <f t="shared" si="146"/>
        <v>5.7198944242824153E-3</v>
      </c>
      <c r="BS103" s="1508">
        <f t="shared" si="146"/>
        <v>6.377574370709382E-3</v>
      </c>
      <c r="BT103" s="1508">
        <f t="shared" si="146"/>
        <v>6.3995407577497132E-3</v>
      </c>
      <c r="BU103" s="1508">
        <f t="shared" si="146"/>
        <v>6.3630136986301371E-3</v>
      </c>
      <c r="BV103" s="1508">
        <f t="shared" si="146"/>
        <v>6.4513888888888893E-3</v>
      </c>
      <c r="BW103" s="1508">
        <f t="shared" si="146"/>
        <v>6.377574370709382E-3</v>
      </c>
      <c r="BX103" s="1508">
        <f t="shared" si="146"/>
        <v>6.4539218650000009E-3</v>
      </c>
    </row>
    <row r="104" spans="1:76">
      <c r="A104" s="422">
        <f t="shared" si="141"/>
        <v>22</v>
      </c>
      <c r="B104" s="422" t="s">
        <v>440</v>
      </c>
      <c r="C104" s="422" t="s">
        <v>444</v>
      </c>
      <c r="D104" s="1175" t="s">
        <v>854</v>
      </c>
      <c r="E104" s="422" t="s">
        <v>1252</v>
      </c>
      <c r="F104" s="442">
        <f t="shared" si="142"/>
        <v>3.8307766215018571E-4</v>
      </c>
      <c r="G104" s="442">
        <f t="shared" si="142"/>
        <v>9.0306207852307752E-5</v>
      </c>
      <c r="H104" s="442">
        <f t="shared" si="142"/>
        <v>3.7785202697876718E-5</v>
      </c>
      <c r="I104" s="442">
        <f t="shared" si="142"/>
        <v>1.4174833717605043E-4</v>
      </c>
      <c r="J104" s="442">
        <f t="shared" si="142"/>
        <v>3.3786051654610683E-4</v>
      </c>
      <c r="K104" s="442">
        <f t="shared" si="142"/>
        <v>1.7616462242338846E-5</v>
      </c>
      <c r="L104" s="442">
        <f t="shared" si="142"/>
        <v>1.3833163215825876E-5</v>
      </c>
      <c r="M104" s="442">
        <f t="shared" si="142"/>
        <v>1.4127586915224017E-4</v>
      </c>
      <c r="N104" s="442">
        <f t="shared" si="142"/>
        <v>9.2607487022375163E-5</v>
      </c>
      <c r="O104" s="442">
        <f t="shared" si="142"/>
        <v>9.7662759750739131E-4</v>
      </c>
      <c r="P104" s="442">
        <f t="shared" si="142"/>
        <v>7.1090963731722137E-5</v>
      </c>
      <c r="Q104" s="442">
        <f t="shared" si="142"/>
        <v>1.1741812618766053E-4</v>
      </c>
      <c r="R104" s="1508">
        <f t="shared" si="134"/>
        <v>5.9839545148283168E-3</v>
      </c>
      <c r="S104" s="442">
        <f t="shared" si="143"/>
        <v>3.6599338153267994E-5</v>
      </c>
      <c r="T104" s="442">
        <f t="shared" si="143"/>
        <v>1.5090862951275873E-4</v>
      </c>
      <c r="U104" s="442">
        <f t="shared" si="143"/>
        <v>4.0214808308970413E-4</v>
      </c>
      <c r="V104" s="442">
        <f t="shared" si="143"/>
        <v>2.8369911539765578E-4</v>
      </c>
      <c r="W104" s="442">
        <f t="shared" si="143"/>
        <v>1.2633927852085153E-3</v>
      </c>
      <c r="X104" s="442">
        <f t="shared" si="143"/>
        <v>1.761838851628152E-4</v>
      </c>
      <c r="Y104" s="442">
        <f t="shared" si="143"/>
        <v>1.6159798493648191E-4</v>
      </c>
      <c r="Z104" s="442">
        <f t="shared" si="143"/>
        <v>7.728723524924485E-4</v>
      </c>
      <c r="AA104" s="442">
        <f t="shared" si="143"/>
        <v>1.0522617149609367E-3</v>
      </c>
      <c r="AB104" s="442">
        <f t="shared" si="143"/>
        <v>9.2705733383701056E-4</v>
      </c>
      <c r="AC104" s="442">
        <f t="shared" si="143"/>
        <v>1.0670510866572231E-3</v>
      </c>
      <c r="AD104" s="442"/>
      <c r="AE104" s="442"/>
      <c r="AF104" s="442">
        <f t="shared" si="136"/>
        <v>6.0239632214426552E-4</v>
      </c>
      <c r="AG104" s="1508">
        <f t="shared" si="137"/>
        <v>1.7036227301510956E-2</v>
      </c>
      <c r="AH104" s="1508">
        <f t="shared" si="144"/>
        <v>1.8005098660855417E-3</v>
      </c>
      <c r="AI104" s="1508">
        <f t="shared" si="144"/>
        <v>4.8602238167874304E-4</v>
      </c>
      <c r="AJ104" s="1508">
        <f t="shared" si="144"/>
        <v>5.7741376634325473E-4</v>
      </c>
      <c r="AK104" s="1508">
        <f t="shared" si="144"/>
        <v>1.0963713272038822E-4</v>
      </c>
      <c r="AL104" s="1508">
        <f t="shared" si="144"/>
        <v>1.2064848525861675E-4</v>
      </c>
      <c r="AM104" s="1508">
        <f t="shared" si="144"/>
        <v>7.2439287190998174E-4</v>
      </c>
      <c r="AN104" s="1508">
        <f t="shared" si="144"/>
        <v>5.4862478073879897E-4</v>
      </c>
      <c r="AO104" s="1508">
        <f t="shared" si="144"/>
        <v>6.1807790793751421E-4</v>
      </c>
      <c r="AP104" s="1508">
        <f t="shared" si="144"/>
        <v>2.1227746349930456E-4</v>
      </c>
      <c r="AQ104" s="1508">
        <f t="shared" si="144"/>
        <v>9.0313612070111796E-4</v>
      </c>
      <c r="AR104" s="1508">
        <f t="shared" si="144"/>
        <v>2.9682731460847537E-3</v>
      </c>
      <c r="AS104" s="1508">
        <f t="shared" si="144"/>
        <v>1.3829471407429902E-3</v>
      </c>
      <c r="AT104" s="1508"/>
      <c r="AU104" s="1508">
        <f t="shared" si="145"/>
        <v>2.3363702877635777E-2</v>
      </c>
      <c r="AV104" s="1508">
        <f t="shared" si="145"/>
        <v>3.2170440368486833E-2</v>
      </c>
      <c r="AW104" s="1508">
        <f t="shared" si="145"/>
        <v>0.12158030423499529</v>
      </c>
      <c r="AX104" s="1508">
        <f t="shared" si="145"/>
        <v>2.6761405158419616E-2</v>
      </c>
      <c r="AY104" s="1508">
        <f t="shared" si="145"/>
        <v>1.0875726331282622E-2</v>
      </c>
      <c r="AZ104" s="1508">
        <f t="shared" si="145"/>
        <v>2.2017820669906214E-2</v>
      </c>
      <c r="BA104" s="1508" t="e">
        <f t="shared" si="145"/>
        <v>#DIV/0!</v>
      </c>
      <c r="BB104" s="1508" t="e">
        <f t="shared" si="145"/>
        <v>#DIV/0!</v>
      </c>
      <c r="BC104" s="1508" t="e">
        <f t="shared" si="145"/>
        <v>#DIV/0!</v>
      </c>
      <c r="BD104" s="1508" t="e">
        <f t="shared" si="145"/>
        <v>#DIV/0!</v>
      </c>
      <c r="BE104" s="1508" t="e">
        <f t="shared" si="145"/>
        <v>#DIV/0!</v>
      </c>
      <c r="BF104" s="1508" t="e">
        <f t="shared" si="145"/>
        <v>#DIV/0!</v>
      </c>
      <c r="BG104" s="1508" t="e">
        <f t="shared" si="145"/>
        <v>#DIV/0!</v>
      </c>
      <c r="BH104" s="1508">
        <f t="shared" si="145"/>
        <v>3.2716659328197333E-2</v>
      </c>
      <c r="BI104" s="1508">
        <f t="shared" si="145"/>
        <v>1.9909002372336147E-2</v>
      </c>
      <c r="BJ104" s="1188"/>
      <c r="BL104" s="1508">
        <f t="shared" si="146"/>
        <v>3.1328145343447113E-2</v>
      </c>
      <c r="BM104" s="1508">
        <f t="shared" si="146"/>
        <v>1.2142623985618901E-2</v>
      </c>
      <c r="BN104" s="1508">
        <f t="shared" si="146"/>
        <v>1.782938837957378E-2</v>
      </c>
      <c r="BO104" s="1508">
        <f t="shared" si="146"/>
        <v>1.5500075772162052E-2</v>
      </c>
      <c r="BP104" s="1508">
        <f t="shared" si="146"/>
        <v>1.9909002372336147E-2</v>
      </c>
      <c r="BQ104" s="1508">
        <f t="shared" si="146"/>
        <v>1.3244164263199368E-2</v>
      </c>
      <c r="BR104" s="1508">
        <f t="shared" si="146"/>
        <v>1.1668086566589683E-2</v>
      </c>
      <c r="BS104" s="1508">
        <f t="shared" si="146"/>
        <v>1.2819866094584286E-2</v>
      </c>
      <c r="BT104" s="1508">
        <f t="shared" si="146"/>
        <v>2.951155334864141E-2</v>
      </c>
      <c r="BU104" s="1508">
        <f t="shared" si="146"/>
        <v>1.2676441742770167E-2</v>
      </c>
      <c r="BV104" s="1508">
        <f t="shared" si="146"/>
        <v>1.1347873804012344E-2</v>
      </c>
      <c r="BW104" s="1508">
        <f t="shared" si="146"/>
        <v>8.2432070556826831E-3</v>
      </c>
      <c r="BX104" s="1508">
        <f t="shared" si="146"/>
        <v>1.6315875559999998E-2</v>
      </c>
    </row>
    <row r="105" spans="1:76">
      <c r="A105" s="422">
        <f t="shared" si="141"/>
        <v>23</v>
      </c>
      <c r="B105" s="422" t="s">
        <v>440</v>
      </c>
      <c r="C105" s="422" t="s">
        <v>446</v>
      </c>
      <c r="D105" s="1175" t="s">
        <v>855</v>
      </c>
      <c r="E105" s="422" t="s">
        <v>1252</v>
      </c>
      <c r="F105" s="442">
        <f t="shared" si="142"/>
        <v>1.8944984043907266E-5</v>
      </c>
      <c r="G105" s="442">
        <f t="shared" si="142"/>
        <v>5.3010653308548604E-4</v>
      </c>
      <c r="H105" s="442">
        <f t="shared" si="142"/>
        <v>5.8401948982727062E-5</v>
      </c>
      <c r="I105" s="442">
        <f t="shared" si="142"/>
        <v>3.70494769020069E-4</v>
      </c>
      <c r="J105" s="442">
        <f t="shared" si="142"/>
        <v>5.1110274161958577E-4</v>
      </c>
      <c r="K105" s="442">
        <f t="shared" si="142"/>
        <v>8.1954573713200406E-4</v>
      </c>
      <c r="L105" s="442">
        <f t="shared" si="142"/>
        <v>4.9479256785570502E-7</v>
      </c>
      <c r="M105" s="442">
        <f t="shared" si="142"/>
        <v>1.1414941506860218E-4</v>
      </c>
      <c r="N105" s="442">
        <f t="shared" si="142"/>
        <v>0</v>
      </c>
      <c r="O105" s="442">
        <f t="shared" si="142"/>
        <v>3.2899285812531551E-5</v>
      </c>
      <c r="P105" s="442">
        <f t="shared" si="142"/>
        <v>6.8995587471832234E-5</v>
      </c>
      <c r="Q105" s="442">
        <f t="shared" si="142"/>
        <v>2.8100503679636172E-5</v>
      </c>
      <c r="R105" s="1508">
        <f t="shared" si="134"/>
        <v>5.8144067639454896E-3</v>
      </c>
      <c r="S105" s="442">
        <f t="shared" si="143"/>
        <v>2.4481517733780681E-5</v>
      </c>
      <c r="T105" s="442">
        <f t="shared" si="143"/>
        <v>9.3034073524567217E-5</v>
      </c>
      <c r="U105" s="442">
        <f t="shared" si="143"/>
        <v>-7.6166833937429687E-6</v>
      </c>
      <c r="V105" s="442">
        <f t="shared" si="143"/>
        <v>3.0938039403637418E-5</v>
      </c>
      <c r="W105" s="442">
        <f t="shared" si="143"/>
        <v>1.196216455487013E-5</v>
      </c>
      <c r="X105" s="442">
        <f t="shared" si="143"/>
        <v>1.0079888578473746E-4</v>
      </c>
      <c r="Y105" s="442">
        <f t="shared" si="143"/>
        <v>2.8407447747197901E-5</v>
      </c>
      <c r="Z105" s="442">
        <f t="shared" si="143"/>
        <v>6.6057364810158883E-5</v>
      </c>
      <c r="AA105" s="442">
        <f t="shared" si="143"/>
        <v>4.239913445253597E-5</v>
      </c>
      <c r="AB105" s="442">
        <f t="shared" si="143"/>
        <v>1.5089626760384394E-5</v>
      </c>
      <c r="AC105" s="442">
        <f t="shared" si="143"/>
        <v>3.5956877504867935E-5</v>
      </c>
      <c r="AD105" s="442"/>
      <c r="AE105" s="442"/>
      <c r="AF105" s="442">
        <f t="shared" si="136"/>
        <v>3.8599908208303113E-5</v>
      </c>
      <c r="AG105" s="1508">
        <f t="shared" si="137"/>
        <v>1.091634835540422E-3</v>
      </c>
      <c r="AH105" s="1508">
        <f t="shared" si="144"/>
        <v>1.6012605480463044E-5</v>
      </c>
      <c r="AI105" s="1508">
        <f t="shared" si="144"/>
        <v>1.6009592646485268E-5</v>
      </c>
      <c r="AJ105" s="1508">
        <f t="shared" si="144"/>
        <v>5.1084033458716348E-5</v>
      </c>
      <c r="AK105" s="1508">
        <f t="shared" si="144"/>
        <v>3.7079880064756146E-5</v>
      </c>
      <c r="AL105" s="1508">
        <f t="shared" si="144"/>
        <v>3.0006434675057636E-5</v>
      </c>
      <c r="AM105" s="1508">
        <f t="shared" si="144"/>
        <v>2.9144404138351793E-5</v>
      </c>
      <c r="AN105" s="1508">
        <f t="shared" si="144"/>
        <v>3.23985423351472E-5</v>
      </c>
      <c r="AO105" s="1508">
        <f t="shared" si="144"/>
        <v>1.359043460432037E-5</v>
      </c>
      <c r="AP105" s="1508">
        <f t="shared" si="144"/>
        <v>5.6354777559838663E-5</v>
      </c>
      <c r="AQ105" s="1508">
        <f t="shared" si="144"/>
        <v>4.8209875793657605E-5</v>
      </c>
      <c r="AR105" s="1508">
        <f t="shared" si="144"/>
        <v>5.5580331340166926E-5</v>
      </c>
      <c r="AS105" s="1508">
        <f t="shared" si="144"/>
        <v>3.9655373223143877E-5</v>
      </c>
      <c r="AT105" s="1508"/>
      <c r="AU105" s="1508">
        <f t="shared" si="145"/>
        <v>1.110167814109919E-3</v>
      </c>
      <c r="AV105" s="1508">
        <f t="shared" si="145"/>
        <v>1.4465873536084234E-3</v>
      </c>
      <c r="AW105" s="1508">
        <f t="shared" si="145"/>
        <v>2.0445800894484016E-3</v>
      </c>
      <c r="AX105" s="1508">
        <f t="shared" si="145"/>
        <v>1.2247270643761441E-3</v>
      </c>
      <c r="AY105" s="1508">
        <f t="shared" si="145"/>
        <v>8.3792490989261252E-4</v>
      </c>
      <c r="AZ105" s="1508">
        <f t="shared" si="145"/>
        <v>9.0785769517034911E-4</v>
      </c>
      <c r="BA105" s="1508" t="e">
        <f t="shared" si="145"/>
        <v>#DIV/0!</v>
      </c>
      <c r="BB105" s="1508" t="e">
        <f t="shared" si="145"/>
        <v>#DIV/0!</v>
      </c>
      <c r="BC105" s="1508" t="e">
        <f t="shared" si="145"/>
        <v>#DIV/0!</v>
      </c>
      <c r="BD105" s="1508" t="e">
        <f t="shared" si="145"/>
        <v>#DIV/0!</v>
      </c>
      <c r="BE105" s="1508" t="e">
        <f t="shared" si="145"/>
        <v>#DIV/0!</v>
      </c>
      <c r="BF105" s="1508" t="e">
        <f t="shared" si="145"/>
        <v>#DIV/0!</v>
      </c>
      <c r="BG105" s="1508" t="e">
        <f t="shared" si="145"/>
        <v>#DIV/0!</v>
      </c>
      <c r="BH105" s="1508">
        <f t="shared" si="145"/>
        <v>1.1829126206730415E-3</v>
      </c>
      <c r="BI105" s="1508">
        <f t="shared" si="145"/>
        <v>1.9300361881785283E-3</v>
      </c>
      <c r="BJ105" s="1188"/>
      <c r="BL105" s="1508">
        <f t="shared" si="146"/>
        <v>2.0227560050568899E-3</v>
      </c>
      <c r="BM105" s="1508">
        <f t="shared" si="146"/>
        <v>2.465331278890601E-3</v>
      </c>
      <c r="BN105" s="1508">
        <f t="shared" si="146"/>
        <v>1.9300361881785283E-3</v>
      </c>
      <c r="BO105" s="1508">
        <f t="shared" si="146"/>
        <v>1.9253910950661852E-3</v>
      </c>
      <c r="BP105" s="1508">
        <f t="shared" si="146"/>
        <v>1.9300361881785283E-3</v>
      </c>
      <c r="BQ105" s="1508">
        <f t="shared" si="146"/>
        <v>1.8912529550827422E-3</v>
      </c>
      <c r="BR105" s="1508">
        <f t="shared" si="146"/>
        <v>1.8475750577367205E-3</v>
      </c>
      <c r="BS105" s="1508">
        <f t="shared" si="146"/>
        <v>1.8306636155606408E-3</v>
      </c>
      <c r="BT105" s="1508">
        <f t="shared" si="146"/>
        <v>1.8369690011481056E-3</v>
      </c>
      <c r="BU105" s="1508">
        <f t="shared" si="146"/>
        <v>1.8264840182648401E-3</v>
      </c>
      <c r="BV105" s="1508">
        <f t="shared" si="146"/>
        <v>1.8518518518518519E-3</v>
      </c>
      <c r="BW105" s="1508">
        <f t="shared" si="146"/>
        <v>1.8306636155606408E-3</v>
      </c>
      <c r="BX105" s="1508">
        <f t="shared" si="146"/>
        <v>1.92E-3</v>
      </c>
    </row>
    <row r="106" spans="1:76">
      <c r="A106" s="422">
        <f t="shared" si="141"/>
        <v>24</v>
      </c>
      <c r="B106" s="422" t="s">
        <v>440</v>
      </c>
      <c r="C106" s="422" t="s">
        <v>444</v>
      </c>
      <c r="D106" s="1175" t="s">
        <v>856</v>
      </c>
      <c r="E106" s="422" t="s">
        <v>1252</v>
      </c>
      <c r="F106" s="442">
        <f t="shared" si="142"/>
        <v>1.4358808238855748E-4</v>
      </c>
      <c r="G106" s="442">
        <f t="shared" si="142"/>
        <v>0</v>
      </c>
      <c r="H106" s="442">
        <f t="shared" si="142"/>
        <v>0</v>
      </c>
      <c r="I106" s="442">
        <f t="shared" si="142"/>
        <v>0</v>
      </c>
      <c r="J106" s="442">
        <f t="shared" si="142"/>
        <v>0</v>
      </c>
      <c r="K106" s="442">
        <f t="shared" si="142"/>
        <v>0</v>
      </c>
      <c r="L106" s="442">
        <f t="shared" si="142"/>
        <v>1.1792556200560971E-3</v>
      </c>
      <c r="M106" s="442">
        <f t="shared" si="142"/>
        <v>0</v>
      </c>
      <c r="N106" s="442">
        <f t="shared" si="142"/>
        <v>0</v>
      </c>
      <c r="O106" s="442">
        <f t="shared" si="142"/>
        <v>5.4100247689343702E-4</v>
      </c>
      <c r="P106" s="442">
        <f t="shared" si="142"/>
        <v>0</v>
      </c>
      <c r="Q106" s="442">
        <f t="shared" si="142"/>
        <v>0</v>
      </c>
      <c r="R106" s="1508">
        <f t="shared" si="134"/>
        <v>4.7312888538180954E-3</v>
      </c>
      <c r="S106" s="442">
        <f t="shared" si="143"/>
        <v>8.0376603229131906E-5</v>
      </c>
      <c r="T106" s="442">
        <f t="shared" si="143"/>
        <v>1.1252386664433444E-4</v>
      </c>
      <c r="U106" s="442">
        <f t="shared" si="143"/>
        <v>7.2233891706561032E-5</v>
      </c>
      <c r="V106" s="442">
        <f t="shared" si="143"/>
        <v>7.619316808716526E-5</v>
      </c>
      <c r="W106" s="442">
        <f t="shared" si="143"/>
        <v>7.6323496486522868E-5</v>
      </c>
      <c r="X106" s="442">
        <f t="shared" si="143"/>
        <v>4.8761151844998617E-4</v>
      </c>
      <c r="Y106" s="442">
        <f t="shared" si="143"/>
        <v>1.9062778790439669E-4</v>
      </c>
      <c r="Z106" s="442">
        <f t="shared" si="143"/>
        <v>1.847437559189084E-4</v>
      </c>
      <c r="AA106" s="442">
        <f t="shared" si="143"/>
        <v>1.6488166210015362E-4</v>
      </c>
      <c r="AB106" s="442">
        <f t="shared" si="143"/>
        <v>1.1999004288162491E-4</v>
      </c>
      <c r="AC106" s="442">
        <f t="shared" si="143"/>
        <v>4.608301001064435E-4</v>
      </c>
      <c r="AD106" s="442"/>
      <c r="AE106" s="442"/>
      <c r="AF106" s="442">
        <f t="shared" si="136"/>
        <v>1.7786236852392279E-4</v>
      </c>
      <c r="AG106" s="1508">
        <f t="shared" si="137"/>
        <v>5.0300833972106961E-3</v>
      </c>
      <c r="AH106" s="1508">
        <f t="shared" si="144"/>
        <v>5.5072096007933439E-5</v>
      </c>
      <c r="AI106" s="1508">
        <f t="shared" si="144"/>
        <v>2.0047005856122504E-3</v>
      </c>
      <c r="AJ106" s="1508">
        <f t="shared" si="144"/>
        <v>3.400041836086395E-5</v>
      </c>
      <c r="AK106" s="1508">
        <f t="shared" si="144"/>
        <v>2.5177536511469155E-5</v>
      </c>
      <c r="AL106" s="1508">
        <f t="shared" si="144"/>
        <v>2.1912704910976785E-5</v>
      </c>
      <c r="AM106" s="1508">
        <f t="shared" si="144"/>
        <v>0</v>
      </c>
      <c r="AN106" s="1508">
        <f t="shared" si="144"/>
        <v>1.4362399291399682E-4</v>
      </c>
      <c r="AO106" s="1508">
        <f t="shared" si="144"/>
        <v>1.0649913969177426E-4</v>
      </c>
      <c r="AP106" s="1508">
        <f t="shared" si="144"/>
        <v>4.2279981534878162E-4</v>
      </c>
      <c r="AQ106" s="1508">
        <f t="shared" si="144"/>
        <v>3.906930333601681E-4</v>
      </c>
      <c r="AR106" s="1508">
        <f t="shared" si="144"/>
        <v>0</v>
      </c>
      <c r="AS106" s="1508">
        <f t="shared" si="144"/>
        <v>0</v>
      </c>
      <c r="AT106" s="1508"/>
      <c r="AU106" s="1508">
        <f t="shared" si="145"/>
        <v>7.4560850208270834E-3</v>
      </c>
      <c r="AV106" s="1508">
        <f t="shared" si="145"/>
        <v>0</v>
      </c>
      <c r="AW106" s="1508">
        <f t="shared" si="145"/>
        <v>0</v>
      </c>
      <c r="AX106" s="1508">
        <f t="shared" si="145"/>
        <v>1.6357093101536189E-3</v>
      </c>
      <c r="AY106" s="1508">
        <f t="shared" si="145"/>
        <v>2.059270545580387E-2</v>
      </c>
      <c r="AZ106" s="1508">
        <f t="shared" si="145"/>
        <v>7.9676258572286673E-3</v>
      </c>
      <c r="BA106" s="1508" t="e">
        <f t="shared" si="145"/>
        <v>#DIV/0!</v>
      </c>
      <c r="BB106" s="1508" t="e">
        <f t="shared" si="145"/>
        <v>#DIV/0!</v>
      </c>
      <c r="BC106" s="1508" t="e">
        <f t="shared" si="145"/>
        <v>#DIV/0!</v>
      </c>
      <c r="BD106" s="1508" t="e">
        <f t="shared" si="145"/>
        <v>#DIV/0!</v>
      </c>
      <c r="BE106" s="1508" t="e">
        <f t="shared" si="145"/>
        <v>#DIV/0!</v>
      </c>
      <c r="BF106" s="1508" t="e">
        <f t="shared" si="145"/>
        <v>#DIV/0!</v>
      </c>
      <c r="BG106" s="1508" t="e">
        <f t="shared" si="145"/>
        <v>#DIV/0!</v>
      </c>
      <c r="BH106" s="1508">
        <f t="shared" si="145"/>
        <v>7.4234850040839863E-3</v>
      </c>
      <c r="BI106" s="1508">
        <f t="shared" si="145"/>
        <v>5.0261359067149186E-3</v>
      </c>
      <c r="BJ106" s="1188"/>
      <c r="BL106" s="1508">
        <f t="shared" si="146"/>
        <v>6.9563168984407928E-3</v>
      </c>
      <c r="BM106" s="1508">
        <f t="shared" si="146"/>
        <v>2.0450950179763738E-2</v>
      </c>
      <c r="BN106" s="1508">
        <f t="shared" si="146"/>
        <v>1.9501407318053884E-2</v>
      </c>
      <c r="BO106" s="1508">
        <f t="shared" si="146"/>
        <v>1.9454472523064582E-2</v>
      </c>
      <c r="BP106" s="1508">
        <f t="shared" si="146"/>
        <v>5.0261359067149186E-3</v>
      </c>
      <c r="BQ106" s="1508">
        <f t="shared" si="146"/>
        <v>4.9251379038613083E-3</v>
      </c>
      <c r="BR106" s="1508">
        <f t="shared" si="146"/>
        <v>4.8113933795227107E-3</v>
      </c>
      <c r="BS106" s="1508">
        <f t="shared" si="146"/>
        <v>4.7673531655225022E-3</v>
      </c>
      <c r="BT106" s="1508">
        <f t="shared" si="146"/>
        <v>4.7837734404898588E-3</v>
      </c>
      <c r="BU106" s="1508">
        <f t="shared" si="146"/>
        <v>4.7564687975646886E-3</v>
      </c>
      <c r="BV106" s="1508">
        <f t="shared" si="146"/>
        <v>4.8225308641975315E-3</v>
      </c>
      <c r="BW106" s="1508">
        <f t="shared" si="146"/>
        <v>4.7673531655225022E-3</v>
      </c>
      <c r="BX106" s="1508">
        <f t="shared" si="146"/>
        <v>8.4441779999999966E-3</v>
      </c>
    </row>
    <row r="107" spans="1:76">
      <c r="A107" s="422">
        <f t="shared" si="141"/>
        <v>25</v>
      </c>
      <c r="B107" s="422" t="s">
        <v>440</v>
      </c>
      <c r="C107" s="422" t="s">
        <v>444</v>
      </c>
      <c r="D107" s="1175" t="s">
        <v>857</v>
      </c>
      <c r="E107" s="422" t="s">
        <v>1252</v>
      </c>
      <c r="F107" s="442">
        <f t="shared" si="142"/>
        <v>0</v>
      </c>
      <c r="G107" s="442">
        <f t="shared" si="142"/>
        <v>6.8331436974845136E-5</v>
      </c>
      <c r="H107" s="442">
        <f t="shared" si="142"/>
        <v>1.2273615725528402E-4</v>
      </c>
      <c r="I107" s="442">
        <f t="shared" si="142"/>
        <v>0</v>
      </c>
      <c r="J107" s="442">
        <f t="shared" si="142"/>
        <v>0</v>
      </c>
      <c r="K107" s="442">
        <f t="shared" si="142"/>
        <v>0</v>
      </c>
      <c r="L107" s="442">
        <f t="shared" si="142"/>
        <v>0</v>
      </c>
      <c r="M107" s="442">
        <f t="shared" si="142"/>
        <v>0</v>
      </c>
      <c r="N107" s="442">
        <f t="shared" si="142"/>
        <v>0</v>
      </c>
      <c r="O107" s="442">
        <f t="shared" si="142"/>
        <v>3.4498708671465553E-5</v>
      </c>
      <c r="P107" s="442">
        <f t="shared" si="142"/>
        <v>5.7693136618418751E-5</v>
      </c>
      <c r="Q107" s="442">
        <f t="shared" si="142"/>
        <v>6.1599715879499632E-5</v>
      </c>
      <c r="R107" s="1508">
        <f t="shared" si="134"/>
        <v>9.1570582566674824E-4</v>
      </c>
      <c r="S107" s="442">
        <f t="shared" si="143"/>
        <v>0</v>
      </c>
      <c r="T107" s="442">
        <f t="shared" si="143"/>
        <v>0</v>
      </c>
      <c r="U107" s="442">
        <f t="shared" si="143"/>
        <v>5.435284936318956E-4</v>
      </c>
      <c r="V107" s="442">
        <f t="shared" si="143"/>
        <v>2.3720384114244328E-4</v>
      </c>
      <c r="W107" s="442">
        <f t="shared" si="143"/>
        <v>1.4284043901872427E-4</v>
      </c>
      <c r="X107" s="442">
        <f t="shared" si="143"/>
        <v>4.3257870596181172E-4</v>
      </c>
      <c r="Y107" s="442">
        <f t="shared" si="143"/>
        <v>2.8013830458359043E-4</v>
      </c>
      <c r="Z107" s="442">
        <f t="shared" si="143"/>
        <v>2.6612291379528953E-4</v>
      </c>
      <c r="AA107" s="442">
        <f t="shared" si="143"/>
        <v>7.0861120878760488E-4</v>
      </c>
      <c r="AB107" s="442">
        <f t="shared" si="143"/>
        <v>4.8767941251544862E-5</v>
      </c>
      <c r="AC107" s="442">
        <f t="shared" si="143"/>
        <v>4.6444462334335697E-5</v>
      </c>
      <c r="AD107" s="442"/>
      <c r="AE107" s="442"/>
      <c r="AF107" s="442">
        <f t="shared" si="136"/>
        <v>2.2437081422445928E-4</v>
      </c>
      <c r="AG107" s="1508">
        <f t="shared" si="137"/>
        <v>6.3453777030822514E-3</v>
      </c>
      <c r="AH107" s="1508">
        <f t="shared" si="144"/>
        <v>6.2177793865069808E-4</v>
      </c>
      <c r="AI107" s="1508">
        <f t="shared" si="144"/>
        <v>3.5234413975822116E-5</v>
      </c>
      <c r="AJ107" s="1508">
        <f t="shared" si="144"/>
        <v>5.6718629704080012E-5</v>
      </c>
      <c r="AK107" s="1508">
        <f t="shared" si="144"/>
        <v>3.8972155546962108E-4</v>
      </c>
      <c r="AL107" s="1508">
        <f t="shared" si="144"/>
        <v>7.3763569980827136E-5</v>
      </c>
      <c r="AM107" s="1508">
        <f t="shared" si="144"/>
        <v>5.2640661027168682E-5</v>
      </c>
      <c r="AN107" s="1508">
        <f t="shared" si="144"/>
        <v>5.0072717010753211E-5</v>
      </c>
      <c r="AO107" s="1508">
        <f t="shared" si="144"/>
        <v>3.2430608821694466E-4</v>
      </c>
      <c r="AP107" s="1508">
        <f t="shared" si="144"/>
        <v>2.8265643038903962E-4</v>
      </c>
      <c r="AQ107" s="1508">
        <f t="shared" si="144"/>
        <v>1.1711725021248444E-3</v>
      </c>
      <c r="AR107" s="1508">
        <f t="shared" si="144"/>
        <v>2.095650735224159E-4</v>
      </c>
      <c r="AS107" s="1508">
        <f t="shared" si="144"/>
        <v>1.2013216517990039E-3</v>
      </c>
      <c r="AT107" s="1508"/>
      <c r="AU107" s="1508">
        <f t="shared" si="145"/>
        <v>1.0696651798652533E-2</v>
      </c>
      <c r="AV107" s="1508">
        <f t="shared" si="145"/>
        <v>1.4307364899766669E-2</v>
      </c>
      <c r="AW107" s="1508">
        <f t="shared" si="145"/>
        <v>2.7837595936171388E-3</v>
      </c>
      <c r="AX107" s="1508">
        <f t="shared" si="145"/>
        <v>4.8867205874346216E-3</v>
      </c>
      <c r="AY107" s="1508">
        <f t="shared" si="145"/>
        <v>2.6695441904091662E-4</v>
      </c>
      <c r="AZ107" s="1508">
        <f t="shared" si="145"/>
        <v>6.7266368133889953E-3</v>
      </c>
      <c r="BA107" s="1508" t="e">
        <f t="shared" si="145"/>
        <v>#DIV/0!</v>
      </c>
      <c r="BB107" s="1508" t="e">
        <f t="shared" si="145"/>
        <v>#DIV/0!</v>
      </c>
      <c r="BC107" s="1508" t="e">
        <f t="shared" si="145"/>
        <v>#DIV/0!</v>
      </c>
      <c r="BD107" s="1508" t="e">
        <f t="shared" si="145"/>
        <v>#DIV/0!</v>
      </c>
      <c r="BE107" s="1508" t="e">
        <f t="shared" si="145"/>
        <v>#DIV/0!</v>
      </c>
      <c r="BF107" s="1508" t="e">
        <f t="shared" si="145"/>
        <v>#DIV/0!</v>
      </c>
      <c r="BG107" s="1508" t="e">
        <f t="shared" si="145"/>
        <v>#DIV/0!</v>
      </c>
      <c r="BH107" s="1508">
        <f t="shared" si="145"/>
        <v>5.4561310387149847E-3</v>
      </c>
      <c r="BI107" s="1508">
        <f t="shared" si="145"/>
        <v>1.3445918777643746E-2</v>
      </c>
      <c r="BJ107" s="1188"/>
      <c r="BL107" s="1508">
        <f t="shared" si="146"/>
        <v>8.6493889591234708E-3</v>
      </c>
      <c r="BM107" s="1508">
        <f t="shared" si="146"/>
        <v>1.306574216743708E-2</v>
      </c>
      <c r="BN107" s="1508">
        <f t="shared" si="146"/>
        <v>2.3934459187776435E-2</v>
      </c>
      <c r="BO107" s="1508">
        <f t="shared" si="146"/>
        <v>7.3004412354592861E-3</v>
      </c>
      <c r="BP107" s="1508">
        <f t="shared" si="146"/>
        <v>1.3445918777643746E-2</v>
      </c>
      <c r="BQ107" s="1508">
        <f t="shared" si="146"/>
        <v>1.2371946414499605E-2</v>
      </c>
      <c r="BR107" s="1508">
        <f t="shared" si="146"/>
        <v>1.127790608160123E-2</v>
      </c>
      <c r="BS107" s="1508">
        <f t="shared" si="146"/>
        <v>9.6872616323417232E-3</v>
      </c>
      <c r="BT107" s="1508">
        <f t="shared" si="146"/>
        <v>1.2935323383084577E-2</v>
      </c>
      <c r="BU107" s="1508">
        <f t="shared" si="146"/>
        <v>9.2085235920852347E-3</v>
      </c>
      <c r="BV107" s="1508">
        <f t="shared" si="146"/>
        <v>7.0216049382716044E-3</v>
      </c>
      <c r="BW107" s="1508">
        <f t="shared" si="146"/>
        <v>6.9412662090007626E-3</v>
      </c>
      <c r="BX107" s="1508">
        <f t="shared" si="146"/>
        <v>1.1254299999999998E-2</v>
      </c>
    </row>
    <row r="108" spans="1:76" s="445" customFormat="1">
      <c r="A108" s="422">
        <f t="shared" si="141"/>
        <v>26</v>
      </c>
      <c r="B108" s="422" t="s">
        <v>440</v>
      </c>
      <c r="C108" s="1193" t="s">
        <v>444</v>
      </c>
      <c r="D108" s="1194" t="s">
        <v>858</v>
      </c>
      <c r="E108" s="422" t="s">
        <v>1252</v>
      </c>
      <c r="F108" s="442">
        <f t="shared" si="142"/>
        <v>5.7627327890212226E-6</v>
      </c>
      <c r="G108" s="442">
        <f t="shared" si="142"/>
        <v>2.7724626409581226E-4</v>
      </c>
      <c r="H108" s="442">
        <f t="shared" si="142"/>
        <v>1.0824163076422123E-4</v>
      </c>
      <c r="I108" s="442">
        <f t="shared" si="142"/>
        <v>1.3914019007345277E-4</v>
      </c>
      <c r="J108" s="442">
        <f t="shared" si="142"/>
        <v>9.8877109427620714E-5</v>
      </c>
      <c r="K108" s="442">
        <f t="shared" si="142"/>
        <v>0</v>
      </c>
      <c r="L108" s="442">
        <f t="shared" si="142"/>
        <v>2.0140256040037036E-4</v>
      </c>
      <c r="M108" s="442">
        <f t="shared" si="142"/>
        <v>1.2968808916856862E-4</v>
      </c>
      <c r="N108" s="442">
        <f t="shared" si="142"/>
        <v>1.8687941573969697E-4</v>
      </c>
      <c r="O108" s="442">
        <f t="shared" si="142"/>
        <v>1.3921326635121353E-4</v>
      </c>
      <c r="P108" s="442">
        <f t="shared" si="142"/>
        <v>1.8897002278452272E-4</v>
      </c>
      <c r="Q108" s="442">
        <f t="shared" si="142"/>
        <v>9.1104764001913912E-5</v>
      </c>
      <c r="R108" s="1508">
        <f t="shared" si="134"/>
        <v>3.8686468591993583E-3</v>
      </c>
      <c r="S108" s="442">
        <f t="shared" si="143"/>
        <v>0</v>
      </c>
      <c r="T108" s="442">
        <f t="shared" si="143"/>
        <v>0</v>
      </c>
      <c r="U108" s="442">
        <f t="shared" si="143"/>
        <v>6.161393456294986E-6</v>
      </c>
      <c r="V108" s="442">
        <f t="shared" si="143"/>
        <v>0</v>
      </c>
      <c r="W108" s="442">
        <f t="shared" si="143"/>
        <v>9.394505977664286E-6</v>
      </c>
      <c r="X108" s="442">
        <f t="shared" si="143"/>
        <v>0</v>
      </c>
      <c r="Y108" s="442">
        <f t="shared" si="143"/>
        <v>1.294743010630226E-5</v>
      </c>
      <c r="Z108" s="442">
        <f t="shared" si="143"/>
        <v>0</v>
      </c>
      <c r="AA108" s="442">
        <f t="shared" si="143"/>
        <v>0</v>
      </c>
      <c r="AB108" s="442">
        <f t="shared" si="143"/>
        <v>0</v>
      </c>
      <c r="AC108" s="442">
        <f t="shared" si="143"/>
        <v>0</v>
      </c>
      <c r="AD108" s="442"/>
      <c r="AE108" s="442"/>
      <c r="AF108" s="442">
        <f t="shared" si="136"/>
        <v>2.213164356833096E-6</v>
      </c>
      <c r="AG108" s="1508">
        <f t="shared" si="137"/>
        <v>6.2589975490556448E-5</v>
      </c>
      <c r="AH108" s="1508">
        <f t="shared" si="144"/>
        <v>0</v>
      </c>
      <c r="AI108" s="1508">
        <f t="shared" si="144"/>
        <v>0</v>
      </c>
      <c r="AJ108" s="1508">
        <f t="shared" si="144"/>
        <v>0</v>
      </c>
      <c r="AK108" s="1508">
        <f t="shared" si="144"/>
        <v>0</v>
      </c>
      <c r="AL108" s="1508">
        <f t="shared" si="144"/>
        <v>0</v>
      </c>
      <c r="AM108" s="1508">
        <f t="shared" si="144"/>
        <v>0</v>
      </c>
      <c r="AN108" s="1508">
        <f t="shared" si="144"/>
        <v>0</v>
      </c>
      <c r="AO108" s="1508">
        <f t="shared" si="144"/>
        <v>0</v>
      </c>
      <c r="AP108" s="1508">
        <f t="shared" si="144"/>
        <v>0</v>
      </c>
      <c r="AQ108" s="1508">
        <f t="shared" si="144"/>
        <v>0</v>
      </c>
      <c r="AR108" s="1508">
        <f t="shared" si="144"/>
        <v>0</v>
      </c>
      <c r="AS108" s="1508">
        <f t="shared" si="144"/>
        <v>0</v>
      </c>
      <c r="AT108" s="1508"/>
      <c r="AU108" s="1508">
        <f t="shared" si="145"/>
        <v>0</v>
      </c>
      <c r="AV108" s="1508">
        <f t="shared" si="145"/>
        <v>0</v>
      </c>
      <c r="AW108" s="1508">
        <f t="shared" si="145"/>
        <v>0</v>
      </c>
      <c r="AX108" s="1508">
        <f t="shared" si="145"/>
        <v>0</v>
      </c>
      <c r="AY108" s="1508">
        <f t="shared" si="145"/>
        <v>0</v>
      </c>
      <c r="AZ108" s="1508">
        <f t="shared" si="145"/>
        <v>0</v>
      </c>
      <c r="BA108" s="1508" t="e">
        <f t="shared" si="145"/>
        <v>#DIV/0!</v>
      </c>
      <c r="BB108" s="1508" t="e">
        <f t="shared" si="145"/>
        <v>#DIV/0!</v>
      </c>
      <c r="BC108" s="1508" t="e">
        <f t="shared" si="145"/>
        <v>#DIV/0!</v>
      </c>
      <c r="BD108" s="1508" t="e">
        <f t="shared" si="145"/>
        <v>#DIV/0!</v>
      </c>
      <c r="BE108" s="1508" t="e">
        <f t="shared" si="145"/>
        <v>#DIV/0!</v>
      </c>
      <c r="BF108" s="1508" t="e">
        <f t="shared" si="145"/>
        <v>#DIV/0!</v>
      </c>
      <c r="BG108" s="1508" t="e">
        <f t="shared" si="145"/>
        <v>#DIV/0!</v>
      </c>
      <c r="BH108" s="1508">
        <f t="shared" si="145"/>
        <v>0</v>
      </c>
      <c r="BI108" s="1508">
        <f t="shared" si="145"/>
        <v>0</v>
      </c>
      <c r="BJ108" s="1205"/>
      <c r="BK108" s="1506"/>
      <c r="BL108" s="1508">
        <f t="shared" si="146"/>
        <v>0</v>
      </c>
      <c r="BM108" s="1508">
        <f t="shared" si="146"/>
        <v>0</v>
      </c>
      <c r="BN108" s="1508">
        <f t="shared" si="146"/>
        <v>0</v>
      </c>
      <c r="BO108" s="1508">
        <f t="shared" si="146"/>
        <v>0</v>
      </c>
      <c r="BP108" s="1508">
        <f t="shared" si="146"/>
        <v>0</v>
      </c>
      <c r="BQ108" s="1508">
        <f t="shared" si="146"/>
        <v>0</v>
      </c>
      <c r="BR108" s="1508">
        <f t="shared" si="146"/>
        <v>0</v>
      </c>
      <c r="BS108" s="1508">
        <f t="shared" si="146"/>
        <v>0</v>
      </c>
      <c r="BT108" s="1508">
        <f t="shared" si="146"/>
        <v>0</v>
      </c>
      <c r="BU108" s="1508">
        <f t="shared" si="146"/>
        <v>0</v>
      </c>
      <c r="BV108" s="1508">
        <f t="shared" si="146"/>
        <v>0</v>
      </c>
      <c r="BW108" s="1508">
        <f t="shared" si="146"/>
        <v>0</v>
      </c>
      <c r="BX108" s="1508">
        <f t="shared" si="146"/>
        <v>0</v>
      </c>
    </row>
    <row r="109" spans="1:76" s="445" customFormat="1">
      <c r="A109" s="422">
        <f t="shared" si="141"/>
        <v>27</v>
      </c>
      <c r="B109" s="422" t="s">
        <v>440</v>
      </c>
      <c r="C109" s="1193" t="s">
        <v>444</v>
      </c>
      <c r="D109" s="1194" t="s">
        <v>859</v>
      </c>
      <c r="E109" s="422" t="s">
        <v>1252</v>
      </c>
      <c r="F109" s="442"/>
      <c r="G109" s="442"/>
      <c r="H109" s="442"/>
      <c r="I109" s="442"/>
      <c r="J109" s="442"/>
      <c r="K109" s="442"/>
      <c r="L109" s="442"/>
      <c r="M109" s="442"/>
      <c r="N109" s="442"/>
      <c r="O109" s="442"/>
      <c r="P109" s="442"/>
      <c r="Q109" s="442"/>
      <c r="R109" s="1508">
        <f t="shared" si="134"/>
        <v>0</v>
      </c>
      <c r="S109" s="442"/>
      <c r="T109" s="442"/>
      <c r="U109" s="442"/>
      <c r="V109" s="442"/>
      <c r="W109" s="442"/>
      <c r="X109" s="442"/>
      <c r="Y109" s="442"/>
      <c r="Z109" s="442"/>
      <c r="AA109" s="442"/>
      <c r="AB109" s="442"/>
      <c r="AC109" s="442"/>
      <c r="AD109" s="442"/>
      <c r="AE109" s="442"/>
      <c r="AF109" s="442"/>
      <c r="AG109" s="1508">
        <f t="shared" si="137"/>
        <v>3.2763705581699224E-3</v>
      </c>
      <c r="AH109" s="1508">
        <f t="shared" si="144"/>
        <v>0</v>
      </c>
      <c r="AI109" s="1508">
        <f t="shared" si="144"/>
        <v>1.5326971612179782E-3</v>
      </c>
      <c r="AJ109" s="1508">
        <f t="shared" si="144"/>
        <v>9.7959598545727697E-4</v>
      </c>
      <c r="AK109" s="1508">
        <f t="shared" si="144"/>
        <v>7.8714431692356122E-4</v>
      </c>
      <c r="AL109" s="1508">
        <f t="shared" si="144"/>
        <v>1.0724115386978217E-3</v>
      </c>
      <c r="AM109" s="1508">
        <f t="shared" si="144"/>
        <v>1.2673273524786692E-3</v>
      </c>
      <c r="AN109" s="1508">
        <f t="shared" si="144"/>
        <v>1.2596055844058091E-3</v>
      </c>
      <c r="AO109" s="1508">
        <f t="shared" si="144"/>
        <v>1.368016078387838E-3</v>
      </c>
      <c r="AP109" s="1508">
        <f t="shared" si="144"/>
        <v>1.5279160745391559E-3</v>
      </c>
      <c r="AQ109" s="1508">
        <f t="shared" si="144"/>
        <v>1.9744542231915764E-3</v>
      </c>
      <c r="AR109" s="1508">
        <f t="shared" si="144"/>
        <v>2.3651858770504693E-3</v>
      </c>
      <c r="AS109" s="1508">
        <f t="shared" si="144"/>
        <v>1.7249339374237414E-3</v>
      </c>
      <c r="AT109" s="1508"/>
      <c r="AU109" s="1508">
        <f t="shared" si="145"/>
        <v>4.1024429443152197E-2</v>
      </c>
      <c r="AV109" s="1508">
        <f t="shared" si="145"/>
        <v>6.2794032948655501E-2</v>
      </c>
      <c r="AW109" s="1508">
        <f t="shared" si="145"/>
        <v>0.12368174037877532</v>
      </c>
      <c r="AX109" s="1508">
        <f t="shared" si="145"/>
        <v>5.0021045970675478E-2</v>
      </c>
      <c r="AY109" s="1508">
        <f t="shared" si="145"/>
        <v>5.4557840318620841E-2</v>
      </c>
      <c r="AZ109" s="1508">
        <f t="shared" si="145"/>
        <v>6.636638951067754E-2</v>
      </c>
      <c r="BA109" s="1508" t="e">
        <f t="shared" si="145"/>
        <v>#DIV/0!</v>
      </c>
      <c r="BB109" s="1508" t="e">
        <f t="shared" si="145"/>
        <v>#DIV/0!</v>
      </c>
      <c r="BC109" s="1508" t="e">
        <f t="shared" si="145"/>
        <v>#DIV/0!</v>
      </c>
      <c r="BD109" s="1508" t="e">
        <f t="shared" si="145"/>
        <v>#DIV/0!</v>
      </c>
      <c r="BE109" s="1508" t="e">
        <f t="shared" si="145"/>
        <v>#DIV/0!</v>
      </c>
      <c r="BF109" s="1508" t="e">
        <f t="shared" si="145"/>
        <v>#DIV/0!</v>
      </c>
      <c r="BG109" s="1508" t="e">
        <f t="shared" si="145"/>
        <v>#DIV/0!</v>
      </c>
      <c r="BH109" s="1508">
        <f t="shared" si="145"/>
        <v>6.4711741104463413E-2</v>
      </c>
      <c r="BI109" s="1508">
        <f t="shared" si="145"/>
        <v>7.104945717732207E-2</v>
      </c>
      <c r="BJ109" s="1205"/>
      <c r="BK109" s="1506"/>
      <c r="BL109" s="1508">
        <f t="shared" si="146"/>
        <v>7.4462705436156768E-2</v>
      </c>
      <c r="BM109" s="1508">
        <f t="shared" si="146"/>
        <v>9.0755007704160243E-2</v>
      </c>
      <c r="BN109" s="1508">
        <f t="shared" si="146"/>
        <v>8.3112183353437882E-2</v>
      </c>
      <c r="BO109" s="1508">
        <f t="shared" si="146"/>
        <v>7.0878459687123946E-2</v>
      </c>
      <c r="BP109" s="1508">
        <f t="shared" si="146"/>
        <v>7.104945717732207E-2</v>
      </c>
      <c r="BQ109" s="1508">
        <f t="shared" si="146"/>
        <v>6.9621749408983455E-2</v>
      </c>
      <c r="BR109" s="1508">
        <f t="shared" si="146"/>
        <v>6.8013856812933024E-2</v>
      </c>
      <c r="BS109" s="1508">
        <f t="shared" si="146"/>
        <v>6.7391304347826086E-2</v>
      </c>
      <c r="BT109" s="1508">
        <f t="shared" si="146"/>
        <v>6.7623421354764637E-2</v>
      </c>
      <c r="BU109" s="1508">
        <f t="shared" si="146"/>
        <v>6.7237442922374435E-2</v>
      </c>
      <c r="BV109" s="1508">
        <f t="shared" si="146"/>
        <v>6.8171296296296299E-2</v>
      </c>
      <c r="BW109" s="1508">
        <f t="shared" si="146"/>
        <v>6.7391304347826086E-2</v>
      </c>
      <c r="BX109" s="1508">
        <f t="shared" si="146"/>
        <v>7.1679999999999994E-2</v>
      </c>
    </row>
    <row r="110" spans="1:76" s="445" customFormat="1">
      <c r="A110" s="429"/>
      <c r="B110" s="422"/>
      <c r="C110" s="429"/>
      <c r="D110" s="1200" t="s">
        <v>860</v>
      </c>
      <c r="E110" s="429"/>
      <c r="F110" s="1211">
        <f>F50/$F$50</f>
        <v>1</v>
      </c>
      <c r="G110" s="1211">
        <f>G50/$G$50</f>
        <v>1</v>
      </c>
      <c r="H110" s="1211">
        <f>H50/$H$50</f>
        <v>1</v>
      </c>
      <c r="I110" s="1211">
        <f>I50/$I$50</f>
        <v>1</v>
      </c>
      <c r="J110" s="1211">
        <f>J50/$J$50</f>
        <v>1</v>
      </c>
      <c r="K110" s="1211">
        <f>K50/$K$50</f>
        <v>1</v>
      </c>
      <c r="L110" s="1217">
        <f>L50/$L$50</f>
        <v>1</v>
      </c>
      <c r="M110" s="1211">
        <f>M50/$M$50</f>
        <v>1</v>
      </c>
      <c r="N110" s="1211">
        <f>N50/$N$50</f>
        <v>1</v>
      </c>
      <c r="O110" s="1217">
        <f>O50/$O$50</f>
        <v>1</v>
      </c>
      <c r="P110" s="1217">
        <f>P50/$P$50</f>
        <v>1</v>
      </c>
      <c r="Q110" s="1217">
        <f>Q50/$Q$50</f>
        <v>1</v>
      </c>
      <c r="R110" s="1510">
        <f>SUM(R64:R109)</f>
        <v>29.676522164427301</v>
      </c>
      <c r="S110" s="1217">
        <f t="shared" ref="S110:AF110" si="147">S50/S$50</f>
        <v>1</v>
      </c>
      <c r="T110" s="1217">
        <f t="shared" si="147"/>
        <v>1</v>
      </c>
      <c r="U110" s="1217">
        <f t="shared" si="147"/>
        <v>1</v>
      </c>
      <c r="V110" s="1217">
        <f t="shared" si="147"/>
        <v>1</v>
      </c>
      <c r="W110" s="1217">
        <f t="shared" si="147"/>
        <v>1</v>
      </c>
      <c r="X110" s="1217">
        <f t="shared" si="147"/>
        <v>1</v>
      </c>
      <c r="Y110" s="1217">
        <f t="shared" si="147"/>
        <v>1</v>
      </c>
      <c r="Z110" s="1217">
        <f t="shared" si="147"/>
        <v>1</v>
      </c>
      <c r="AA110" s="1217">
        <f t="shared" si="147"/>
        <v>1</v>
      </c>
      <c r="AB110" s="1217">
        <f t="shared" si="147"/>
        <v>1</v>
      </c>
      <c r="AC110" s="1217">
        <f t="shared" si="147"/>
        <v>1</v>
      </c>
      <c r="AD110" s="1217">
        <f t="shared" si="147"/>
        <v>1</v>
      </c>
      <c r="AE110" s="1217">
        <f t="shared" si="147"/>
        <v>1</v>
      </c>
      <c r="AF110" s="1217">
        <f t="shared" si="147"/>
        <v>1</v>
      </c>
      <c r="AG110" s="1510">
        <f>SUM(AG64:AG109)</f>
        <v>28.498166240211187</v>
      </c>
      <c r="AH110" s="1510">
        <f t="shared" si="144"/>
        <v>1</v>
      </c>
      <c r="AI110" s="1510">
        <f t="shared" si="144"/>
        <v>1</v>
      </c>
      <c r="AJ110" s="1510">
        <f t="shared" si="144"/>
        <v>1</v>
      </c>
      <c r="AK110" s="1510">
        <f t="shared" si="144"/>
        <v>1</v>
      </c>
      <c r="AL110" s="1510">
        <f t="shared" si="144"/>
        <v>1</v>
      </c>
      <c r="AM110" s="1510">
        <f t="shared" si="144"/>
        <v>1</v>
      </c>
      <c r="AN110" s="1510">
        <f t="shared" si="144"/>
        <v>1</v>
      </c>
      <c r="AO110" s="1510">
        <f t="shared" si="144"/>
        <v>1</v>
      </c>
      <c r="AP110" s="1510">
        <f t="shared" si="144"/>
        <v>1</v>
      </c>
      <c r="AQ110" s="1510">
        <f t="shared" si="144"/>
        <v>1</v>
      </c>
      <c r="AR110" s="1510">
        <f t="shared" si="144"/>
        <v>1</v>
      </c>
      <c r="AS110" s="1510">
        <f t="shared" si="144"/>
        <v>1</v>
      </c>
      <c r="AT110" s="1510"/>
      <c r="AU110" s="1510">
        <f>SUM(AU64:AU109)</f>
        <v>31.148036829129008</v>
      </c>
      <c r="AV110" s="1510">
        <f>SUM(AV64:AV109)</f>
        <v>33.261130804895203</v>
      </c>
      <c r="AW110" s="1510">
        <f t="shared" ref="AW110:BI110" si="148">SUM(AW64:AW109)</f>
        <v>37.518091932254421</v>
      </c>
      <c r="AX110" s="1510">
        <f t="shared" si="148"/>
        <v>28.783974624407534</v>
      </c>
      <c r="AY110" s="1510">
        <f t="shared" si="148"/>
        <v>28.415498507773233</v>
      </c>
      <c r="AZ110" s="1510">
        <f t="shared" si="148"/>
        <v>31.475990577714413</v>
      </c>
      <c r="BA110" s="1510" t="e">
        <f t="shared" si="148"/>
        <v>#DIV/0!</v>
      </c>
      <c r="BB110" s="1510" t="e">
        <f t="shared" si="148"/>
        <v>#DIV/0!</v>
      </c>
      <c r="BC110" s="1510" t="e">
        <f t="shared" si="148"/>
        <v>#DIV/0!</v>
      </c>
      <c r="BD110" s="1510" t="e">
        <f t="shared" si="148"/>
        <v>#DIV/0!</v>
      </c>
      <c r="BE110" s="1510" t="e">
        <f t="shared" si="148"/>
        <v>#DIV/0!</v>
      </c>
      <c r="BF110" s="1510" t="e">
        <f t="shared" si="148"/>
        <v>#DIV/0!</v>
      </c>
      <c r="BG110" s="1510" t="e">
        <f t="shared" si="148"/>
        <v>#DIV/0!</v>
      </c>
      <c r="BH110" s="1510">
        <f t="shared" si="148"/>
        <v>30.950184415298629</v>
      </c>
      <c r="BI110" s="1510">
        <f t="shared" si="148"/>
        <v>29.555833455272072</v>
      </c>
      <c r="BJ110" s="1205"/>
      <c r="BK110" s="1506"/>
      <c r="BL110" s="1510">
        <f t="shared" ref="BL110:BX110" si="149">SUM(BL64:BL109)</f>
        <v>29.802451269241118</v>
      </c>
      <c r="BM110" s="1510">
        <f t="shared" si="149"/>
        <v>31.177733177774225</v>
      </c>
      <c r="BN110" s="1510">
        <f t="shared" si="149"/>
        <v>29.189581898176957</v>
      </c>
      <c r="BO110" s="1510">
        <f t="shared" si="149"/>
        <v>29.238911768650162</v>
      </c>
      <c r="BP110" s="1510">
        <f t="shared" si="149"/>
        <v>29.555833455272072</v>
      </c>
      <c r="BQ110" s="1510">
        <f t="shared" si="149"/>
        <v>29.544031859311065</v>
      </c>
      <c r="BR110" s="1510">
        <f t="shared" si="149"/>
        <v>29.287506073684771</v>
      </c>
      <c r="BS110" s="1510">
        <f t="shared" si="149"/>
        <v>29.247362809470825</v>
      </c>
      <c r="BT110" s="1510">
        <f t="shared" si="149"/>
        <v>29.629233644150702</v>
      </c>
      <c r="BU110" s="1510">
        <f t="shared" si="149"/>
        <v>29.046956195259114</v>
      </c>
      <c r="BV110" s="1510">
        <f t="shared" si="149"/>
        <v>29.272639896155351</v>
      </c>
      <c r="BW110" s="1510">
        <f t="shared" si="149"/>
        <v>29.629014404608601</v>
      </c>
      <c r="BX110" s="1510">
        <f t="shared" si="149"/>
        <v>29.517195313074939</v>
      </c>
    </row>
    <row r="111" spans="1:76" s="445" customFormat="1">
      <c r="D111" s="1218"/>
      <c r="F111" s="1219"/>
      <c r="G111" s="1219"/>
      <c r="H111" s="1219"/>
      <c r="I111" s="1219"/>
      <c r="J111" s="1219"/>
      <c r="K111" s="1219"/>
      <c r="L111" s="1219"/>
      <c r="M111" s="1219"/>
      <c r="N111" s="1219"/>
      <c r="O111" s="1219"/>
      <c r="P111" s="1219"/>
      <c r="Q111" s="1219"/>
      <c r="R111" s="1219"/>
      <c r="S111" s="1219"/>
      <c r="T111" s="1219"/>
      <c r="U111" s="1219"/>
      <c r="V111" s="1219"/>
      <c r="W111" s="1219"/>
      <c r="X111" s="1219"/>
      <c r="Y111" s="1219"/>
      <c r="Z111" s="1219"/>
      <c r="AA111" s="1219"/>
      <c r="AB111" s="1219"/>
      <c r="AC111" s="1219"/>
      <c r="AD111" s="1219"/>
      <c r="AE111" s="1219"/>
      <c r="AF111" s="1219"/>
      <c r="AG111" s="1219"/>
      <c r="AH111" s="1219"/>
      <c r="AI111" s="1219"/>
      <c r="AJ111" s="1219"/>
      <c r="AK111" s="1219"/>
      <c r="AL111" s="1219"/>
      <c r="AM111" s="1219"/>
      <c r="AN111" s="1219"/>
      <c r="AO111" s="1219"/>
      <c r="AP111" s="1219"/>
      <c r="AQ111" s="1219"/>
      <c r="AR111" s="1219"/>
      <c r="AS111" s="1219"/>
      <c r="AT111" s="1219"/>
      <c r="AU111" s="1219"/>
      <c r="AV111" s="1219"/>
      <c r="AW111" s="1219"/>
      <c r="AX111" s="1219"/>
      <c r="AY111" s="1219"/>
      <c r="AZ111" s="1219"/>
      <c r="BA111" s="1219"/>
      <c r="BB111" s="1219"/>
      <c r="BC111" s="1219"/>
      <c r="BD111" s="1219"/>
      <c r="BE111" s="1219"/>
      <c r="BF111" s="1219"/>
      <c r="BG111" s="1219"/>
      <c r="BH111" s="1219"/>
      <c r="BI111" s="1219"/>
      <c r="BJ111" s="1220"/>
      <c r="BK111" s="1506"/>
    </row>
    <row r="112" spans="1:76" s="445" customFormat="1">
      <c r="D112" s="1218"/>
      <c r="F112" s="1219"/>
      <c r="G112" s="1219"/>
      <c r="H112" s="1219"/>
      <c r="I112" s="1219"/>
      <c r="J112" s="1219"/>
      <c r="K112" s="1219"/>
      <c r="L112" s="1219"/>
      <c r="M112" s="1219"/>
      <c r="N112" s="1219"/>
      <c r="O112" s="1219"/>
      <c r="P112" s="1219"/>
      <c r="Q112" s="1219"/>
      <c r="R112" s="1219"/>
      <c r="S112" s="1219"/>
      <c r="T112" s="1219"/>
      <c r="U112" s="1219"/>
      <c r="V112" s="1219"/>
      <c r="W112" s="1219"/>
      <c r="X112" s="1219"/>
      <c r="Y112" s="1219"/>
      <c r="Z112" s="1219"/>
      <c r="AA112" s="1219"/>
      <c r="AB112" s="1219"/>
      <c r="AC112" s="1219"/>
      <c r="AD112" s="1219"/>
      <c r="AE112" s="1219"/>
      <c r="AF112" s="1219"/>
      <c r="AG112" s="1219"/>
      <c r="AH112" s="1219"/>
      <c r="AI112" s="1219"/>
      <c r="AJ112" s="1219"/>
      <c r="AK112" s="1219"/>
      <c r="AL112" s="1219"/>
      <c r="AM112" s="1219"/>
      <c r="AN112" s="1219"/>
      <c r="AO112" s="1219"/>
      <c r="AP112" s="1219"/>
      <c r="AQ112" s="1219"/>
      <c r="AR112" s="1219"/>
      <c r="AS112" s="1219"/>
      <c r="AT112" s="1219"/>
      <c r="AU112" s="1219"/>
      <c r="AV112" s="1219"/>
      <c r="AW112" s="1219"/>
      <c r="AX112" s="1219"/>
      <c r="AY112" s="1219"/>
      <c r="AZ112" s="1219"/>
      <c r="BA112" s="1219"/>
      <c r="BB112" s="1219"/>
      <c r="BC112" s="1219"/>
      <c r="BD112" s="1219"/>
      <c r="BE112" s="1219"/>
      <c r="BF112" s="1219"/>
      <c r="BG112" s="1219"/>
      <c r="BH112" s="1219"/>
      <c r="BI112" s="1219"/>
      <c r="BJ112" s="1220"/>
      <c r="BK112" s="1506"/>
      <c r="BX112" s="1511"/>
    </row>
    <row r="113" spans="4:63" s="445" customFormat="1">
      <c r="D113" s="1218"/>
      <c r="F113" s="1219"/>
      <c r="G113" s="1219"/>
      <c r="H113" s="1219"/>
      <c r="I113" s="1219"/>
      <c r="J113" s="1219"/>
      <c r="K113" s="1219"/>
      <c r="L113" s="1219"/>
      <c r="M113" s="1219"/>
      <c r="N113" s="1219"/>
      <c r="O113" s="1219"/>
      <c r="P113" s="1219"/>
      <c r="Q113" s="1219"/>
      <c r="R113" s="1219"/>
      <c r="S113" s="1219"/>
      <c r="T113" s="1219"/>
      <c r="U113" s="1219"/>
      <c r="V113" s="1219"/>
      <c r="W113" s="1219"/>
      <c r="X113" s="1219"/>
      <c r="Y113" s="1219"/>
      <c r="Z113" s="1219"/>
      <c r="AA113" s="1219"/>
      <c r="AB113" s="1219"/>
      <c r="AC113" s="1219"/>
      <c r="AD113" s="1219"/>
      <c r="AE113" s="1219"/>
      <c r="AF113" s="1219"/>
      <c r="AG113" s="1219"/>
      <c r="AH113" s="1219"/>
      <c r="AI113" s="1219"/>
      <c r="AJ113" s="1219"/>
      <c r="AK113" s="1219"/>
      <c r="AL113" s="1219"/>
      <c r="AM113" s="1219"/>
      <c r="AN113" s="1219"/>
      <c r="AO113" s="1219"/>
      <c r="AP113" s="1219"/>
      <c r="AQ113" s="1219"/>
      <c r="AR113" s="1219"/>
      <c r="AS113" s="1219"/>
      <c r="AT113" s="1219"/>
      <c r="AU113" s="1219"/>
      <c r="AV113" s="1219"/>
      <c r="AW113" s="1219"/>
      <c r="AX113" s="1219"/>
      <c r="AY113" s="1219"/>
      <c r="AZ113" s="1219"/>
      <c r="BA113" s="1219"/>
      <c r="BB113" s="1219"/>
      <c r="BC113" s="1219"/>
      <c r="BD113" s="1219"/>
      <c r="BE113" s="1219"/>
      <c r="BF113" s="1219"/>
      <c r="BG113" s="1219"/>
      <c r="BH113" s="1219"/>
      <c r="BI113" s="1219"/>
      <c r="BJ113" s="1220"/>
      <c r="BK113" s="1506"/>
    </row>
    <row r="114" spans="4:63" s="445" customFormat="1">
      <c r="F114" s="1219"/>
      <c r="G114" s="1219"/>
      <c r="H114" s="1219"/>
      <c r="I114" s="1219"/>
      <c r="J114" s="1219"/>
      <c r="K114" s="1219"/>
      <c r="L114" s="1219"/>
      <c r="M114" s="1219"/>
      <c r="N114" s="1219"/>
      <c r="O114" s="1219"/>
      <c r="P114" s="1219"/>
      <c r="Q114" s="1219"/>
      <c r="R114" s="1219"/>
      <c r="S114" s="1219"/>
      <c r="T114" s="1219"/>
      <c r="U114" s="1219"/>
      <c r="V114" s="1219"/>
      <c r="W114" s="1219"/>
      <c r="X114" s="1219"/>
      <c r="Y114" s="1219"/>
      <c r="Z114" s="1219"/>
      <c r="AA114" s="1219"/>
      <c r="AB114" s="1219"/>
      <c r="AC114" s="1219"/>
      <c r="AD114" s="1219"/>
      <c r="AE114" s="1219"/>
      <c r="AF114" s="1219"/>
      <c r="AG114" s="1219"/>
      <c r="AH114" s="1219"/>
      <c r="AI114" s="1219"/>
      <c r="AJ114" s="1219"/>
      <c r="AK114" s="1221"/>
      <c r="AL114" s="1219"/>
      <c r="AM114" s="1219"/>
      <c r="AN114" s="1219"/>
      <c r="AO114" s="1219"/>
      <c r="AP114" s="1219"/>
      <c r="AQ114" s="1219"/>
      <c r="AR114" s="1219"/>
      <c r="AS114" s="1219"/>
      <c r="AT114" s="1219"/>
      <c r="AU114" s="1219"/>
      <c r="AV114" s="1219"/>
      <c r="AW114" s="1219"/>
      <c r="AX114" s="1219"/>
      <c r="AY114" s="1221"/>
      <c r="AZ114" s="1219"/>
      <c r="BA114" s="1219"/>
      <c r="BB114" s="1219"/>
      <c r="BC114" s="1219"/>
      <c r="BD114" s="1219"/>
      <c r="BE114" s="1219"/>
      <c r="BF114" s="1219"/>
      <c r="BG114" s="1219"/>
      <c r="BH114" s="1219"/>
      <c r="BI114" s="1219"/>
      <c r="BJ114" s="1220"/>
      <c r="BK114" s="1506"/>
    </row>
    <row r="116" spans="4:63">
      <c r="D116" s="1504"/>
    </row>
  </sheetData>
  <autoFilter ref="A2:FR53" xr:uid="{2273DB92-4D86-45B1-B3B4-32D1A743297F}">
    <filterColumn colId="2">
      <filters>
        <filter val="Bảo Trì + Sữa Chữa"/>
      </filters>
    </filterColumn>
  </autoFilter>
  <conditionalFormatting sqref="Q23 S23 X23 Z23 Q52:S52 W52:AT52 AU52:BI53 AF53:AT53">
    <cfRule type="cellIs" dxfId="2" priority="3" operator="greaterThan">
      <formula>#REF!</formula>
    </cfRule>
  </conditionalFormatting>
  <conditionalFormatting sqref="S25:S26 X25:X26 Z25:Z26">
    <cfRule type="cellIs" dxfId="1" priority="2" operator="greaterThan">
      <formula>#REF!</formula>
    </cfRule>
  </conditionalFormatting>
  <conditionalFormatting sqref="S29 X29 Z29">
    <cfRule type="cellIs" dxfId="0" priority="1" operator="greaterThan">
      <formula>#REF!</formula>
    </cfRule>
  </conditionalFormatting>
  <hyperlinks>
    <hyperlink ref="BJ51" location="'Thuế TNDN'!A1" display="'Thuế TNDN'!A1" xr:uid="{221A1345-48A2-4E81-B2B5-8600D90B0B6C}"/>
    <hyperlink ref="BJ52" location="'DT-CP khác'!A1" display="'DT-CP khác'!A1" xr:uid="{81E7A93D-F89A-48D4-94A6-2A253E08747B}"/>
  </hyperlinks>
  <pageMargins left="0.17" right="0.17" top="0.84499999999999997" bottom="0.17" header="0.3" footer="0.17"/>
  <pageSetup paperSize="9" scale="96" orientation="portrait"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59190-E5FB-4244-97C3-F5CF722F4F70}">
  <sheetPr codeName="Sheet42">
    <tabColor rgb="FFC00000"/>
  </sheetPr>
  <dimension ref="A1"/>
  <sheetViews>
    <sheetView workbookViewId="0">
      <selection activeCell="N35" sqref="N35"/>
    </sheetView>
  </sheetViews>
  <sheetFormatPr defaultRowHeight="14.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86BD-4205-4A5E-8887-44983BDE57CE}">
  <sheetPr codeName="Sheet43">
    <tabColor theme="6"/>
  </sheetPr>
  <dimension ref="A1"/>
  <sheetViews>
    <sheetView workbookViewId="0">
      <selection activeCell="M42" sqref="M42"/>
    </sheetView>
  </sheetViews>
  <sheetFormatPr defaultRowHeight="14.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1ECB7-F701-46F1-A576-49C90678118B}">
  <sheetPr codeName="Sheet44">
    <tabColor rgb="FFFF33CC"/>
  </sheetPr>
  <dimension ref="A2:U61"/>
  <sheetViews>
    <sheetView showGridLines="0" topLeftCell="A2" zoomScale="85" zoomScaleNormal="85" workbookViewId="0">
      <pane xSplit="1" ySplit="4" topLeftCell="B6" activePane="bottomRight" state="frozen"/>
      <selection activeCell="A2" sqref="A2"/>
      <selection pane="topRight" activeCell="B2" sqref="B2"/>
      <selection pane="bottomLeft" activeCell="A6" sqref="A6"/>
      <selection pane="bottomRight" activeCell="U72" sqref="U72"/>
    </sheetView>
  </sheetViews>
  <sheetFormatPr defaultColWidth="8.90625" defaultRowHeight="21.9" customHeight="1" outlineLevelCol="1"/>
  <cols>
    <col min="1" max="1" width="5.90625" style="34" customWidth="1"/>
    <col min="2" max="2" width="57.90625" style="596" customWidth="1"/>
    <col min="3" max="3" width="14.90625" style="594" customWidth="1"/>
    <col min="4" max="4" width="22.54296875" style="595" customWidth="1"/>
    <col min="5" max="7" width="15" style="34" customWidth="1"/>
    <col min="8" max="8" width="1.08984375" style="34" customWidth="1"/>
    <col min="9" max="9" width="12.54296875" style="34" customWidth="1"/>
    <col min="10" max="21" width="12.08984375" style="34" customWidth="1" outlineLevel="1"/>
    <col min="22" max="16384" width="8.90625" style="34"/>
  </cols>
  <sheetData>
    <row r="2" spans="1:21" ht="21.9" customHeight="1">
      <c r="B2" s="593" t="s">
        <v>602</v>
      </c>
    </row>
    <row r="3" spans="1:21" ht="21.9" customHeight="1" thickBot="1">
      <c r="E3" s="597"/>
      <c r="F3" s="597"/>
      <c r="G3" s="597"/>
    </row>
    <row r="4" spans="1:21" ht="18.649999999999999" customHeight="1" thickBot="1">
      <c r="A4" s="598" t="s">
        <v>598</v>
      </c>
      <c r="E4" s="597"/>
      <c r="F4" s="597"/>
      <c r="G4" s="597"/>
      <c r="I4" s="1566" t="s">
        <v>682</v>
      </c>
      <c r="J4" s="1567"/>
      <c r="K4" s="1567"/>
      <c r="L4" s="1567"/>
      <c r="M4" s="1567"/>
      <c r="N4" s="1567"/>
      <c r="O4" s="1567"/>
      <c r="P4" s="1567"/>
      <c r="Q4" s="1567"/>
      <c r="R4" s="1567"/>
      <c r="S4" s="1567"/>
      <c r="T4" s="1567"/>
      <c r="U4" s="1568"/>
    </row>
    <row r="5" spans="1:21" s="601" customFormat="1" ht="32.4" customHeight="1" thickBot="1">
      <c r="A5" s="600" t="s">
        <v>0</v>
      </c>
      <c r="B5" s="600" t="s">
        <v>596</v>
      </c>
      <c r="C5" s="600" t="s">
        <v>597</v>
      </c>
      <c r="D5" s="600" t="s">
        <v>603</v>
      </c>
      <c r="E5" s="600" t="s">
        <v>599</v>
      </c>
      <c r="F5" s="600" t="s">
        <v>600</v>
      </c>
      <c r="G5" s="600" t="s">
        <v>601</v>
      </c>
      <c r="I5" s="656" t="s">
        <v>338</v>
      </c>
      <c r="J5" s="602" t="s">
        <v>681</v>
      </c>
      <c r="K5" s="603" t="s">
        <v>683</v>
      </c>
      <c r="L5" s="603" t="s">
        <v>684</v>
      </c>
      <c r="M5" s="603" t="s">
        <v>685</v>
      </c>
      <c r="N5" s="603" t="s">
        <v>686</v>
      </c>
      <c r="O5" s="603" t="s">
        <v>687</v>
      </c>
      <c r="P5" s="603" t="s">
        <v>688</v>
      </c>
      <c r="Q5" s="603" t="s">
        <v>689</v>
      </c>
      <c r="R5" s="603" t="s">
        <v>690</v>
      </c>
      <c r="S5" s="603" t="s">
        <v>15</v>
      </c>
      <c r="T5" s="603" t="s">
        <v>16</v>
      </c>
      <c r="U5" s="604" t="s">
        <v>17</v>
      </c>
    </row>
    <row r="6" spans="1:21" ht="14.5">
      <c r="A6" s="605">
        <v>1</v>
      </c>
      <c r="B6" s="606" t="s">
        <v>604</v>
      </c>
      <c r="C6" s="1578" t="s">
        <v>18</v>
      </c>
      <c r="D6" s="1578" t="s">
        <v>22</v>
      </c>
      <c r="E6" s="1581">
        <v>3500</v>
      </c>
      <c r="F6" s="1569">
        <f>SUM(I6:I11)</f>
        <v>0</v>
      </c>
      <c r="G6" s="1584">
        <f>IFERROR(F6/E6,0)</f>
        <v>0</v>
      </c>
      <c r="H6" s="40"/>
      <c r="I6" s="661">
        <f>SUM(J6:U6)</f>
        <v>0</v>
      </c>
      <c r="J6" s="662"/>
      <c r="K6" s="663"/>
      <c r="L6" s="663"/>
      <c r="M6" s="663"/>
      <c r="N6" s="663"/>
      <c r="O6" s="663"/>
      <c r="P6" s="663"/>
      <c r="Q6" s="663"/>
      <c r="R6" s="663"/>
      <c r="S6" s="663"/>
      <c r="T6" s="663"/>
      <c r="U6" s="664"/>
    </row>
    <row r="7" spans="1:21" ht="14.5">
      <c r="A7" s="610">
        <v>2</v>
      </c>
      <c r="B7" s="611" t="s">
        <v>605</v>
      </c>
      <c r="C7" s="1579"/>
      <c r="D7" s="1579"/>
      <c r="E7" s="1582"/>
      <c r="F7" s="1570"/>
      <c r="G7" s="1585"/>
      <c r="H7" s="40"/>
      <c r="I7" s="665">
        <f t="shared" ref="I7:I60" si="0">SUM(J7:U7)</f>
        <v>0</v>
      </c>
      <c r="J7" s="666"/>
      <c r="K7" s="613"/>
      <c r="L7" s="613"/>
      <c r="M7" s="613"/>
      <c r="N7" s="613"/>
      <c r="O7" s="613"/>
      <c r="P7" s="613"/>
      <c r="Q7" s="613"/>
      <c r="R7" s="613"/>
      <c r="S7" s="613"/>
      <c r="T7" s="613"/>
      <c r="U7" s="667"/>
    </row>
    <row r="8" spans="1:21" ht="14.5">
      <c r="A8" s="610">
        <v>3</v>
      </c>
      <c r="B8" s="611" t="s">
        <v>606</v>
      </c>
      <c r="C8" s="1579"/>
      <c r="D8" s="1579"/>
      <c r="E8" s="1582"/>
      <c r="F8" s="1570"/>
      <c r="G8" s="1585"/>
      <c r="H8" s="40"/>
      <c r="I8" s="665">
        <f t="shared" si="0"/>
        <v>0</v>
      </c>
      <c r="J8" s="666"/>
      <c r="K8" s="613"/>
      <c r="L8" s="613"/>
      <c r="M8" s="613"/>
      <c r="N8" s="613"/>
      <c r="O8" s="613"/>
      <c r="P8" s="613"/>
      <c r="Q8" s="613"/>
      <c r="R8" s="613"/>
      <c r="S8" s="613"/>
      <c r="T8" s="613"/>
      <c r="U8" s="667"/>
    </row>
    <row r="9" spans="1:21" ht="14.5">
      <c r="A9" s="610">
        <v>4</v>
      </c>
      <c r="B9" s="611" t="s">
        <v>607</v>
      </c>
      <c r="C9" s="1579"/>
      <c r="D9" s="1579"/>
      <c r="E9" s="1582"/>
      <c r="F9" s="1570"/>
      <c r="G9" s="1585"/>
      <c r="H9" s="40"/>
      <c r="I9" s="665">
        <f t="shared" si="0"/>
        <v>0</v>
      </c>
      <c r="J9" s="666"/>
      <c r="K9" s="613"/>
      <c r="L9" s="613"/>
      <c r="M9" s="613"/>
      <c r="N9" s="613"/>
      <c r="O9" s="613"/>
      <c r="P9" s="613"/>
      <c r="Q9" s="613"/>
      <c r="R9" s="613"/>
      <c r="S9" s="613"/>
      <c r="T9" s="613"/>
      <c r="U9" s="667"/>
    </row>
    <row r="10" spans="1:21" ht="14.5">
      <c r="A10" s="610">
        <v>5</v>
      </c>
      <c r="B10" s="611" t="s">
        <v>608</v>
      </c>
      <c r="C10" s="1579"/>
      <c r="D10" s="1579"/>
      <c r="E10" s="1582"/>
      <c r="F10" s="1570"/>
      <c r="G10" s="1585"/>
      <c r="H10" s="40"/>
      <c r="I10" s="665">
        <f t="shared" si="0"/>
        <v>0</v>
      </c>
      <c r="J10" s="666"/>
      <c r="K10" s="613"/>
      <c r="L10" s="613"/>
      <c r="M10" s="613"/>
      <c r="N10" s="613"/>
      <c r="O10" s="613"/>
      <c r="P10" s="613"/>
      <c r="Q10" s="613"/>
      <c r="R10" s="613"/>
      <c r="S10" s="613"/>
      <c r="T10" s="613"/>
      <c r="U10" s="667"/>
    </row>
    <row r="11" spans="1:21" ht="15" thickBot="1">
      <c r="A11" s="614">
        <v>6</v>
      </c>
      <c r="B11" s="615" t="s">
        <v>609</v>
      </c>
      <c r="C11" s="1580"/>
      <c r="D11" s="1580"/>
      <c r="E11" s="1583"/>
      <c r="F11" s="1571"/>
      <c r="G11" s="1586"/>
      <c r="H11" s="40"/>
      <c r="I11" s="668">
        <f t="shared" si="0"/>
        <v>0</v>
      </c>
      <c r="J11" s="669"/>
      <c r="K11" s="670"/>
      <c r="L11" s="670"/>
      <c r="M11" s="670"/>
      <c r="N11" s="670"/>
      <c r="O11" s="670"/>
      <c r="P11" s="670"/>
      <c r="Q11" s="670"/>
      <c r="R11" s="670"/>
      <c r="S11" s="670"/>
      <c r="T11" s="670"/>
      <c r="U11" s="671"/>
    </row>
    <row r="12" spans="1:21" ht="14.5">
      <c r="A12" s="619">
        <v>7</v>
      </c>
      <c r="B12" s="620" t="s">
        <v>610</v>
      </c>
      <c r="C12" s="1587" t="s">
        <v>611</v>
      </c>
      <c r="D12" s="1590" t="s">
        <v>30</v>
      </c>
      <c r="E12" s="1575">
        <v>2000</v>
      </c>
      <c r="F12" s="1572">
        <f>SUM(I12:I17)</f>
        <v>0</v>
      </c>
      <c r="G12" s="1593">
        <f>IFERROR(F12/E12,0)</f>
        <v>0</v>
      </c>
      <c r="H12" s="40"/>
      <c r="I12" s="672">
        <f t="shared" si="0"/>
        <v>0</v>
      </c>
      <c r="J12" s="673"/>
      <c r="K12" s="621"/>
      <c r="L12" s="621"/>
      <c r="M12" s="621"/>
      <c r="N12" s="621"/>
      <c r="O12" s="621"/>
      <c r="P12" s="621"/>
      <c r="Q12" s="621"/>
      <c r="R12" s="621"/>
      <c r="S12" s="621"/>
      <c r="T12" s="621"/>
      <c r="U12" s="674"/>
    </row>
    <row r="13" spans="1:21" ht="14.5">
      <c r="A13" s="622">
        <v>8</v>
      </c>
      <c r="B13" s="623" t="s">
        <v>612</v>
      </c>
      <c r="C13" s="1588"/>
      <c r="D13" s="1591"/>
      <c r="E13" s="1576"/>
      <c r="F13" s="1573"/>
      <c r="G13" s="1594"/>
      <c r="H13" s="40"/>
      <c r="I13" s="675">
        <f t="shared" si="0"/>
        <v>0</v>
      </c>
      <c r="J13" s="676"/>
      <c r="K13" s="626"/>
      <c r="L13" s="626"/>
      <c r="M13" s="626"/>
      <c r="N13" s="626"/>
      <c r="O13" s="626"/>
      <c r="P13" s="626"/>
      <c r="Q13" s="626"/>
      <c r="R13" s="626"/>
      <c r="S13" s="626"/>
      <c r="T13" s="626"/>
      <c r="U13" s="677"/>
    </row>
    <row r="14" spans="1:21" ht="14.5">
      <c r="A14" s="622">
        <v>9</v>
      </c>
      <c r="B14" s="623" t="s">
        <v>613</v>
      </c>
      <c r="C14" s="1588"/>
      <c r="D14" s="1591"/>
      <c r="E14" s="1576"/>
      <c r="F14" s="1573"/>
      <c r="G14" s="1594"/>
      <c r="H14" s="40"/>
      <c r="I14" s="675">
        <f t="shared" si="0"/>
        <v>0</v>
      </c>
      <c r="J14" s="676"/>
      <c r="K14" s="626"/>
      <c r="L14" s="626"/>
      <c r="M14" s="626"/>
      <c r="N14" s="626"/>
      <c r="O14" s="626"/>
      <c r="P14" s="626"/>
      <c r="Q14" s="626"/>
      <c r="R14" s="626"/>
      <c r="S14" s="626"/>
      <c r="T14" s="626"/>
      <c r="U14" s="677"/>
    </row>
    <row r="15" spans="1:21" ht="14.5">
      <c r="A15" s="622">
        <v>10</v>
      </c>
      <c r="B15" s="623" t="s">
        <v>614</v>
      </c>
      <c r="C15" s="1588"/>
      <c r="D15" s="1591"/>
      <c r="E15" s="1576"/>
      <c r="F15" s="1573"/>
      <c r="G15" s="1594"/>
      <c r="H15" s="40"/>
      <c r="I15" s="675">
        <f t="shared" si="0"/>
        <v>0</v>
      </c>
      <c r="J15" s="676"/>
      <c r="K15" s="626"/>
      <c r="L15" s="626"/>
      <c r="M15" s="626"/>
      <c r="N15" s="626"/>
      <c r="O15" s="626"/>
      <c r="P15" s="626"/>
      <c r="Q15" s="626"/>
      <c r="R15" s="626"/>
      <c r="S15" s="626"/>
      <c r="T15" s="626"/>
      <c r="U15" s="677"/>
    </row>
    <row r="16" spans="1:21" ht="14.5">
      <c r="A16" s="622">
        <v>11</v>
      </c>
      <c r="B16" s="623" t="s">
        <v>615</v>
      </c>
      <c r="C16" s="1588"/>
      <c r="D16" s="1591"/>
      <c r="E16" s="1576"/>
      <c r="F16" s="1573"/>
      <c r="G16" s="1594"/>
      <c r="H16" s="40"/>
      <c r="I16" s="675">
        <f t="shared" si="0"/>
        <v>0</v>
      </c>
      <c r="J16" s="676"/>
      <c r="K16" s="626"/>
      <c r="L16" s="626"/>
      <c r="M16" s="626"/>
      <c r="N16" s="626"/>
      <c r="O16" s="626"/>
      <c r="P16" s="626"/>
      <c r="Q16" s="626"/>
      <c r="R16" s="626"/>
      <c r="S16" s="626"/>
      <c r="T16" s="626"/>
      <c r="U16" s="677"/>
    </row>
    <row r="17" spans="1:21" ht="15" thickBot="1">
      <c r="A17" s="627">
        <v>12</v>
      </c>
      <c r="B17" s="628" t="s">
        <v>616</v>
      </c>
      <c r="C17" s="1589"/>
      <c r="D17" s="1592"/>
      <c r="E17" s="1577"/>
      <c r="F17" s="1574"/>
      <c r="G17" s="1595"/>
      <c r="H17" s="40"/>
      <c r="I17" s="678">
        <f t="shared" si="0"/>
        <v>0</v>
      </c>
      <c r="J17" s="679"/>
      <c r="K17" s="630"/>
      <c r="L17" s="630"/>
      <c r="M17" s="630"/>
      <c r="N17" s="630"/>
      <c r="O17" s="630"/>
      <c r="P17" s="630"/>
      <c r="Q17" s="630"/>
      <c r="R17" s="630"/>
      <c r="S17" s="630"/>
      <c r="T17" s="630"/>
      <c r="U17" s="680"/>
    </row>
    <row r="18" spans="1:21" ht="30.65" customHeight="1" thickBot="1">
      <c r="A18" s="631">
        <v>13</v>
      </c>
      <c r="B18" s="632" t="s">
        <v>617</v>
      </c>
      <c r="C18" s="633" t="s">
        <v>618</v>
      </c>
      <c r="D18" s="633" t="s">
        <v>619</v>
      </c>
      <c r="E18" s="634">
        <v>500</v>
      </c>
      <c r="F18" s="695">
        <f>I18</f>
        <v>0</v>
      </c>
      <c r="G18" s="737">
        <f>IFERROR(F18/E18,0)</f>
        <v>0</v>
      </c>
      <c r="H18" s="40"/>
      <c r="I18" s="681">
        <f t="shared" si="0"/>
        <v>0</v>
      </c>
      <c r="J18" s="682"/>
      <c r="K18" s="683"/>
      <c r="L18" s="683"/>
      <c r="M18" s="683"/>
      <c r="N18" s="683"/>
      <c r="O18" s="683"/>
      <c r="P18" s="683"/>
      <c r="Q18" s="683"/>
      <c r="R18" s="683"/>
      <c r="S18" s="683"/>
      <c r="T18" s="683"/>
      <c r="U18" s="684"/>
    </row>
    <row r="19" spans="1:21" ht="14.5">
      <c r="A19" s="619">
        <v>14</v>
      </c>
      <c r="B19" s="620" t="s">
        <v>604</v>
      </c>
      <c r="C19" s="1587" t="s">
        <v>620</v>
      </c>
      <c r="D19" s="635" t="s">
        <v>621</v>
      </c>
      <c r="E19" s="1575">
        <v>1250</v>
      </c>
      <c r="F19" s="1572">
        <f>SUM(I19:I21)</f>
        <v>0</v>
      </c>
      <c r="G19" s="1596">
        <f>IFERROR(F19/E19,0)</f>
        <v>0</v>
      </c>
      <c r="H19" s="40"/>
      <c r="I19" s="672">
        <f t="shared" si="0"/>
        <v>0</v>
      </c>
      <c r="J19" s="673"/>
      <c r="K19" s="621"/>
      <c r="L19" s="621"/>
      <c r="M19" s="621"/>
      <c r="N19" s="621"/>
      <c r="O19" s="621"/>
      <c r="P19" s="621"/>
      <c r="Q19" s="621"/>
      <c r="R19" s="621"/>
      <c r="S19" s="621"/>
      <c r="T19" s="621"/>
      <c r="U19" s="674"/>
    </row>
    <row r="20" spans="1:21" ht="29">
      <c r="A20" s="622">
        <v>15</v>
      </c>
      <c r="B20" s="623" t="s">
        <v>622</v>
      </c>
      <c r="C20" s="1588"/>
      <c r="D20" s="624" t="s">
        <v>621</v>
      </c>
      <c r="E20" s="1576"/>
      <c r="F20" s="1573"/>
      <c r="G20" s="1597"/>
      <c r="H20" s="40"/>
      <c r="I20" s="675">
        <f t="shared" si="0"/>
        <v>0</v>
      </c>
      <c r="J20" s="676"/>
      <c r="K20" s="626"/>
      <c r="L20" s="626"/>
      <c r="M20" s="626"/>
      <c r="N20" s="626"/>
      <c r="O20" s="626"/>
      <c r="P20" s="626"/>
      <c r="Q20" s="626"/>
      <c r="R20" s="626"/>
      <c r="S20" s="626"/>
      <c r="T20" s="626"/>
      <c r="U20" s="677"/>
    </row>
    <row r="21" spans="1:21" ht="15" thickBot="1">
      <c r="A21" s="627">
        <v>16</v>
      </c>
      <c r="B21" s="628" t="s">
        <v>607</v>
      </c>
      <c r="C21" s="1589"/>
      <c r="D21" s="629" t="s">
        <v>621</v>
      </c>
      <c r="E21" s="1577"/>
      <c r="F21" s="1574"/>
      <c r="G21" s="1598"/>
      <c r="H21" s="40"/>
      <c r="I21" s="678">
        <f t="shared" si="0"/>
        <v>0</v>
      </c>
      <c r="J21" s="679"/>
      <c r="K21" s="630"/>
      <c r="L21" s="630"/>
      <c r="M21" s="630"/>
      <c r="N21" s="630"/>
      <c r="O21" s="630"/>
      <c r="P21" s="630"/>
      <c r="Q21" s="630"/>
      <c r="R21" s="630"/>
      <c r="S21" s="630"/>
      <c r="T21" s="630"/>
      <c r="U21" s="680"/>
    </row>
    <row r="22" spans="1:21" ht="21.9" customHeight="1" thickBot="1">
      <c r="A22" s="631">
        <v>17</v>
      </c>
      <c r="B22" s="636"/>
      <c r="C22" s="633" t="s">
        <v>623</v>
      </c>
      <c r="D22" s="633" t="s">
        <v>624</v>
      </c>
      <c r="E22" s="634">
        <v>750</v>
      </c>
      <c r="F22" s="695">
        <f>I22</f>
        <v>0</v>
      </c>
      <c r="G22" s="737">
        <f>IFERROR(F22/E22,0)</f>
        <v>0</v>
      </c>
      <c r="H22" s="40"/>
      <c r="I22" s="685">
        <f t="shared" si="0"/>
        <v>0</v>
      </c>
      <c r="J22" s="686"/>
      <c r="K22" s="687"/>
      <c r="L22" s="687"/>
      <c r="M22" s="687"/>
      <c r="N22" s="687"/>
      <c r="O22" s="687"/>
      <c r="P22" s="687"/>
      <c r="Q22" s="687"/>
      <c r="R22" s="687"/>
      <c r="S22" s="687"/>
      <c r="T22" s="687"/>
      <c r="U22" s="688"/>
    </row>
    <row r="23" spans="1:21" ht="14.5">
      <c r="A23" s="637">
        <v>18</v>
      </c>
      <c r="B23" s="620" t="s">
        <v>625</v>
      </c>
      <c r="C23" s="1587" t="s">
        <v>626</v>
      </c>
      <c r="D23" s="1587" t="s">
        <v>627</v>
      </c>
      <c r="E23" s="1575">
        <v>7250</v>
      </c>
      <c r="F23" s="1575">
        <f>SUM(I23:I28)</f>
        <v>0</v>
      </c>
      <c r="G23" s="1599">
        <f>IFERROR(F23/E23,0)</f>
        <v>0</v>
      </c>
      <c r="H23" s="40"/>
      <c r="I23" s="672">
        <f t="shared" si="0"/>
        <v>0</v>
      </c>
      <c r="J23" s="673"/>
      <c r="K23" s="621"/>
      <c r="L23" s="621"/>
      <c r="M23" s="621"/>
      <c r="N23" s="621"/>
      <c r="O23" s="621"/>
      <c r="P23" s="621"/>
      <c r="Q23" s="621"/>
      <c r="R23" s="621"/>
      <c r="S23" s="621"/>
      <c r="T23" s="621"/>
      <c r="U23" s="674"/>
    </row>
    <row r="24" spans="1:21" ht="14.5">
      <c r="A24" s="638">
        <v>19</v>
      </c>
      <c r="B24" s="623" t="s">
        <v>59</v>
      </c>
      <c r="C24" s="1588"/>
      <c r="D24" s="1588"/>
      <c r="E24" s="1576"/>
      <c r="F24" s="1576"/>
      <c r="G24" s="1600"/>
      <c r="H24" s="40"/>
      <c r="I24" s="675">
        <f t="shared" si="0"/>
        <v>0</v>
      </c>
      <c r="J24" s="676"/>
      <c r="K24" s="626"/>
      <c r="L24" s="626"/>
      <c r="M24" s="626"/>
      <c r="N24" s="626"/>
      <c r="O24" s="626"/>
      <c r="P24" s="626"/>
      <c r="Q24" s="626"/>
      <c r="R24" s="626"/>
      <c r="S24" s="626"/>
      <c r="T24" s="626"/>
      <c r="U24" s="677"/>
    </row>
    <row r="25" spans="1:21" ht="14.5">
      <c r="A25" s="638">
        <v>20</v>
      </c>
      <c r="B25" s="623" t="s">
        <v>628</v>
      </c>
      <c r="C25" s="1588"/>
      <c r="D25" s="1588"/>
      <c r="E25" s="1576"/>
      <c r="F25" s="1576"/>
      <c r="G25" s="1600"/>
      <c r="H25" s="40"/>
      <c r="I25" s="675">
        <f t="shared" si="0"/>
        <v>0</v>
      </c>
      <c r="J25" s="676"/>
      <c r="K25" s="626"/>
      <c r="L25" s="626"/>
      <c r="M25" s="626"/>
      <c r="N25" s="626"/>
      <c r="O25" s="626"/>
      <c r="P25" s="626"/>
      <c r="Q25" s="626"/>
      <c r="R25" s="626"/>
      <c r="S25" s="626"/>
      <c r="T25" s="626"/>
      <c r="U25" s="677"/>
    </row>
    <row r="26" spans="1:21" ht="14.5">
      <c r="A26" s="638">
        <v>21</v>
      </c>
      <c r="B26" s="623" t="s">
        <v>629</v>
      </c>
      <c r="C26" s="1588"/>
      <c r="D26" s="1588"/>
      <c r="E26" s="1576"/>
      <c r="F26" s="1576"/>
      <c r="G26" s="1600"/>
      <c r="H26" s="40"/>
      <c r="I26" s="675">
        <f t="shared" si="0"/>
        <v>0</v>
      </c>
      <c r="J26" s="676"/>
      <c r="K26" s="626"/>
      <c r="L26" s="626"/>
      <c r="M26" s="626"/>
      <c r="N26" s="626"/>
      <c r="O26" s="626"/>
      <c r="P26" s="626"/>
      <c r="Q26" s="626"/>
      <c r="R26" s="626"/>
      <c r="S26" s="626"/>
      <c r="T26" s="626"/>
      <c r="U26" s="677"/>
    </row>
    <row r="27" spans="1:21" ht="14.5">
      <c r="A27" s="638">
        <v>22</v>
      </c>
      <c r="B27" s="623" t="s">
        <v>630</v>
      </c>
      <c r="C27" s="1588"/>
      <c r="D27" s="1588"/>
      <c r="E27" s="1576"/>
      <c r="F27" s="1576"/>
      <c r="G27" s="1600"/>
      <c r="H27" s="40"/>
      <c r="I27" s="675">
        <f t="shared" si="0"/>
        <v>0</v>
      </c>
      <c r="J27" s="676"/>
      <c r="K27" s="626"/>
      <c r="L27" s="626"/>
      <c r="M27" s="626"/>
      <c r="N27" s="626"/>
      <c r="O27" s="626"/>
      <c r="P27" s="626"/>
      <c r="Q27" s="626"/>
      <c r="R27" s="626"/>
      <c r="S27" s="626"/>
      <c r="T27" s="626"/>
      <c r="U27" s="677"/>
    </row>
    <row r="28" spans="1:21" ht="15" thickBot="1">
      <c r="A28" s="639">
        <v>23</v>
      </c>
      <c r="B28" s="628" t="s">
        <v>631</v>
      </c>
      <c r="C28" s="1589"/>
      <c r="D28" s="1589"/>
      <c r="E28" s="1577"/>
      <c r="F28" s="1577"/>
      <c r="G28" s="1601"/>
      <c r="H28" s="40"/>
      <c r="I28" s="678">
        <f t="shared" si="0"/>
        <v>0</v>
      </c>
      <c r="J28" s="679"/>
      <c r="K28" s="630"/>
      <c r="L28" s="630"/>
      <c r="M28" s="630"/>
      <c r="N28" s="630"/>
      <c r="O28" s="630"/>
      <c r="P28" s="630"/>
      <c r="Q28" s="630"/>
      <c r="R28" s="630"/>
      <c r="S28" s="630"/>
      <c r="T28" s="630"/>
      <c r="U28" s="680"/>
    </row>
    <row r="29" spans="1:21" ht="14.5">
      <c r="A29" s="640">
        <v>24</v>
      </c>
      <c r="B29" s="606" t="s">
        <v>632</v>
      </c>
      <c r="C29" s="1578" t="s">
        <v>633</v>
      </c>
      <c r="D29" s="1578" t="s">
        <v>33</v>
      </c>
      <c r="E29" s="1581">
        <v>5250</v>
      </c>
      <c r="F29" s="1581">
        <f>SUM(I29:I31)</f>
        <v>0</v>
      </c>
      <c r="G29" s="1602">
        <f>IFERROR(F29/E29,0)</f>
        <v>0</v>
      </c>
      <c r="H29" s="40"/>
      <c r="I29" s="661">
        <f t="shared" si="0"/>
        <v>0</v>
      </c>
      <c r="J29" s="662"/>
      <c r="K29" s="663"/>
      <c r="L29" s="663"/>
      <c r="M29" s="663"/>
      <c r="N29" s="663"/>
      <c r="O29" s="663"/>
      <c r="P29" s="663"/>
      <c r="Q29" s="663"/>
      <c r="R29" s="663"/>
      <c r="S29" s="663"/>
      <c r="T29" s="663"/>
      <c r="U29" s="664"/>
    </row>
    <row r="30" spans="1:21" ht="14.5">
      <c r="A30" s="641">
        <v>25</v>
      </c>
      <c r="B30" s="611" t="s">
        <v>634</v>
      </c>
      <c r="C30" s="1579"/>
      <c r="D30" s="1579"/>
      <c r="E30" s="1582"/>
      <c r="F30" s="1582"/>
      <c r="G30" s="1603"/>
      <c r="H30" s="40"/>
      <c r="I30" s="665">
        <f t="shared" si="0"/>
        <v>0</v>
      </c>
      <c r="J30" s="666"/>
      <c r="K30" s="613"/>
      <c r="L30" s="613"/>
      <c r="M30" s="613"/>
      <c r="N30" s="613"/>
      <c r="O30" s="613"/>
      <c r="P30" s="613"/>
      <c r="Q30" s="613"/>
      <c r="R30" s="613"/>
      <c r="S30" s="613"/>
      <c r="T30" s="613"/>
      <c r="U30" s="667"/>
    </row>
    <row r="31" spans="1:21" ht="15" thickBot="1">
      <c r="A31" s="642">
        <v>26</v>
      </c>
      <c r="B31" s="615" t="s">
        <v>635</v>
      </c>
      <c r="C31" s="1580"/>
      <c r="D31" s="1580"/>
      <c r="E31" s="1583"/>
      <c r="F31" s="1583"/>
      <c r="G31" s="1604"/>
      <c r="H31" s="40"/>
      <c r="I31" s="668">
        <f t="shared" si="0"/>
        <v>0</v>
      </c>
      <c r="J31" s="669"/>
      <c r="K31" s="670"/>
      <c r="L31" s="670"/>
      <c r="M31" s="670"/>
      <c r="N31" s="670"/>
      <c r="O31" s="670"/>
      <c r="P31" s="670"/>
      <c r="Q31" s="670"/>
      <c r="R31" s="670"/>
      <c r="S31" s="670"/>
      <c r="T31" s="670"/>
      <c r="U31" s="671"/>
    </row>
    <row r="32" spans="1:21" ht="21.9" customHeight="1" thickBot="1">
      <c r="A32" s="643">
        <v>27</v>
      </c>
      <c r="B32" s="644" t="s">
        <v>59</v>
      </c>
      <c r="C32" s="645" t="s">
        <v>636</v>
      </c>
      <c r="D32" s="645" t="s">
        <v>37</v>
      </c>
      <c r="E32" s="646">
        <v>7250</v>
      </c>
      <c r="F32" s="647">
        <f>I32</f>
        <v>0</v>
      </c>
      <c r="G32" s="738">
        <f>IFERROR(F32/E32,0)</f>
        <v>0</v>
      </c>
      <c r="H32" s="40"/>
      <c r="I32" s="689">
        <f t="shared" si="0"/>
        <v>0</v>
      </c>
      <c r="J32" s="690"/>
      <c r="K32" s="647"/>
      <c r="L32" s="647"/>
      <c r="M32" s="647"/>
      <c r="N32" s="647"/>
      <c r="O32" s="647"/>
      <c r="P32" s="647"/>
      <c r="Q32" s="647"/>
      <c r="R32" s="647"/>
      <c r="S32" s="647"/>
      <c r="T32" s="647"/>
      <c r="U32" s="691"/>
    </row>
    <row r="33" spans="1:21" ht="14.5">
      <c r="A33" s="640">
        <v>28</v>
      </c>
      <c r="B33" s="606" t="s">
        <v>637</v>
      </c>
      <c r="C33" s="1578" t="s">
        <v>331</v>
      </c>
      <c r="D33" s="1578" t="s">
        <v>330</v>
      </c>
      <c r="E33" s="1581">
        <v>4500</v>
      </c>
      <c r="F33" s="1569">
        <f>SUM(I33:I36)</f>
        <v>0</v>
      </c>
      <c r="G33" s="1602">
        <f>IFERROR(F33/E33,0)</f>
        <v>0</v>
      </c>
      <c r="H33" s="40"/>
      <c r="I33" s="661">
        <f t="shared" si="0"/>
        <v>0</v>
      </c>
      <c r="J33" s="662"/>
      <c r="K33" s="663"/>
      <c r="L33" s="663"/>
      <c r="M33" s="663"/>
      <c r="N33" s="663"/>
      <c r="O33" s="663"/>
      <c r="P33" s="663"/>
      <c r="Q33" s="663"/>
      <c r="R33" s="663"/>
      <c r="S33" s="663"/>
      <c r="T33" s="663"/>
      <c r="U33" s="664"/>
    </row>
    <row r="34" spans="1:21" ht="14.5">
      <c r="A34" s="641">
        <v>29</v>
      </c>
      <c r="B34" s="611" t="s">
        <v>638</v>
      </c>
      <c r="C34" s="1579"/>
      <c r="D34" s="1579"/>
      <c r="E34" s="1582"/>
      <c r="F34" s="1570"/>
      <c r="G34" s="1603"/>
      <c r="H34" s="40"/>
      <c r="I34" s="665">
        <f t="shared" si="0"/>
        <v>0</v>
      </c>
      <c r="J34" s="666"/>
      <c r="K34" s="613"/>
      <c r="L34" s="613"/>
      <c r="M34" s="613"/>
      <c r="N34" s="613"/>
      <c r="O34" s="613"/>
      <c r="P34" s="613"/>
      <c r="Q34" s="613"/>
      <c r="R34" s="613"/>
      <c r="S34" s="613"/>
      <c r="T34" s="613"/>
      <c r="U34" s="667"/>
    </row>
    <row r="35" spans="1:21" ht="14.5">
      <c r="A35" s="641">
        <v>30</v>
      </c>
      <c r="B35" s="611" t="s">
        <v>639</v>
      </c>
      <c r="C35" s="1579"/>
      <c r="D35" s="1579"/>
      <c r="E35" s="1582"/>
      <c r="F35" s="1570"/>
      <c r="G35" s="1603"/>
      <c r="H35" s="40"/>
      <c r="I35" s="665">
        <f t="shared" si="0"/>
        <v>0</v>
      </c>
      <c r="J35" s="666"/>
      <c r="K35" s="613"/>
      <c r="L35" s="613"/>
      <c r="M35" s="613"/>
      <c r="N35" s="613"/>
      <c r="O35" s="613"/>
      <c r="P35" s="613"/>
      <c r="Q35" s="613"/>
      <c r="R35" s="613"/>
      <c r="S35" s="613"/>
      <c r="T35" s="613"/>
      <c r="U35" s="667"/>
    </row>
    <row r="36" spans="1:21" ht="14.5">
      <c r="A36" s="696">
        <v>31</v>
      </c>
      <c r="B36" s="697" t="s">
        <v>640</v>
      </c>
      <c r="C36" s="1579"/>
      <c r="D36" s="1605"/>
      <c r="E36" s="1606"/>
      <c r="F36" s="1570"/>
      <c r="G36" s="1607"/>
      <c r="H36" s="40"/>
      <c r="I36" s="668">
        <f t="shared" si="0"/>
        <v>0</v>
      </c>
      <c r="J36" s="669"/>
      <c r="K36" s="670"/>
      <c r="L36" s="670"/>
      <c r="M36" s="670"/>
      <c r="N36" s="670"/>
      <c r="O36" s="670"/>
      <c r="P36" s="670"/>
      <c r="Q36" s="670"/>
      <c r="R36" s="670"/>
      <c r="S36" s="670"/>
      <c r="T36" s="670"/>
      <c r="U36" s="671"/>
    </row>
    <row r="37" spans="1:21" ht="29">
      <c r="A37" s="698">
        <v>32</v>
      </c>
      <c r="B37" s="699" t="s">
        <v>641</v>
      </c>
      <c r="C37" s="1579"/>
      <c r="D37" s="1608" t="s">
        <v>642</v>
      </c>
      <c r="E37" s="1609">
        <v>2750</v>
      </c>
      <c r="F37" s="1611">
        <f>SUM(I37:I39)</f>
        <v>0</v>
      </c>
      <c r="G37" s="1610">
        <f>IFERROR(F37/E37,0)</f>
        <v>0</v>
      </c>
      <c r="H37" s="40"/>
      <c r="I37" s="701">
        <f t="shared" si="0"/>
        <v>0</v>
      </c>
      <c r="J37" s="702"/>
      <c r="K37" s="700"/>
      <c r="L37" s="700"/>
      <c r="M37" s="700"/>
      <c r="N37" s="700"/>
      <c r="O37" s="700"/>
      <c r="P37" s="700"/>
      <c r="Q37" s="700"/>
      <c r="R37" s="700"/>
      <c r="S37" s="700"/>
      <c r="T37" s="700"/>
      <c r="U37" s="703"/>
    </row>
    <row r="38" spans="1:21" ht="14.5">
      <c r="A38" s="641">
        <v>33</v>
      </c>
      <c r="B38" s="611" t="s">
        <v>643</v>
      </c>
      <c r="C38" s="1579"/>
      <c r="D38" s="1579"/>
      <c r="E38" s="1582"/>
      <c r="F38" s="1570"/>
      <c r="G38" s="1603"/>
      <c r="H38" s="40"/>
      <c r="I38" s="665">
        <f t="shared" si="0"/>
        <v>0</v>
      </c>
      <c r="J38" s="666"/>
      <c r="K38" s="613"/>
      <c r="L38" s="613"/>
      <c r="M38" s="613"/>
      <c r="N38" s="613"/>
      <c r="O38" s="613"/>
      <c r="P38" s="613"/>
      <c r="Q38" s="613"/>
      <c r="R38" s="613"/>
      <c r="S38" s="613"/>
      <c r="T38" s="613"/>
      <c r="U38" s="667"/>
    </row>
    <row r="39" spans="1:21" ht="15" thickBot="1">
      <c r="A39" s="642">
        <v>34</v>
      </c>
      <c r="B39" s="615" t="s">
        <v>644</v>
      </c>
      <c r="C39" s="1580"/>
      <c r="D39" s="1580"/>
      <c r="E39" s="1583"/>
      <c r="F39" s="1571"/>
      <c r="G39" s="1604"/>
      <c r="H39" s="40"/>
      <c r="I39" s="704">
        <f t="shared" si="0"/>
        <v>0</v>
      </c>
      <c r="J39" s="705"/>
      <c r="K39" s="618"/>
      <c r="L39" s="618"/>
      <c r="M39" s="618"/>
      <c r="N39" s="618"/>
      <c r="O39" s="618"/>
      <c r="P39" s="618"/>
      <c r="Q39" s="618"/>
      <c r="R39" s="618"/>
      <c r="S39" s="618"/>
      <c r="T39" s="618"/>
      <c r="U39" s="706"/>
    </row>
    <row r="40" spans="1:21" ht="43.5">
      <c r="A40" s="637">
        <v>35</v>
      </c>
      <c r="B40" s="620" t="s">
        <v>645</v>
      </c>
      <c r="C40" s="1587" t="s">
        <v>646</v>
      </c>
      <c r="D40" s="1587" t="s">
        <v>647</v>
      </c>
      <c r="E40" s="1575">
        <v>4250</v>
      </c>
      <c r="F40" s="1575">
        <f>SUM(I40:I48)</f>
        <v>0</v>
      </c>
      <c r="G40" s="1599">
        <f>IFERROR(F40/E40,0)</f>
        <v>0</v>
      </c>
      <c r="H40" s="40"/>
      <c r="I40" s="672">
        <f t="shared" si="0"/>
        <v>0</v>
      </c>
      <c r="J40" s="673"/>
      <c r="K40" s="621"/>
      <c r="L40" s="621"/>
      <c r="M40" s="621"/>
      <c r="N40" s="621"/>
      <c r="O40" s="621"/>
      <c r="P40" s="621"/>
      <c r="Q40" s="621"/>
      <c r="R40" s="621"/>
      <c r="S40" s="621"/>
      <c r="T40" s="621"/>
      <c r="U40" s="674"/>
    </row>
    <row r="41" spans="1:21" ht="14.5">
      <c r="A41" s="638">
        <v>36</v>
      </c>
      <c r="B41" s="623" t="s">
        <v>648</v>
      </c>
      <c r="C41" s="1588"/>
      <c r="D41" s="1588"/>
      <c r="E41" s="1576"/>
      <c r="F41" s="1576"/>
      <c r="G41" s="1600"/>
      <c r="H41" s="40"/>
      <c r="I41" s="675">
        <f t="shared" si="0"/>
        <v>0</v>
      </c>
      <c r="J41" s="676"/>
      <c r="K41" s="626"/>
      <c r="L41" s="626"/>
      <c r="M41" s="626"/>
      <c r="N41" s="626"/>
      <c r="O41" s="626"/>
      <c r="P41" s="626"/>
      <c r="Q41" s="626"/>
      <c r="R41" s="626"/>
      <c r="S41" s="626"/>
      <c r="T41" s="626"/>
      <c r="U41" s="677"/>
    </row>
    <row r="42" spans="1:21" ht="29">
      <c r="A42" s="638">
        <v>37</v>
      </c>
      <c r="B42" s="623" t="s">
        <v>649</v>
      </c>
      <c r="C42" s="1588"/>
      <c r="D42" s="1588"/>
      <c r="E42" s="1576"/>
      <c r="F42" s="1576"/>
      <c r="G42" s="1600"/>
      <c r="H42" s="40"/>
      <c r="I42" s="675">
        <f t="shared" si="0"/>
        <v>0</v>
      </c>
      <c r="J42" s="676"/>
      <c r="K42" s="626"/>
      <c r="L42" s="626"/>
      <c r="M42" s="626"/>
      <c r="N42" s="626"/>
      <c r="O42" s="626"/>
      <c r="P42" s="626"/>
      <c r="Q42" s="626"/>
      <c r="R42" s="626"/>
      <c r="S42" s="626"/>
      <c r="T42" s="626"/>
      <c r="U42" s="677"/>
    </row>
    <row r="43" spans="1:21" ht="29">
      <c r="A43" s="638">
        <v>38</v>
      </c>
      <c r="B43" s="623" t="s">
        <v>650</v>
      </c>
      <c r="C43" s="1588"/>
      <c r="D43" s="1588"/>
      <c r="E43" s="1576"/>
      <c r="F43" s="1576"/>
      <c r="G43" s="1600"/>
      <c r="H43" s="40"/>
      <c r="I43" s="675">
        <f t="shared" si="0"/>
        <v>0</v>
      </c>
      <c r="J43" s="676"/>
      <c r="K43" s="626"/>
      <c r="L43" s="626"/>
      <c r="M43" s="626"/>
      <c r="N43" s="626"/>
      <c r="O43" s="626"/>
      <c r="P43" s="626"/>
      <c r="Q43" s="626"/>
      <c r="R43" s="626"/>
      <c r="S43" s="626"/>
      <c r="T43" s="626"/>
      <c r="U43" s="677"/>
    </row>
    <row r="44" spans="1:21" ht="29">
      <c r="A44" s="638">
        <v>39</v>
      </c>
      <c r="B44" s="623" t="s">
        <v>651</v>
      </c>
      <c r="C44" s="1588"/>
      <c r="D44" s="1588"/>
      <c r="E44" s="1576"/>
      <c r="F44" s="1576"/>
      <c r="G44" s="1600"/>
      <c r="H44" s="40"/>
      <c r="I44" s="675">
        <f t="shared" si="0"/>
        <v>0</v>
      </c>
      <c r="J44" s="676"/>
      <c r="K44" s="626"/>
      <c r="L44" s="626"/>
      <c r="M44" s="626"/>
      <c r="N44" s="626"/>
      <c r="O44" s="626"/>
      <c r="P44" s="626"/>
      <c r="Q44" s="626"/>
      <c r="R44" s="626"/>
      <c r="S44" s="626"/>
      <c r="T44" s="626"/>
      <c r="U44" s="677"/>
    </row>
    <row r="45" spans="1:21" ht="29">
      <c r="A45" s="638">
        <v>40</v>
      </c>
      <c r="B45" s="623" t="s">
        <v>652</v>
      </c>
      <c r="C45" s="1588"/>
      <c r="D45" s="1588"/>
      <c r="E45" s="1576"/>
      <c r="F45" s="1576"/>
      <c r="G45" s="1600"/>
      <c r="H45" s="40"/>
      <c r="I45" s="675">
        <f t="shared" si="0"/>
        <v>0</v>
      </c>
      <c r="J45" s="676"/>
      <c r="K45" s="626"/>
      <c r="L45" s="626"/>
      <c r="M45" s="626"/>
      <c r="N45" s="626"/>
      <c r="O45" s="626"/>
      <c r="P45" s="626"/>
      <c r="Q45" s="626"/>
      <c r="R45" s="626"/>
      <c r="S45" s="626"/>
      <c r="T45" s="626"/>
      <c r="U45" s="677"/>
    </row>
    <row r="46" spans="1:21" ht="14.5">
      <c r="A46" s="638">
        <v>41</v>
      </c>
      <c r="B46" s="623" t="s">
        <v>653</v>
      </c>
      <c r="C46" s="1588"/>
      <c r="D46" s="1588"/>
      <c r="E46" s="1576"/>
      <c r="F46" s="1576"/>
      <c r="G46" s="1600"/>
      <c r="H46" s="40"/>
      <c r="I46" s="675">
        <f t="shared" si="0"/>
        <v>0</v>
      </c>
      <c r="J46" s="676"/>
      <c r="K46" s="626"/>
      <c r="L46" s="626"/>
      <c r="M46" s="626"/>
      <c r="N46" s="626"/>
      <c r="O46" s="626"/>
      <c r="P46" s="626"/>
      <c r="Q46" s="626"/>
      <c r="R46" s="626"/>
      <c r="S46" s="626"/>
      <c r="T46" s="626"/>
      <c r="U46" s="677"/>
    </row>
    <row r="47" spans="1:21" ht="14.5">
      <c r="A47" s="638">
        <v>42</v>
      </c>
      <c r="B47" s="623" t="s">
        <v>654</v>
      </c>
      <c r="C47" s="1588"/>
      <c r="D47" s="1588"/>
      <c r="E47" s="1576"/>
      <c r="F47" s="1576"/>
      <c r="G47" s="1600"/>
      <c r="H47" s="40"/>
      <c r="I47" s="675">
        <f t="shared" si="0"/>
        <v>0</v>
      </c>
      <c r="J47" s="676"/>
      <c r="K47" s="626"/>
      <c r="L47" s="626"/>
      <c r="M47" s="626"/>
      <c r="N47" s="626"/>
      <c r="O47" s="626"/>
      <c r="P47" s="626"/>
      <c r="Q47" s="626"/>
      <c r="R47" s="626"/>
      <c r="S47" s="626"/>
      <c r="T47" s="626"/>
      <c r="U47" s="677"/>
    </row>
    <row r="48" spans="1:21" ht="15" thickBot="1">
      <c r="A48" s="639">
        <v>43</v>
      </c>
      <c r="B48" s="628" t="s">
        <v>655</v>
      </c>
      <c r="C48" s="1589"/>
      <c r="D48" s="1589"/>
      <c r="E48" s="1577"/>
      <c r="F48" s="1577"/>
      <c r="G48" s="1601"/>
      <c r="H48" s="40"/>
      <c r="I48" s="678">
        <f t="shared" si="0"/>
        <v>0</v>
      </c>
      <c r="J48" s="679"/>
      <c r="K48" s="630"/>
      <c r="L48" s="630"/>
      <c r="M48" s="630"/>
      <c r="N48" s="630"/>
      <c r="O48" s="630"/>
      <c r="P48" s="630"/>
      <c r="Q48" s="630"/>
      <c r="R48" s="630"/>
      <c r="S48" s="630"/>
      <c r="T48" s="630"/>
      <c r="U48" s="680"/>
    </row>
    <row r="49" spans="1:21" ht="21.9" customHeight="1">
      <c r="A49" s="640">
        <v>44</v>
      </c>
      <c r="B49" s="606" t="s">
        <v>656</v>
      </c>
      <c r="C49" s="607" t="s">
        <v>354</v>
      </c>
      <c r="D49" s="607" t="s">
        <v>657</v>
      </c>
      <c r="E49" s="608">
        <v>1000</v>
      </c>
      <c r="F49" s="609">
        <f>I49</f>
        <v>0</v>
      </c>
      <c r="G49" s="735">
        <f t="shared" ref="G49:G56" si="1">IFERROR(F49/E49,0)</f>
        <v>0</v>
      </c>
      <c r="H49" s="40"/>
      <c r="I49" s="661">
        <f t="shared" si="0"/>
        <v>0</v>
      </c>
      <c r="J49" s="662"/>
      <c r="K49" s="663"/>
      <c r="L49" s="663"/>
      <c r="M49" s="663"/>
      <c r="N49" s="663"/>
      <c r="O49" s="663"/>
      <c r="P49" s="663"/>
      <c r="Q49" s="663"/>
      <c r="R49" s="663"/>
      <c r="S49" s="663"/>
      <c r="T49" s="663"/>
      <c r="U49" s="664"/>
    </row>
    <row r="50" spans="1:21" ht="34.4" customHeight="1" thickBot="1">
      <c r="A50" s="642">
        <v>45</v>
      </c>
      <c r="B50" s="615" t="s">
        <v>658</v>
      </c>
      <c r="C50" s="616" t="s">
        <v>354</v>
      </c>
      <c r="D50" s="616" t="s">
        <v>578</v>
      </c>
      <c r="E50" s="617">
        <v>3750</v>
      </c>
      <c r="F50" s="618">
        <f>I50</f>
        <v>0</v>
      </c>
      <c r="G50" s="736">
        <f t="shared" si="1"/>
        <v>0</v>
      </c>
      <c r="H50" s="40"/>
      <c r="I50" s="668">
        <f t="shared" si="0"/>
        <v>0</v>
      </c>
      <c r="J50" s="669"/>
      <c r="K50" s="670"/>
      <c r="L50" s="670"/>
      <c r="M50" s="670"/>
      <c r="N50" s="670"/>
      <c r="O50" s="670"/>
      <c r="P50" s="670"/>
      <c r="Q50" s="670"/>
      <c r="R50" s="670"/>
      <c r="S50" s="670"/>
      <c r="T50" s="670"/>
      <c r="U50" s="671"/>
    </row>
    <row r="51" spans="1:21" ht="14.5">
      <c r="A51" s="713">
        <v>46</v>
      </c>
      <c r="B51" s="714" t="s">
        <v>659</v>
      </c>
      <c r="C51" s="1587" t="s">
        <v>660</v>
      </c>
      <c r="D51" s="707" t="s">
        <v>661</v>
      </c>
      <c r="E51" s="708">
        <v>1000</v>
      </c>
      <c r="F51" s="692">
        <f>I51</f>
        <v>0</v>
      </c>
      <c r="G51" s="739">
        <f t="shared" si="1"/>
        <v>0</v>
      </c>
      <c r="H51" s="40"/>
      <c r="I51" s="721">
        <f t="shared" si="0"/>
        <v>0</v>
      </c>
      <c r="J51" s="722"/>
      <c r="K51" s="692"/>
      <c r="L51" s="692"/>
      <c r="M51" s="692"/>
      <c r="N51" s="692"/>
      <c r="O51" s="692"/>
      <c r="P51" s="692"/>
      <c r="Q51" s="692"/>
      <c r="R51" s="692"/>
      <c r="S51" s="692"/>
      <c r="T51" s="692"/>
      <c r="U51" s="723"/>
    </row>
    <row r="52" spans="1:21" ht="14.5">
      <c r="A52" s="717">
        <v>47</v>
      </c>
      <c r="B52" s="718" t="s">
        <v>662</v>
      </c>
      <c r="C52" s="1588"/>
      <c r="D52" s="1615" t="s">
        <v>663</v>
      </c>
      <c r="E52" s="711">
        <v>300</v>
      </c>
      <c r="F52" s="727">
        <f t="shared" ref="F52:F60" si="2">I52</f>
        <v>0</v>
      </c>
      <c r="G52" s="740">
        <f t="shared" si="1"/>
        <v>0</v>
      </c>
      <c r="H52" s="40"/>
      <c r="I52" s="729">
        <f t="shared" si="0"/>
        <v>0</v>
      </c>
      <c r="J52" s="730"/>
      <c r="K52" s="727"/>
      <c r="L52" s="727"/>
      <c r="M52" s="727"/>
      <c r="N52" s="727"/>
      <c r="O52" s="727"/>
      <c r="P52" s="727"/>
      <c r="Q52" s="727"/>
      <c r="R52" s="727"/>
      <c r="S52" s="727"/>
      <c r="T52" s="727"/>
      <c r="U52" s="731"/>
    </row>
    <row r="53" spans="1:21" ht="14.5">
      <c r="A53" s="638">
        <v>48</v>
      </c>
      <c r="B53" s="623" t="s">
        <v>664</v>
      </c>
      <c r="C53" s="1588"/>
      <c r="D53" s="1588"/>
      <c r="E53" s="625">
        <v>300</v>
      </c>
      <c r="F53" s="626">
        <f t="shared" si="2"/>
        <v>0</v>
      </c>
      <c r="G53" s="741">
        <f t="shared" si="1"/>
        <v>0</v>
      </c>
      <c r="H53" s="40"/>
      <c r="I53" s="675">
        <f t="shared" si="0"/>
        <v>0</v>
      </c>
      <c r="J53" s="676"/>
      <c r="K53" s="626"/>
      <c r="L53" s="626"/>
      <c r="M53" s="626"/>
      <c r="N53" s="626"/>
      <c r="O53" s="626"/>
      <c r="P53" s="626"/>
      <c r="Q53" s="626"/>
      <c r="R53" s="626"/>
      <c r="S53" s="626"/>
      <c r="T53" s="626"/>
      <c r="U53" s="677"/>
    </row>
    <row r="54" spans="1:21" ht="14.5">
      <c r="A54" s="638">
        <v>49</v>
      </c>
      <c r="B54" s="623" t="s">
        <v>665</v>
      </c>
      <c r="C54" s="1588"/>
      <c r="D54" s="1588"/>
      <c r="E54" s="625">
        <v>100</v>
      </c>
      <c r="F54" s="626">
        <f t="shared" si="2"/>
        <v>0</v>
      </c>
      <c r="G54" s="741">
        <f t="shared" si="1"/>
        <v>0</v>
      </c>
      <c r="H54" s="40"/>
      <c r="I54" s="675">
        <f t="shared" si="0"/>
        <v>0</v>
      </c>
      <c r="J54" s="676"/>
      <c r="K54" s="626"/>
      <c r="L54" s="626"/>
      <c r="M54" s="626"/>
      <c r="N54" s="626"/>
      <c r="O54" s="626"/>
      <c r="P54" s="626"/>
      <c r="Q54" s="626"/>
      <c r="R54" s="626"/>
      <c r="S54" s="626"/>
      <c r="T54" s="626"/>
      <c r="U54" s="677"/>
    </row>
    <row r="55" spans="1:21" ht="14.5">
      <c r="A55" s="719">
        <v>50</v>
      </c>
      <c r="B55" s="720" t="s">
        <v>666</v>
      </c>
      <c r="C55" s="1588"/>
      <c r="D55" s="1616"/>
      <c r="E55" s="712">
        <v>300</v>
      </c>
      <c r="F55" s="728">
        <f t="shared" si="2"/>
        <v>0</v>
      </c>
      <c r="G55" s="742">
        <f t="shared" si="1"/>
        <v>0</v>
      </c>
      <c r="H55" s="40"/>
      <c r="I55" s="732">
        <f t="shared" si="0"/>
        <v>0</v>
      </c>
      <c r="J55" s="733"/>
      <c r="K55" s="728"/>
      <c r="L55" s="728"/>
      <c r="M55" s="728"/>
      <c r="N55" s="728"/>
      <c r="O55" s="728"/>
      <c r="P55" s="728"/>
      <c r="Q55" s="728"/>
      <c r="R55" s="728"/>
      <c r="S55" s="728"/>
      <c r="T55" s="728"/>
      <c r="U55" s="734"/>
    </row>
    <row r="56" spans="1:21" ht="15" thickBot="1">
      <c r="A56" s="715">
        <v>51</v>
      </c>
      <c r="B56" s="716" t="s">
        <v>667</v>
      </c>
      <c r="C56" s="1589"/>
      <c r="D56" s="709" t="s">
        <v>668</v>
      </c>
      <c r="E56" s="710">
        <v>2250</v>
      </c>
      <c r="F56" s="694">
        <f t="shared" si="2"/>
        <v>0</v>
      </c>
      <c r="G56" s="743">
        <f t="shared" si="1"/>
        <v>0</v>
      </c>
      <c r="H56" s="40"/>
      <c r="I56" s="724">
        <f t="shared" si="0"/>
        <v>0</v>
      </c>
      <c r="J56" s="725"/>
      <c r="K56" s="694"/>
      <c r="L56" s="694"/>
      <c r="M56" s="694"/>
      <c r="N56" s="694"/>
      <c r="O56" s="694"/>
      <c r="P56" s="694"/>
      <c r="Q56" s="694"/>
      <c r="R56" s="694"/>
      <c r="S56" s="694"/>
      <c r="T56" s="694"/>
      <c r="U56" s="726"/>
    </row>
    <row r="57" spans="1:21" ht="14.5">
      <c r="A57" s="640">
        <v>52</v>
      </c>
      <c r="B57" s="606" t="s">
        <v>669</v>
      </c>
      <c r="C57" s="1578" t="s">
        <v>670</v>
      </c>
      <c r="D57" s="607" t="s">
        <v>671</v>
      </c>
      <c r="E57" s="1581">
        <v>1000</v>
      </c>
      <c r="F57" s="1581">
        <f>SUM(I57:I59)</f>
        <v>0</v>
      </c>
      <c r="G57" s="1612">
        <f>IFERROR(F57/E57,0)</f>
        <v>0</v>
      </c>
      <c r="H57" s="40"/>
      <c r="I57" s="661">
        <f t="shared" si="0"/>
        <v>0</v>
      </c>
      <c r="J57" s="662"/>
      <c r="K57" s="663"/>
      <c r="L57" s="663"/>
      <c r="M57" s="663"/>
      <c r="N57" s="663"/>
      <c r="O57" s="663"/>
      <c r="P57" s="663"/>
      <c r="Q57" s="663"/>
      <c r="R57" s="663"/>
      <c r="S57" s="663"/>
      <c r="T57" s="663"/>
      <c r="U57" s="664"/>
    </row>
    <row r="58" spans="1:21" ht="14.5">
      <c r="A58" s="641">
        <v>53</v>
      </c>
      <c r="B58" s="611" t="s">
        <v>672</v>
      </c>
      <c r="C58" s="1579"/>
      <c r="D58" s="612" t="s">
        <v>673</v>
      </c>
      <c r="E58" s="1582"/>
      <c r="F58" s="1582"/>
      <c r="G58" s="1613"/>
      <c r="H58" s="40"/>
      <c r="I58" s="665">
        <f t="shared" si="0"/>
        <v>0</v>
      </c>
      <c r="J58" s="666"/>
      <c r="K58" s="613"/>
      <c r="L58" s="613"/>
      <c r="M58" s="613"/>
      <c r="N58" s="613"/>
      <c r="O58" s="613"/>
      <c r="P58" s="613"/>
      <c r="Q58" s="613"/>
      <c r="R58" s="613"/>
      <c r="S58" s="613"/>
      <c r="T58" s="613"/>
      <c r="U58" s="667"/>
    </row>
    <row r="59" spans="1:21" ht="15" thickBot="1">
      <c r="A59" s="642">
        <v>54</v>
      </c>
      <c r="B59" s="615" t="s">
        <v>674</v>
      </c>
      <c r="C59" s="1580"/>
      <c r="D59" s="616" t="s">
        <v>673</v>
      </c>
      <c r="E59" s="1583"/>
      <c r="F59" s="1583"/>
      <c r="G59" s="1614"/>
      <c r="H59" s="40"/>
      <c r="I59" s="668">
        <f t="shared" si="0"/>
        <v>0</v>
      </c>
      <c r="J59" s="669"/>
      <c r="K59" s="670"/>
      <c r="L59" s="670"/>
      <c r="M59" s="670"/>
      <c r="N59" s="670"/>
      <c r="O59" s="670"/>
      <c r="P59" s="670"/>
      <c r="Q59" s="670"/>
      <c r="R59" s="670"/>
      <c r="S59" s="670"/>
      <c r="T59" s="670"/>
      <c r="U59" s="671"/>
    </row>
    <row r="60" spans="1:21" ht="21.9" customHeight="1" thickBot="1">
      <c r="A60" s="648">
        <v>55</v>
      </c>
      <c r="B60" s="649" t="s">
        <v>675</v>
      </c>
      <c r="C60" s="650" t="s">
        <v>676</v>
      </c>
      <c r="D60" s="650" t="s">
        <v>677</v>
      </c>
      <c r="E60" s="651">
        <v>750</v>
      </c>
      <c r="F60" s="693">
        <f t="shared" si="2"/>
        <v>0</v>
      </c>
      <c r="G60" s="744">
        <f t="shared" ref="G60" si="3">IFERROR(F60/E60,0)</f>
        <v>0</v>
      </c>
      <c r="H60" s="40"/>
      <c r="I60" s="689">
        <f t="shared" si="0"/>
        <v>0</v>
      </c>
      <c r="J60" s="690"/>
      <c r="K60" s="647"/>
      <c r="L60" s="647"/>
      <c r="M60" s="647"/>
      <c r="N60" s="647"/>
      <c r="O60" s="647"/>
      <c r="P60" s="647"/>
      <c r="Q60" s="647"/>
      <c r="R60" s="647"/>
      <c r="S60" s="647"/>
      <c r="T60" s="647"/>
      <c r="U60" s="691"/>
    </row>
    <row r="61" spans="1:21" s="599" customFormat="1" ht="21.9" customHeight="1" thickBot="1">
      <c r="A61" s="652"/>
      <c r="B61" s="653" t="s">
        <v>376</v>
      </c>
      <c r="C61" s="654"/>
      <c r="D61" s="654"/>
      <c r="E61" s="655">
        <f>SUM(E6:E60)</f>
        <v>50000</v>
      </c>
      <c r="F61" s="655">
        <f>SUM(F6:F60)</f>
        <v>0</v>
      </c>
      <c r="G61" s="745">
        <f>F61/E61</f>
        <v>0</v>
      </c>
      <c r="I61" s="657">
        <f>SUM(I6:I60)</f>
        <v>0</v>
      </c>
      <c r="J61" s="658">
        <f t="shared" ref="J61:U61" si="4">SUM(J6:J60)</f>
        <v>0</v>
      </c>
      <c r="K61" s="659">
        <f t="shared" si="4"/>
        <v>0</v>
      </c>
      <c r="L61" s="659">
        <f t="shared" si="4"/>
        <v>0</v>
      </c>
      <c r="M61" s="659">
        <f t="shared" si="4"/>
        <v>0</v>
      </c>
      <c r="N61" s="659">
        <f t="shared" si="4"/>
        <v>0</v>
      </c>
      <c r="O61" s="659">
        <f t="shared" si="4"/>
        <v>0</v>
      </c>
      <c r="P61" s="659">
        <f t="shared" si="4"/>
        <v>0</v>
      </c>
      <c r="Q61" s="659">
        <f t="shared" si="4"/>
        <v>0</v>
      </c>
      <c r="R61" s="659">
        <f t="shared" si="4"/>
        <v>0</v>
      </c>
      <c r="S61" s="659">
        <f t="shared" si="4"/>
        <v>0</v>
      </c>
      <c r="T61" s="659">
        <f t="shared" si="4"/>
        <v>0</v>
      </c>
      <c r="U61" s="660">
        <f t="shared" si="4"/>
        <v>0</v>
      </c>
    </row>
  </sheetData>
  <autoFilter ref="B5:G61" xr:uid="{E3FE7337-0CBF-4558-A036-A00FB2825147}"/>
  <mergeCells count="45">
    <mergeCell ref="C57:C59"/>
    <mergeCell ref="E57:E59"/>
    <mergeCell ref="G57:G59"/>
    <mergeCell ref="C40:C48"/>
    <mergeCell ref="D40:D48"/>
    <mergeCell ref="E40:E48"/>
    <mergeCell ref="G40:G48"/>
    <mergeCell ref="C51:C56"/>
    <mergeCell ref="D52:D55"/>
    <mergeCell ref="F40:F48"/>
    <mergeCell ref="F57:F59"/>
    <mergeCell ref="C29:C31"/>
    <mergeCell ref="D29:D31"/>
    <mergeCell ref="E29:E31"/>
    <mergeCell ref="G29:G31"/>
    <mergeCell ref="C33:C39"/>
    <mergeCell ref="D33:D36"/>
    <mergeCell ref="E33:E36"/>
    <mergeCell ref="G33:G36"/>
    <mergeCell ref="D37:D39"/>
    <mergeCell ref="E37:E39"/>
    <mergeCell ref="G37:G39"/>
    <mergeCell ref="F29:F31"/>
    <mergeCell ref="F33:F36"/>
    <mergeCell ref="F37:F39"/>
    <mergeCell ref="C19:C21"/>
    <mergeCell ref="E19:E21"/>
    <mergeCell ref="G19:G21"/>
    <mergeCell ref="C23:C28"/>
    <mergeCell ref="D23:D28"/>
    <mergeCell ref="E23:E28"/>
    <mergeCell ref="G23:G28"/>
    <mergeCell ref="C6:C11"/>
    <mergeCell ref="D6:D11"/>
    <mergeCell ref="E6:E11"/>
    <mergeCell ref="G6:G11"/>
    <mergeCell ref="C12:C17"/>
    <mergeCell ref="D12:D17"/>
    <mergeCell ref="E12:E17"/>
    <mergeCell ref="G12:G17"/>
    <mergeCell ref="I4:U4"/>
    <mergeCell ref="F6:F11"/>
    <mergeCell ref="F12:F17"/>
    <mergeCell ref="F19:F21"/>
    <mergeCell ref="F23:F28"/>
  </mergeCells>
  <phoneticPr fontId="1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A66C3-0E5A-4AF7-B1F1-B45C1582E33D}">
  <sheetPr codeName="Sheet4"/>
  <dimension ref="B1:AD21"/>
  <sheetViews>
    <sheetView showGridLines="0" zoomScale="85" zoomScaleNormal="85" workbookViewId="0">
      <selection activeCell="I20" sqref="I20"/>
    </sheetView>
  </sheetViews>
  <sheetFormatPr defaultColWidth="9.453125" defaultRowHeight="14.5"/>
  <cols>
    <col min="1" max="2" width="9.453125" style="34"/>
    <col min="3" max="3" width="16.54296875" style="34" customWidth="1"/>
    <col min="4" max="4" width="13.54296875" style="34" customWidth="1"/>
    <col min="5" max="5" width="16.54296875" style="34" customWidth="1"/>
    <col min="6" max="14" width="13.54296875" style="34" customWidth="1"/>
    <col min="15" max="15" width="15.54296875" style="34" customWidth="1"/>
    <col min="16" max="17" width="9.453125" style="34"/>
    <col min="18" max="29" width="13.08984375" style="34" customWidth="1"/>
    <col min="30" max="30" width="15" style="34" customWidth="1"/>
    <col min="31" max="16384" width="9.453125" style="34"/>
  </cols>
  <sheetData>
    <row r="1" spans="2:30">
      <c r="D1" s="1617" t="s">
        <v>77</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200000000</v>
      </c>
      <c r="D4" s="101">
        <v>200000000</v>
      </c>
      <c r="E4" s="101">
        <v>200000000</v>
      </c>
      <c r="F4" s="101">
        <v>400000000</v>
      </c>
      <c r="G4" s="101">
        <v>400000000</v>
      </c>
      <c r="H4" s="101">
        <v>400000000</v>
      </c>
      <c r="I4" s="101">
        <v>400000000</v>
      </c>
      <c r="J4" s="101">
        <v>400000000</v>
      </c>
      <c r="K4" s="101">
        <v>400000000</v>
      </c>
      <c r="L4" s="101">
        <v>200000000</v>
      </c>
      <c r="M4" s="101">
        <v>200000000</v>
      </c>
      <c r="N4" s="101">
        <v>100000000</v>
      </c>
      <c r="O4" s="101">
        <f>SUM(C4:N4)</f>
        <v>3500000000</v>
      </c>
      <c r="P4" s="587"/>
      <c r="Q4" s="100" t="s">
        <v>75</v>
      </c>
      <c r="R4" s="101">
        <v>300000000</v>
      </c>
      <c r="S4" s="101">
        <v>300000000</v>
      </c>
      <c r="T4" s="101">
        <v>300000000</v>
      </c>
      <c r="U4" s="101">
        <v>300000000</v>
      </c>
      <c r="V4" s="101">
        <v>300000000</v>
      </c>
      <c r="W4" s="101">
        <v>300000000</v>
      </c>
      <c r="X4" s="101">
        <v>300000000</v>
      </c>
      <c r="Y4" s="101">
        <v>300000000</v>
      </c>
      <c r="Z4" s="101">
        <v>300000000</v>
      </c>
      <c r="AA4" s="101">
        <v>100000000</v>
      </c>
      <c r="AB4" s="101">
        <v>100000000</v>
      </c>
      <c r="AC4" s="101">
        <v>100000000</v>
      </c>
      <c r="AD4" s="101">
        <v>3000000000</v>
      </c>
    </row>
    <row r="5" spans="2:30" ht="29.9" customHeight="1">
      <c r="B5" s="103" t="s">
        <v>76</v>
      </c>
      <c r="C5" s="105"/>
      <c r="D5" s="105"/>
      <c r="E5" s="105"/>
      <c r="F5" s="105"/>
      <c r="G5" s="105"/>
      <c r="H5" s="105"/>
      <c r="I5" s="105"/>
      <c r="J5" s="105"/>
      <c r="K5" s="105"/>
      <c r="L5" s="105"/>
      <c r="M5" s="105"/>
      <c r="N5" s="105"/>
      <c r="O5" s="588"/>
      <c r="P5" s="40"/>
      <c r="Q5" s="103" t="s">
        <v>76</v>
      </c>
      <c r="R5" s="105"/>
      <c r="S5" s="105"/>
      <c r="T5" s="105"/>
      <c r="U5" s="105"/>
      <c r="V5" s="105"/>
      <c r="W5" s="105"/>
      <c r="X5" s="105"/>
      <c r="Y5" s="105"/>
      <c r="Z5" s="105"/>
      <c r="AA5" s="105"/>
      <c r="AB5" s="105"/>
      <c r="AC5" s="105"/>
      <c r="AD5" s="588"/>
    </row>
    <row r="6" spans="2:30" ht="17.899999999999999" customHeight="1">
      <c r="C6" s="102"/>
      <c r="D6" s="102"/>
      <c r="E6" s="102"/>
      <c r="F6" s="102"/>
      <c r="G6" s="102"/>
      <c r="H6" s="125"/>
      <c r="I6" s="102"/>
      <c r="J6" s="102"/>
      <c r="K6" s="102"/>
      <c r="L6" s="102"/>
      <c r="M6" s="102"/>
      <c r="N6" s="102"/>
      <c r="O6" s="102"/>
    </row>
    <row r="7" spans="2:30">
      <c r="H7" s="108"/>
    </row>
    <row r="9" spans="2:30" ht="23.5">
      <c r="D9" s="107"/>
      <c r="H9" s="108"/>
    </row>
    <row r="10" spans="2:30" ht="23.5">
      <c r="C10" s="122"/>
      <c r="D10" s="126"/>
      <c r="H10" s="108"/>
    </row>
    <row r="11" spans="2:30" ht="23.5">
      <c r="C11" s="122"/>
      <c r="D11" s="126"/>
    </row>
    <row r="12" spans="2:30" ht="23.5">
      <c r="C12" s="124"/>
      <c r="D12" s="127"/>
      <c r="E12" s="127"/>
      <c r="F12" s="127"/>
    </row>
    <row r="13" spans="2:30" ht="16">
      <c r="D13" s="127"/>
      <c r="E13" s="127"/>
      <c r="F13" s="127"/>
    </row>
    <row r="14" spans="2:30" ht="16">
      <c r="C14" s="38"/>
      <c r="D14" s="127"/>
      <c r="E14" s="127"/>
      <c r="F14" s="127"/>
    </row>
    <row r="15" spans="2:30" ht="16">
      <c r="D15" s="127"/>
      <c r="E15" s="127"/>
      <c r="F15" s="127"/>
    </row>
    <row r="16" spans="2:30" ht="16">
      <c r="D16" s="127"/>
      <c r="E16" s="127"/>
      <c r="F16" s="127"/>
    </row>
    <row r="17" spans="4:6" ht="16">
      <c r="D17" s="127"/>
      <c r="E17" s="127"/>
      <c r="F17" s="127"/>
    </row>
    <row r="18" spans="4:6" ht="23.5">
      <c r="D18" s="124"/>
      <c r="E18" s="128"/>
    </row>
    <row r="21" spans="4:6">
      <c r="E21" s="112"/>
      <c r="F21" s="34" t="s">
        <v>395</v>
      </c>
    </row>
  </sheetData>
  <mergeCells count="1">
    <mergeCell ref="D1:M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193E-202B-4913-AC78-F22452EC020D}">
  <sheetPr codeName="Sheet5"/>
  <dimension ref="B1:AD27"/>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5" width="14.54296875" style="34" customWidth="1"/>
    <col min="6" max="6" width="14.453125" style="34" customWidth="1"/>
    <col min="7" max="8" width="15.453125" style="34" customWidth="1"/>
    <col min="9" max="10" width="14.453125" style="34" customWidth="1"/>
    <col min="11" max="11" width="15.453125" style="34" customWidth="1"/>
    <col min="12" max="12" width="14.453125" style="34" customWidth="1"/>
    <col min="13" max="13" width="15.453125" style="34" customWidth="1"/>
    <col min="14" max="14" width="13.453125" style="34" customWidth="1"/>
    <col min="15" max="15" width="15.453125" style="34" customWidth="1"/>
    <col min="16" max="16" width="8.54296875" style="34"/>
    <col min="17" max="17" width="19.54296875" style="34" customWidth="1"/>
    <col min="18" max="18" width="8.08984375" style="34" customWidth="1"/>
    <col min="19" max="19" width="11.90625" style="34" customWidth="1"/>
    <col min="20" max="29" width="12.90625" style="34" customWidth="1"/>
    <col min="30" max="30" width="14.08984375" style="34" customWidth="1"/>
    <col min="31" max="16384" width="8.54296875" style="34"/>
  </cols>
  <sheetData>
    <row r="1" spans="2:30">
      <c r="D1" s="1617" t="s">
        <v>78</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160000000</v>
      </c>
      <c r="D4" s="101">
        <v>160000000</v>
      </c>
      <c r="E4" s="101">
        <v>160000000</v>
      </c>
      <c r="F4" s="101">
        <v>160000000</v>
      </c>
      <c r="G4" s="101">
        <v>160000000</v>
      </c>
      <c r="H4" s="101">
        <v>160000000</v>
      </c>
      <c r="I4" s="101">
        <v>160000000</v>
      </c>
      <c r="J4" s="101">
        <v>160000000</v>
      </c>
      <c r="K4" s="101">
        <v>160000000</v>
      </c>
      <c r="L4" s="101">
        <v>160000000</v>
      </c>
      <c r="M4" s="101">
        <v>200000000</v>
      </c>
      <c r="N4" s="101">
        <v>200000000</v>
      </c>
      <c r="O4" s="101">
        <f>SUM(C4:N4)</f>
        <v>2000000000</v>
      </c>
      <c r="P4" s="102"/>
      <c r="Q4" s="100" t="s">
        <v>75</v>
      </c>
      <c r="R4" s="101">
        <v>0</v>
      </c>
      <c r="S4" s="101">
        <v>40000000</v>
      </c>
      <c r="T4" s="101">
        <v>150000000</v>
      </c>
      <c r="U4" s="101">
        <v>150000000</v>
      </c>
      <c r="V4" s="101">
        <v>150000000</v>
      </c>
      <c r="W4" s="101">
        <v>150000000</v>
      </c>
      <c r="X4" s="101">
        <v>150000000</v>
      </c>
      <c r="Y4" s="101">
        <v>150000000</v>
      </c>
      <c r="Z4" s="101">
        <v>150000000</v>
      </c>
      <c r="AA4" s="101">
        <v>150000000</v>
      </c>
      <c r="AB4" s="101">
        <v>150000000</v>
      </c>
      <c r="AC4" s="101">
        <v>110000000</v>
      </c>
      <c r="AD4" s="101">
        <v>1500000000</v>
      </c>
    </row>
    <row r="5" spans="2:30" ht="29.9" customHeight="1">
      <c r="B5" s="103" t="s">
        <v>76</v>
      </c>
      <c r="C5" s="105"/>
      <c r="D5" s="105"/>
      <c r="E5" s="105"/>
      <c r="F5" s="105"/>
      <c r="G5" s="105"/>
      <c r="H5" s="105"/>
      <c r="I5" s="105"/>
      <c r="J5" s="105"/>
      <c r="K5" s="105"/>
      <c r="L5" s="105"/>
      <c r="M5" s="105"/>
      <c r="N5" s="105"/>
      <c r="O5" s="106">
        <f>SUM(C5:N5)</f>
        <v>0</v>
      </c>
      <c r="Q5" s="103" t="s">
        <v>76</v>
      </c>
      <c r="R5" s="105"/>
      <c r="S5" s="105"/>
      <c r="T5" s="105"/>
      <c r="U5" s="105"/>
      <c r="V5" s="105"/>
      <c r="W5" s="105"/>
      <c r="X5" s="105"/>
      <c r="Y5" s="105"/>
      <c r="Z5" s="105"/>
      <c r="AA5" s="105"/>
      <c r="AB5" s="105"/>
      <c r="AC5" s="105"/>
      <c r="AD5" s="106">
        <v>1495004211.6989157</v>
      </c>
    </row>
    <row r="6" spans="2:30" ht="17.899999999999999" customHeight="1">
      <c r="C6" s="102"/>
      <c r="D6" s="102"/>
      <c r="E6" s="102"/>
      <c r="F6" s="102"/>
      <c r="G6" s="102"/>
      <c r="H6" s="102"/>
      <c r="I6" s="102"/>
      <c r="J6" s="102"/>
      <c r="K6" s="102"/>
      <c r="L6" s="102"/>
      <c r="M6" s="102"/>
      <c r="N6" s="102"/>
      <c r="O6" s="102"/>
    </row>
    <row r="7" spans="2:30">
      <c r="C7" s="153"/>
      <c r="D7" s="153"/>
      <c r="E7" s="153"/>
      <c r="F7" s="153"/>
      <c r="G7" s="153"/>
      <c r="H7" s="153"/>
      <c r="I7" s="153"/>
      <c r="J7" s="153"/>
      <c r="K7" s="153"/>
      <c r="L7" s="153"/>
      <c r="M7" s="153"/>
    </row>
    <row r="8" spans="2:30">
      <c r="C8" s="38"/>
      <c r="D8" s="38"/>
      <c r="E8" s="38"/>
      <c r="F8" s="38"/>
      <c r="G8" s="38"/>
      <c r="H8" s="38"/>
      <c r="I8" s="38"/>
      <c r="J8" s="38"/>
      <c r="K8" s="38"/>
      <c r="L8" s="38"/>
      <c r="M8" s="38"/>
    </row>
    <row r="9" spans="2:30">
      <c r="C9" s="153"/>
      <c r="D9" s="153"/>
      <c r="E9" s="153"/>
      <c r="F9" s="153"/>
      <c r="G9" s="153"/>
      <c r="H9" s="153"/>
      <c r="I9" s="153"/>
      <c r="J9" s="153"/>
      <c r="K9" s="153"/>
    </row>
    <row r="10" spans="2:30">
      <c r="C10" s="153"/>
      <c r="D10" s="153"/>
      <c r="E10" s="153"/>
      <c r="F10" s="153"/>
      <c r="G10" s="153"/>
      <c r="H10" s="153"/>
      <c r="I10" s="153"/>
      <c r="J10" s="153"/>
      <c r="K10" s="153"/>
    </row>
    <row r="11" spans="2:30" ht="23.5">
      <c r="D11" s="107"/>
      <c r="G11" s="38"/>
    </row>
    <row r="12" spans="2:30" ht="23.5">
      <c r="F12" s="122"/>
      <c r="G12" s="123"/>
    </row>
    <row r="13" spans="2:30" ht="23.5">
      <c r="F13" s="124"/>
      <c r="G13" s="107"/>
      <c r="I13" s="112">
        <f>F13+G13+G12</f>
        <v>0</v>
      </c>
    </row>
    <row r="14" spans="2:30">
      <c r="D14" s="38"/>
    </row>
    <row r="16" spans="2:30">
      <c r="F16" s="38"/>
    </row>
    <row r="22" spans="3:3" ht="23.5">
      <c r="C22" s="107"/>
    </row>
    <row r="23" spans="3:3" ht="23.5">
      <c r="C23" s="107"/>
    </row>
    <row r="24" spans="3:3" ht="23.5">
      <c r="C24" s="107"/>
    </row>
    <row r="27" spans="3:3">
      <c r="C27" s="38"/>
    </row>
  </sheetData>
  <mergeCells count="1">
    <mergeCell ref="D1:M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EF10-914B-4FA9-BACD-2C7B5E8ADC3F}">
  <sheetPr codeName="Sheet6"/>
  <dimension ref="B1:AD24"/>
  <sheetViews>
    <sheetView zoomScale="85" zoomScaleNormal="85" workbookViewId="0">
      <selection activeCell="O4" sqref="O4"/>
    </sheetView>
  </sheetViews>
  <sheetFormatPr defaultColWidth="8.54296875" defaultRowHeight="14.5"/>
  <cols>
    <col min="1" max="1" width="8.54296875" style="34"/>
    <col min="2" max="2" width="20.54296875" style="34" customWidth="1"/>
    <col min="3" max="14" width="15" style="34" customWidth="1"/>
    <col min="15" max="15" width="15.453125" style="34" customWidth="1"/>
    <col min="16" max="16" width="8.54296875" style="34"/>
    <col min="17" max="17" width="18.08984375" style="34" customWidth="1"/>
    <col min="18" max="27" width="12.90625" style="34" customWidth="1"/>
    <col min="28" max="28" width="14.08984375" style="34" customWidth="1"/>
    <col min="29" max="29" width="12.90625" style="34" customWidth="1"/>
    <col min="30" max="30" width="14.08984375" style="34" customWidth="1"/>
    <col min="31" max="16384" width="8.54296875" style="34"/>
  </cols>
  <sheetData>
    <row r="1" spans="2:30">
      <c r="D1" s="1617" t="s">
        <v>79</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500000000</v>
      </c>
      <c r="D4" s="101">
        <v>500000000</v>
      </c>
      <c r="E4" s="101">
        <v>600000000</v>
      </c>
      <c r="F4" s="101">
        <v>600000000</v>
      </c>
      <c r="G4" s="101">
        <v>600000000</v>
      </c>
      <c r="H4" s="101">
        <v>600000000</v>
      </c>
      <c r="I4" s="101">
        <v>600000000</v>
      </c>
      <c r="J4" s="101">
        <v>600000000</v>
      </c>
      <c r="K4" s="101">
        <v>600000000</v>
      </c>
      <c r="L4" s="101">
        <v>650000000</v>
      </c>
      <c r="M4" s="101">
        <v>700000000</v>
      </c>
      <c r="N4" s="101">
        <v>700000000</v>
      </c>
      <c r="O4" s="101">
        <f>SUM(C4:N4)</f>
        <v>7250000000</v>
      </c>
      <c r="P4" s="102"/>
      <c r="Q4" s="100" t="s">
        <v>75</v>
      </c>
      <c r="R4" s="101">
        <v>483333333.33333331</v>
      </c>
      <c r="S4" s="101">
        <v>483333333.33333331</v>
      </c>
      <c r="T4" s="101">
        <v>483333333.33333331</v>
      </c>
      <c r="U4" s="101">
        <v>483333333.33333331</v>
      </c>
      <c r="V4" s="101">
        <v>483333333.33333331</v>
      </c>
      <c r="W4" s="101">
        <v>483333333.33333331</v>
      </c>
      <c r="X4" s="101">
        <v>483333333.33333331</v>
      </c>
      <c r="Y4" s="101">
        <v>483333333.33333331</v>
      </c>
      <c r="Z4" s="101">
        <v>483333333.33333331</v>
      </c>
      <c r="AA4" s="101">
        <v>483333333.33333331</v>
      </c>
      <c r="AB4" s="101">
        <v>483333333.33333331</v>
      </c>
      <c r="AC4" s="101">
        <v>483333333.33333331</v>
      </c>
      <c r="AD4" s="101">
        <v>5799999999.999999</v>
      </c>
    </row>
    <row r="5" spans="2:30" ht="29.9" customHeight="1">
      <c r="B5" s="103" t="s">
        <v>76</v>
      </c>
      <c r="C5" s="105"/>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row>
    <row r="6" spans="2:30" ht="17.899999999999999" customHeight="1">
      <c r="C6" s="102"/>
      <c r="D6" s="102"/>
      <c r="E6" s="102"/>
      <c r="F6" s="102"/>
      <c r="G6" s="102"/>
      <c r="H6" s="102"/>
      <c r="I6" s="102"/>
      <c r="J6" s="102"/>
      <c r="K6" s="102"/>
      <c r="L6" s="102"/>
      <c r="M6" s="102"/>
      <c r="N6" s="102"/>
      <c r="O6" s="102"/>
    </row>
    <row r="7" spans="2:30">
      <c r="G7" s="111"/>
    </row>
    <row r="8" spans="2:30">
      <c r="E8" s="38"/>
    </row>
    <row r="9" spans="2:30" ht="23.5">
      <c r="D9" s="107"/>
      <c r="E9" s="38"/>
      <c r="F9" s="38"/>
    </row>
    <row r="10" spans="2:30" ht="23.5">
      <c r="D10" s="107"/>
      <c r="G10" s="38"/>
      <c r="H10" s="90"/>
    </row>
    <row r="11" spans="2:30" ht="23.5">
      <c r="D11" s="107"/>
      <c r="G11" s="38"/>
      <c r="H11" s="90"/>
    </row>
    <row r="12" spans="2:30" ht="23.5">
      <c r="G12" s="118"/>
      <c r="H12" s="90"/>
    </row>
    <row r="13" spans="2:30">
      <c r="E13" s="113"/>
      <c r="F13" s="113"/>
      <c r="G13" s="113"/>
      <c r="H13" s="119"/>
      <c r="I13" s="113"/>
      <c r="J13" s="113"/>
    </row>
    <row r="14" spans="2:30">
      <c r="D14" s="38"/>
      <c r="E14" s="113"/>
      <c r="F14" s="113"/>
      <c r="G14" s="113"/>
      <c r="H14" s="119"/>
      <c r="I14" s="113"/>
      <c r="J14" s="113"/>
    </row>
    <row r="15" spans="2:30">
      <c r="E15" s="113"/>
      <c r="F15" s="113"/>
      <c r="G15" s="113"/>
      <c r="H15" s="113"/>
      <c r="I15" s="113"/>
      <c r="J15" s="113"/>
    </row>
    <row r="16" spans="2:30">
      <c r="E16" s="113"/>
      <c r="F16" s="113"/>
      <c r="G16" s="113"/>
      <c r="H16" s="113"/>
      <c r="I16" s="113"/>
      <c r="J16" s="113"/>
    </row>
    <row r="17" spans="5:10">
      <c r="E17" s="113"/>
      <c r="F17" s="113"/>
      <c r="G17" s="113"/>
      <c r="H17" s="113"/>
      <c r="I17" s="113"/>
      <c r="J17" s="113"/>
    </row>
    <row r="18" spans="5:10">
      <c r="E18" s="113"/>
      <c r="F18" s="113"/>
      <c r="G18" s="113"/>
      <c r="H18" s="113"/>
      <c r="I18" s="113"/>
      <c r="J18" s="113"/>
    </row>
    <row r="19" spans="5:10">
      <c r="E19" s="113"/>
      <c r="F19" s="113"/>
      <c r="G19" s="113"/>
      <c r="H19" s="113"/>
      <c r="I19" s="113"/>
      <c r="J19" s="113"/>
    </row>
    <row r="20" spans="5:10">
      <c r="E20" s="113"/>
      <c r="F20" s="113"/>
      <c r="G20" s="113"/>
      <c r="H20" s="113"/>
      <c r="I20" s="113"/>
      <c r="J20" s="113"/>
    </row>
    <row r="21" spans="5:10">
      <c r="E21" s="113"/>
      <c r="F21" s="113"/>
      <c r="G21" s="113"/>
      <c r="H21" s="113"/>
      <c r="I21" s="113"/>
      <c r="J21" s="113"/>
    </row>
    <row r="22" spans="5:10">
      <c r="E22" s="113"/>
      <c r="F22" s="113"/>
      <c r="G22" s="113"/>
      <c r="H22" s="120"/>
      <c r="I22" s="121"/>
      <c r="J22" s="113"/>
    </row>
    <row r="24" spans="5:10">
      <c r="E24" s="38"/>
      <c r="F24" s="38"/>
      <c r="G24" s="38"/>
      <c r="H24" s="38"/>
      <c r="I24" s="38"/>
      <c r="J24" s="38"/>
    </row>
  </sheetData>
  <mergeCells count="1">
    <mergeCell ref="D1:M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AF701-EE9E-4FC8-9C02-92D698070684}">
  <sheetPr codeName="Sheet7"/>
  <dimension ref="B1:AD23"/>
  <sheetViews>
    <sheetView zoomScale="85" zoomScaleNormal="85" workbookViewId="0">
      <selection activeCell="O4" sqref="O4"/>
    </sheetView>
  </sheetViews>
  <sheetFormatPr defaultColWidth="8.54296875" defaultRowHeight="14.5"/>
  <cols>
    <col min="1" max="1" width="8.54296875" style="34"/>
    <col min="2" max="2" width="14.453125" style="34" customWidth="1"/>
    <col min="3" max="14" width="14.54296875" style="34" customWidth="1"/>
    <col min="15" max="15" width="15.453125" style="34" customWidth="1"/>
    <col min="16" max="16" width="8.54296875" style="34"/>
    <col min="17" max="17" width="9.453125" style="34" customWidth="1"/>
    <col min="18" max="29" width="12.90625" style="34" customWidth="1"/>
    <col min="30" max="30" width="15.453125" style="34" customWidth="1"/>
    <col min="31" max="16384" width="8.54296875" style="34"/>
  </cols>
  <sheetData>
    <row r="1" spans="2:30">
      <c r="D1" s="1617" t="s">
        <v>80</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580000000</v>
      </c>
      <c r="D4" s="101">
        <v>580000000</v>
      </c>
      <c r="E4" s="101">
        <v>580000000</v>
      </c>
      <c r="F4" s="101">
        <v>580000000</v>
      </c>
      <c r="G4" s="101">
        <v>580000000</v>
      </c>
      <c r="H4" s="101">
        <v>580000000</v>
      </c>
      <c r="I4" s="101">
        <v>630000000</v>
      </c>
      <c r="J4" s="101">
        <v>630000000</v>
      </c>
      <c r="K4" s="101">
        <v>630000000</v>
      </c>
      <c r="L4" s="101">
        <v>630000000</v>
      </c>
      <c r="M4" s="101">
        <v>630000000</v>
      </c>
      <c r="N4" s="101">
        <v>620000000</v>
      </c>
      <c r="O4" s="101">
        <f>SUM(C4:N4)</f>
        <v>7250000000</v>
      </c>
      <c r="P4" s="102"/>
      <c r="Q4" s="100" t="s">
        <v>75</v>
      </c>
      <c r="R4" s="101">
        <v>183333333</v>
      </c>
      <c r="S4" s="101">
        <v>183333333</v>
      </c>
      <c r="T4" s="101">
        <v>183333333</v>
      </c>
      <c r="U4" s="101">
        <v>183333333</v>
      </c>
      <c r="V4" s="101">
        <v>183333333</v>
      </c>
      <c r="W4" s="101">
        <v>183333333</v>
      </c>
      <c r="X4" s="101">
        <v>183333333</v>
      </c>
      <c r="Y4" s="101">
        <v>183333333</v>
      </c>
      <c r="Z4" s="101">
        <v>183333333</v>
      </c>
      <c r="AA4" s="101">
        <v>183333333</v>
      </c>
      <c r="AB4" s="101">
        <v>183333333</v>
      </c>
      <c r="AC4" s="101">
        <v>183333333</v>
      </c>
      <c r="AD4" s="101">
        <v>2199999996</v>
      </c>
    </row>
    <row r="5" spans="2:30" ht="29.9" customHeight="1">
      <c r="B5" s="103" t="s">
        <v>76</v>
      </c>
      <c r="C5" s="105"/>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10045138963</v>
      </c>
    </row>
    <row r="6" spans="2:30" ht="17.899999999999999" customHeight="1">
      <c r="C6" s="102"/>
      <c r="D6" s="102"/>
      <c r="E6" s="102"/>
      <c r="F6" s="102"/>
      <c r="G6" s="102"/>
      <c r="H6" s="102"/>
      <c r="I6" s="102"/>
      <c r="J6" s="102"/>
      <c r="K6" s="102"/>
      <c r="L6" s="102"/>
      <c r="M6" s="102"/>
      <c r="N6" s="102"/>
      <c r="O6" s="102"/>
    </row>
    <row r="7" spans="2:30">
      <c r="C7" s="111"/>
      <c r="D7" s="111"/>
      <c r="E7" s="111"/>
      <c r="F7" s="111"/>
      <c r="G7" s="111"/>
      <c r="H7" s="111"/>
    </row>
    <row r="10" spans="2:30" ht="23.5">
      <c r="D10" s="107"/>
      <c r="F10" s="112"/>
      <c r="H10" s="90"/>
    </row>
    <row r="11" spans="2:30" ht="23.5">
      <c r="D11" s="107"/>
      <c r="H11" s="90"/>
    </row>
    <row r="12" spans="2:30" ht="23.5">
      <c r="C12" s="113"/>
      <c r="D12" s="114"/>
      <c r="E12" s="114"/>
      <c r="F12" s="115"/>
      <c r="G12" s="115"/>
      <c r="H12" s="90"/>
    </row>
    <row r="13" spans="2:30" ht="23.5">
      <c r="G13" s="38"/>
      <c r="H13" s="90"/>
    </row>
    <row r="14" spans="2:30">
      <c r="D14" s="38"/>
      <c r="G14" s="38"/>
    </row>
    <row r="15" spans="2:30">
      <c r="G15" s="116"/>
    </row>
    <row r="16" spans="2:30">
      <c r="H16" s="38"/>
    </row>
    <row r="21" spans="8:8">
      <c r="H21" s="117"/>
    </row>
    <row r="23" spans="8:8">
      <c r="H23" s="117"/>
    </row>
  </sheetData>
  <mergeCells count="1">
    <mergeCell ref="D1:M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1CBB-1281-41EA-AE2C-C8D1035E9BBE}">
  <sheetPr codeName="Sheet8"/>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7" width="12.453125" style="34" customWidth="1"/>
    <col min="8" max="8" width="15.54296875" style="34" customWidth="1"/>
    <col min="9" max="9" width="12.54296875" style="34" customWidth="1"/>
    <col min="10" max="12" width="12.453125" style="34" customWidth="1"/>
    <col min="13" max="13" width="14.453125" style="34" customWidth="1"/>
    <col min="14" max="14" width="15.54296875" style="34" customWidth="1"/>
    <col min="15" max="15" width="18.54296875" style="34" customWidth="1"/>
    <col min="16" max="16" width="8.54296875" style="34"/>
    <col min="17" max="17" width="16" style="34" customWidth="1"/>
    <col min="18" max="22" width="8.08984375" style="34" customWidth="1"/>
    <col min="23" max="23" width="12.90625" style="34" customWidth="1"/>
    <col min="24" max="26" width="8.08984375" style="34" customWidth="1"/>
    <col min="27" max="28" width="9.453125" style="34" customWidth="1"/>
    <col min="29" max="30" width="14.08984375" style="34" customWidth="1"/>
    <col min="31" max="16384" width="8.54296875" style="34"/>
  </cols>
  <sheetData>
    <row r="1" spans="2:30">
      <c r="D1" s="1617" t="s">
        <v>81</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c r="D4" s="101"/>
      <c r="E4" s="101"/>
      <c r="F4" s="101"/>
      <c r="G4" s="101"/>
      <c r="H4" s="101">
        <v>1500000000</v>
      </c>
      <c r="I4" s="101"/>
      <c r="J4" s="101"/>
      <c r="K4" s="101"/>
      <c r="L4" s="101"/>
      <c r="M4" s="101"/>
      <c r="N4" s="101">
        <v>2750000000</v>
      </c>
      <c r="O4" s="101">
        <f>SUM(C4:N4)</f>
        <v>4250000000</v>
      </c>
      <c r="P4" s="102"/>
      <c r="Q4" s="100" t="s">
        <v>75</v>
      </c>
      <c r="R4" s="101"/>
      <c r="S4" s="101"/>
      <c r="T4" s="101"/>
      <c r="U4" s="101"/>
      <c r="V4" s="101"/>
      <c r="W4" s="101">
        <v>700000000</v>
      </c>
      <c r="X4" s="101"/>
      <c r="Y4" s="101"/>
      <c r="Z4" s="101"/>
      <c r="AA4" s="101"/>
      <c r="AB4" s="101"/>
      <c r="AC4" s="101">
        <v>1000000000</v>
      </c>
      <c r="AD4" s="101">
        <v>1700000000</v>
      </c>
    </row>
    <row r="5" spans="2:30" ht="29.9" customHeight="1">
      <c r="B5" s="103" t="s">
        <v>76</v>
      </c>
      <c r="C5" s="105"/>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1754566166</v>
      </c>
    </row>
    <row r="6" spans="2:30" ht="17.899999999999999" customHeight="1">
      <c r="C6" s="102"/>
      <c r="D6" s="102"/>
      <c r="E6" s="102"/>
      <c r="F6" s="102"/>
      <c r="G6" s="102"/>
      <c r="H6" s="102"/>
      <c r="I6" s="102"/>
      <c r="J6" s="102"/>
      <c r="K6" s="102"/>
      <c r="L6" s="102"/>
      <c r="M6" s="102"/>
      <c r="N6" s="102"/>
      <c r="O6" s="102"/>
    </row>
    <row r="9" spans="2:30" ht="23.5">
      <c r="D9" s="107"/>
    </row>
    <row r="10" spans="2:30" ht="23.5">
      <c r="D10" s="107"/>
    </row>
    <row r="11" spans="2:30" ht="23.5">
      <c r="D11" s="107"/>
    </row>
    <row r="14" spans="2:30">
      <c r="D14" s="38"/>
    </row>
  </sheetData>
  <mergeCells count="1">
    <mergeCell ref="D1:M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D00D4-4B1F-4EFF-83AC-26EB2308F80D}">
  <sheetPr codeName="Sheet9"/>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3" width="12.453125" style="34" customWidth="1"/>
    <col min="14" max="15" width="15.453125" style="34" customWidth="1"/>
    <col min="16" max="16" width="8.54296875" style="34"/>
    <col min="17" max="17" width="22.90625" style="34" customWidth="1"/>
    <col min="18" max="30" width="16.08984375" style="34" customWidth="1"/>
    <col min="31" max="16384" width="8.54296875" style="34"/>
  </cols>
  <sheetData>
    <row r="1" spans="2:30">
      <c r="D1" s="1617" t="s">
        <v>82</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395000000</v>
      </c>
      <c r="D4" s="101">
        <v>395000000</v>
      </c>
      <c r="E4" s="101">
        <v>395000000</v>
      </c>
      <c r="F4" s="101">
        <v>395000000</v>
      </c>
      <c r="G4" s="101">
        <v>395000000</v>
      </c>
      <c r="H4" s="101">
        <v>395000000</v>
      </c>
      <c r="I4" s="101">
        <v>395000000</v>
      </c>
      <c r="J4" s="101">
        <v>395000000</v>
      </c>
      <c r="K4" s="101">
        <v>395000000</v>
      </c>
      <c r="L4" s="101">
        <v>395000000</v>
      </c>
      <c r="M4" s="101">
        <v>395000000</v>
      </c>
      <c r="N4" s="101">
        <v>405000000</v>
      </c>
      <c r="O4" s="101">
        <f>SUM(C4:N4)</f>
        <v>4750000000</v>
      </c>
      <c r="Q4" s="100" t="s">
        <v>75</v>
      </c>
      <c r="R4" s="101">
        <v>0</v>
      </c>
      <c r="S4" s="101">
        <v>0</v>
      </c>
      <c r="T4" s="101">
        <v>0</v>
      </c>
      <c r="U4" s="101"/>
      <c r="V4" s="101"/>
      <c r="W4" s="101"/>
      <c r="X4" s="101"/>
      <c r="Y4" s="101"/>
      <c r="Z4" s="101"/>
      <c r="AA4" s="101"/>
      <c r="AB4" s="101"/>
      <c r="AC4" s="101">
        <v>2800000000</v>
      </c>
      <c r="AD4" s="101">
        <v>2800000000</v>
      </c>
    </row>
    <row r="5" spans="2:30" ht="29.9" customHeight="1">
      <c r="B5" s="103" t="s">
        <v>76</v>
      </c>
      <c r="C5" s="105"/>
      <c r="D5" s="105"/>
      <c r="E5" s="105"/>
      <c r="F5" s="105"/>
      <c r="G5" s="105"/>
      <c r="H5" s="105"/>
      <c r="I5" s="105"/>
      <c r="J5" s="105"/>
      <c r="K5" s="105"/>
      <c r="L5" s="105"/>
      <c r="M5" s="105"/>
      <c r="N5" s="105"/>
      <c r="O5" s="109"/>
      <c r="Q5" s="103" t="s">
        <v>76</v>
      </c>
      <c r="R5" s="105"/>
      <c r="S5" s="105"/>
      <c r="T5" s="105"/>
      <c r="U5" s="105"/>
      <c r="V5" s="105"/>
      <c r="W5" s="105"/>
      <c r="X5" s="105"/>
      <c r="Y5" s="105"/>
      <c r="Z5" s="105"/>
      <c r="AA5" s="105"/>
      <c r="AB5" s="105"/>
      <c r="AC5" s="105"/>
      <c r="AD5" s="109"/>
    </row>
    <row r="6" spans="2:30" ht="17.899999999999999" customHeight="1"/>
    <row r="9" spans="2:30" ht="23.5">
      <c r="D9" s="107"/>
    </row>
    <row r="10" spans="2:30" ht="23.5">
      <c r="D10" s="107"/>
    </row>
    <row r="11" spans="2:30" ht="23.5">
      <c r="D11" s="107"/>
    </row>
    <row r="14" spans="2:30">
      <c r="D14" s="38"/>
    </row>
  </sheetData>
  <mergeCells count="1">
    <mergeCell ref="D1:M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FF177-8D2B-46A4-916D-078AF95A0209}">
  <sheetPr codeName="Sheet10"/>
  <dimension ref="B1:AD14"/>
  <sheetViews>
    <sheetView zoomScale="85" zoomScaleNormal="85" workbookViewId="0">
      <selection activeCell="O4" sqref="O4"/>
    </sheetView>
  </sheetViews>
  <sheetFormatPr defaultColWidth="8.54296875" defaultRowHeight="14.5"/>
  <cols>
    <col min="1" max="1" width="8.54296875" style="34"/>
    <col min="2" max="2" width="20.54296875" style="34" customWidth="1"/>
    <col min="3" max="3" width="12.453125" style="34" customWidth="1"/>
    <col min="4" max="4" width="13.54296875" style="34" customWidth="1"/>
    <col min="5" max="7" width="12.453125" style="34" customWidth="1"/>
    <col min="8" max="8" width="17.54296875" style="34" customWidth="1"/>
    <col min="9" max="11" width="12.453125" style="34" customWidth="1"/>
    <col min="12" max="12" width="14.453125" style="34" customWidth="1"/>
    <col min="13" max="13" width="12.453125" style="34" customWidth="1"/>
    <col min="14" max="14" width="21.453125" style="34" customWidth="1"/>
    <col min="15" max="15" width="17.54296875" style="34" customWidth="1"/>
    <col min="16" max="16" width="8.54296875" style="34"/>
    <col min="17" max="17" width="13.90625" style="34" customWidth="1"/>
    <col min="18" max="22" width="8.08984375" style="34" customWidth="1"/>
    <col min="23" max="29" width="11.90625" style="34" customWidth="1"/>
    <col min="30" max="30" width="14.08984375" style="34" customWidth="1"/>
    <col min="31" max="16384" width="8.54296875" style="34"/>
  </cols>
  <sheetData>
    <row r="1" spans="2:30">
      <c r="D1" s="1617" t="s">
        <v>83</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c r="B4" s="100" t="s">
        <v>75</v>
      </c>
      <c r="C4" s="101"/>
      <c r="D4" s="101"/>
      <c r="E4" s="101">
        <v>235000000</v>
      </c>
      <c r="F4" s="101"/>
      <c r="G4" s="101"/>
      <c r="H4" s="101">
        <v>235000000</v>
      </c>
      <c r="I4" s="101"/>
      <c r="J4" s="101"/>
      <c r="K4" s="101">
        <v>235000000</v>
      </c>
      <c r="L4" s="101"/>
      <c r="M4" s="101"/>
      <c r="N4" s="101">
        <v>295000000</v>
      </c>
      <c r="O4" s="101">
        <f>SUM(C4:N4)</f>
        <v>1000000000</v>
      </c>
      <c r="P4" s="102"/>
      <c r="Q4" s="100" t="s">
        <v>75</v>
      </c>
      <c r="R4" s="101"/>
      <c r="S4" s="101"/>
      <c r="T4" s="101"/>
      <c r="U4" s="101"/>
      <c r="V4" s="101"/>
      <c r="W4" s="101">
        <v>80000000</v>
      </c>
      <c r="X4" s="101">
        <v>70000000</v>
      </c>
      <c r="Y4" s="101">
        <v>70000000</v>
      </c>
      <c r="Z4" s="101">
        <v>70000000</v>
      </c>
      <c r="AA4" s="101">
        <v>70000000</v>
      </c>
      <c r="AB4" s="101">
        <v>70000000</v>
      </c>
      <c r="AC4" s="101">
        <v>70000000</v>
      </c>
      <c r="AD4" s="101">
        <v>500000000</v>
      </c>
    </row>
    <row r="5" spans="2:30">
      <c r="B5" s="103" t="s">
        <v>76</v>
      </c>
      <c r="C5" s="105"/>
      <c r="D5" s="105"/>
      <c r="E5" s="105"/>
      <c r="F5" s="105"/>
      <c r="G5" s="105"/>
      <c r="H5" s="105"/>
      <c r="I5" s="105"/>
      <c r="J5" s="105"/>
      <c r="K5" s="105"/>
      <c r="L5" s="105"/>
      <c r="M5" s="105"/>
      <c r="N5" s="105"/>
      <c r="O5" s="106">
        <f>SUM(C5:N5)</f>
        <v>0</v>
      </c>
      <c r="Q5" s="103" t="s">
        <v>76</v>
      </c>
      <c r="R5" s="105"/>
      <c r="S5" s="105"/>
      <c r="T5" s="105"/>
      <c r="U5" s="105"/>
      <c r="V5" s="105"/>
      <c r="W5" s="105"/>
      <c r="X5" s="105"/>
      <c r="Y5" s="105"/>
      <c r="Z5" s="105"/>
      <c r="AA5" s="105"/>
      <c r="AB5" s="105"/>
      <c r="AC5" s="105"/>
      <c r="AD5" s="106">
        <v>2586325729</v>
      </c>
    </row>
    <row r="6" spans="2:30" ht="17.899999999999999" customHeight="1">
      <c r="C6" s="102"/>
      <c r="D6" s="102"/>
      <c r="E6" s="102"/>
      <c r="F6" s="102"/>
      <c r="G6" s="102"/>
      <c r="H6" s="102"/>
      <c r="I6" s="102"/>
      <c r="J6" s="102"/>
      <c r="K6" s="102"/>
      <c r="L6" s="102"/>
      <c r="M6" s="102"/>
      <c r="N6" s="102"/>
      <c r="O6" s="102"/>
    </row>
    <row r="9" spans="2:30" ht="23.5">
      <c r="D9" s="107"/>
    </row>
    <row r="10" spans="2:30" ht="23.5">
      <c r="D10" s="107"/>
      <c r="N10" s="110"/>
    </row>
    <row r="11" spans="2:30" ht="23.5">
      <c r="D11" s="107"/>
    </row>
    <row r="14" spans="2:30">
      <c r="D14" s="38"/>
    </row>
  </sheetData>
  <mergeCells count="1">
    <mergeCell ref="D1:M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60E6-9B0C-4AE5-AADD-A9C6C69D1DCA}">
  <sheetPr codeName="Sheet45"/>
  <dimension ref="B1:AD14"/>
  <sheetViews>
    <sheetView zoomScale="85" zoomScaleNormal="85" workbookViewId="0">
      <selection activeCell="C4" sqref="C4:N4"/>
    </sheetView>
  </sheetViews>
  <sheetFormatPr defaultColWidth="8.54296875" defaultRowHeight="14.5"/>
  <cols>
    <col min="1" max="1" width="8.54296875" style="34"/>
    <col min="2" max="2" width="20.54296875" style="34" customWidth="1"/>
    <col min="3" max="3" width="12.453125" style="34" customWidth="1"/>
    <col min="4" max="4" width="13.54296875" style="34" customWidth="1"/>
    <col min="5" max="7" width="12.453125" style="34" customWidth="1"/>
    <col min="8" max="8" width="17.54296875" style="34" customWidth="1"/>
    <col min="9" max="11" width="12.453125" style="34" customWidth="1"/>
    <col min="12" max="12" width="14.453125" style="34" customWidth="1"/>
    <col min="13" max="13" width="12.453125" style="34" customWidth="1"/>
    <col min="14" max="14" width="21.453125" style="34" customWidth="1"/>
    <col min="15" max="15" width="17.54296875" style="34" customWidth="1"/>
    <col min="16" max="16" width="8.54296875" style="34"/>
    <col min="17" max="17" width="13.90625" style="34" customWidth="1"/>
    <col min="18" max="22" width="8.08984375" style="34" customWidth="1"/>
    <col min="23" max="29" width="11.90625" style="34" customWidth="1"/>
    <col min="30" max="30" width="14.08984375" style="34" customWidth="1"/>
    <col min="31" max="16384" width="8.54296875" style="34"/>
  </cols>
  <sheetData>
    <row r="1" spans="2:30">
      <c r="D1" s="1617" t="s">
        <v>83</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c r="B4" s="100" t="s">
        <v>75</v>
      </c>
      <c r="C4" s="101"/>
      <c r="D4" s="101"/>
      <c r="E4" s="101">
        <v>529000000</v>
      </c>
      <c r="F4" s="101"/>
      <c r="G4" s="101"/>
      <c r="H4" s="101">
        <v>529000000</v>
      </c>
      <c r="I4" s="101"/>
      <c r="J4" s="101"/>
      <c r="K4" s="101">
        <v>529000000</v>
      </c>
      <c r="L4" s="101"/>
      <c r="M4" s="101"/>
      <c r="N4" s="101">
        <v>663000000</v>
      </c>
      <c r="O4" s="101">
        <f>SUM(C4:N4)</f>
        <v>2250000000</v>
      </c>
      <c r="P4" s="102"/>
      <c r="Q4" s="100" t="s">
        <v>75</v>
      </c>
      <c r="R4" s="101"/>
      <c r="S4" s="101"/>
      <c r="T4" s="101"/>
      <c r="U4" s="101"/>
      <c r="V4" s="101"/>
      <c r="W4" s="101"/>
      <c r="X4" s="101"/>
      <c r="Y4" s="101"/>
      <c r="Z4" s="101"/>
      <c r="AA4" s="101"/>
      <c r="AB4" s="101"/>
      <c r="AC4" s="101"/>
      <c r="AD4" s="101">
        <v>500000000</v>
      </c>
    </row>
    <row r="5" spans="2:30">
      <c r="B5" s="103" t="s">
        <v>76</v>
      </c>
      <c r="C5" s="105"/>
      <c r="D5" s="105"/>
      <c r="E5" s="105"/>
      <c r="F5" s="105"/>
      <c r="G5" s="105"/>
      <c r="H5" s="105"/>
      <c r="I5" s="105"/>
      <c r="J5" s="105"/>
      <c r="K5" s="105"/>
      <c r="L5" s="105"/>
      <c r="M5" s="105"/>
      <c r="N5" s="105"/>
      <c r="O5" s="106">
        <f>SUM(C5:N5)</f>
        <v>0</v>
      </c>
      <c r="Q5" s="103" t="s">
        <v>76</v>
      </c>
      <c r="R5" s="105"/>
      <c r="S5" s="105"/>
      <c r="T5" s="105"/>
      <c r="U5" s="105"/>
      <c r="V5" s="105"/>
      <c r="W5" s="105"/>
      <c r="X5" s="105"/>
      <c r="Y5" s="105"/>
      <c r="Z5" s="105"/>
      <c r="AA5" s="105"/>
      <c r="AB5" s="105"/>
      <c r="AC5" s="105"/>
      <c r="AD5" s="106"/>
    </row>
    <row r="6" spans="2:30" ht="17.899999999999999" customHeight="1">
      <c r="C6" s="102"/>
      <c r="D6" s="102"/>
      <c r="E6" s="102"/>
      <c r="F6" s="102"/>
      <c r="G6" s="102"/>
      <c r="H6" s="102"/>
      <c r="I6" s="102"/>
      <c r="J6" s="102"/>
      <c r="K6" s="102"/>
      <c r="L6" s="102"/>
      <c r="M6" s="102"/>
      <c r="N6" s="102"/>
      <c r="O6" s="102"/>
    </row>
    <row r="9" spans="2:30" ht="23.5">
      <c r="D9" s="107"/>
    </row>
    <row r="10" spans="2:30" ht="23.5">
      <c r="D10" s="107"/>
      <c r="N10" s="110"/>
    </row>
    <row r="11" spans="2:30" ht="23.5">
      <c r="D11" s="107"/>
    </row>
    <row r="14" spans="2:30">
      <c r="D14" s="38"/>
    </row>
  </sheetData>
  <mergeCells count="1">
    <mergeCell ref="D1:M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68E4-665D-4F75-97C8-B8D0C4DE6952}">
  <sheetPr codeName="Sheet11"/>
  <dimension ref="B1:AD14"/>
  <sheetViews>
    <sheetView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7" width="12.453125" style="34" customWidth="1"/>
    <col min="8" max="14" width="13.54296875" style="34" customWidth="1"/>
    <col min="15" max="15" width="15.453125" style="34" customWidth="1"/>
    <col min="16" max="16" width="8.54296875" style="34"/>
    <col min="17" max="17" width="14" style="34" customWidth="1"/>
    <col min="18" max="22" width="7.54296875" style="34" customWidth="1"/>
    <col min="23" max="30" width="12" style="34" customWidth="1"/>
    <col min="31" max="16384" width="8.54296875" style="34"/>
  </cols>
  <sheetData>
    <row r="1" spans="2:30">
      <c r="D1" s="1617" t="s">
        <v>84</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50000000</v>
      </c>
      <c r="D4" s="101">
        <v>50000000</v>
      </c>
      <c r="E4" s="101">
        <v>115000000</v>
      </c>
      <c r="F4" s="101">
        <v>115000000</v>
      </c>
      <c r="G4" s="101">
        <v>115000000</v>
      </c>
      <c r="H4" s="101">
        <v>115000000</v>
      </c>
      <c r="I4" s="101">
        <v>115000000</v>
      </c>
      <c r="J4" s="101">
        <v>115000000</v>
      </c>
      <c r="K4" s="101">
        <v>115000000</v>
      </c>
      <c r="L4" s="101">
        <v>115000000</v>
      </c>
      <c r="M4" s="101">
        <v>115000000</v>
      </c>
      <c r="N4" s="101">
        <v>115000000</v>
      </c>
      <c r="O4" s="101">
        <f>SUM(C4:N4)</f>
        <v>1250000000</v>
      </c>
      <c r="Q4" s="100" t="s">
        <v>75</v>
      </c>
      <c r="R4" s="101"/>
      <c r="S4" s="101"/>
      <c r="T4" s="101"/>
      <c r="U4" s="101"/>
      <c r="V4" s="101"/>
      <c r="W4" s="101">
        <v>114285714</v>
      </c>
      <c r="X4" s="101">
        <v>114285714</v>
      </c>
      <c r="Y4" s="101">
        <v>114285714</v>
      </c>
      <c r="Z4" s="101">
        <v>114285714</v>
      </c>
      <c r="AA4" s="101">
        <v>114285714</v>
      </c>
      <c r="AB4" s="101">
        <v>114285714</v>
      </c>
      <c r="AC4" s="101">
        <v>114285714</v>
      </c>
      <c r="AD4" s="101">
        <v>799999998</v>
      </c>
    </row>
    <row r="5" spans="2:30" ht="29.9" customHeight="1">
      <c r="B5" s="103" t="s">
        <v>76</v>
      </c>
      <c r="C5" s="105"/>
      <c r="D5" s="105"/>
      <c r="E5" s="105"/>
      <c r="F5" s="105"/>
      <c r="G5" s="105"/>
      <c r="H5" s="105"/>
      <c r="I5" s="105"/>
      <c r="J5" s="105"/>
      <c r="K5" s="105"/>
      <c r="L5" s="105"/>
      <c r="M5" s="105"/>
      <c r="N5" s="105"/>
      <c r="O5" s="109"/>
      <c r="Q5" s="103" t="s">
        <v>76</v>
      </c>
      <c r="R5" s="105"/>
      <c r="S5" s="105"/>
      <c r="T5" s="105"/>
      <c r="U5" s="105"/>
      <c r="V5" s="105"/>
      <c r="W5" s="105"/>
      <c r="X5" s="105"/>
      <c r="Y5" s="105"/>
      <c r="Z5" s="105"/>
      <c r="AA5" s="105"/>
      <c r="AB5" s="105"/>
      <c r="AC5" s="105"/>
      <c r="AD5" s="109"/>
    </row>
    <row r="6" spans="2:30" ht="17.899999999999999" customHeight="1"/>
    <row r="9" spans="2:30" ht="23.5">
      <c r="D9" s="107"/>
    </row>
    <row r="10" spans="2:30" ht="23.5">
      <c r="D10" s="107"/>
    </row>
    <row r="11" spans="2:30" ht="23.5">
      <c r="D11" s="107"/>
    </row>
    <row r="14" spans="2:30">
      <c r="D14" s="38"/>
    </row>
  </sheetData>
  <mergeCells count="1">
    <mergeCell ref="D1:M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1324-8512-4B43-AD67-804C6773A451}">
  <sheetPr codeName="Sheet14"/>
  <dimension ref="B1:AD14"/>
  <sheetViews>
    <sheetView zoomScale="115" zoomScaleNormal="115" workbookViewId="0">
      <selection activeCell="O4" sqref="O4"/>
    </sheetView>
  </sheetViews>
  <sheetFormatPr defaultColWidth="8.54296875" defaultRowHeight="14.5"/>
  <cols>
    <col min="1" max="2" width="8.54296875" style="34"/>
    <col min="3" max="3" width="13.906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617" t="s">
        <v>111</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600000000</v>
      </c>
      <c r="D4" s="101">
        <v>600000000</v>
      </c>
      <c r="E4" s="101">
        <v>600000000</v>
      </c>
      <c r="F4" s="101">
        <v>600000000</v>
      </c>
      <c r="G4" s="101">
        <v>600000000</v>
      </c>
      <c r="H4" s="101">
        <v>600000000</v>
      </c>
      <c r="I4" s="101">
        <v>600000000</v>
      </c>
      <c r="J4" s="101">
        <v>600000000</v>
      </c>
      <c r="K4" s="101">
        <v>600000000</v>
      </c>
      <c r="L4" s="101">
        <v>600000000</v>
      </c>
      <c r="M4" s="101">
        <v>600000000</v>
      </c>
      <c r="N4" s="101">
        <v>650000000</v>
      </c>
      <c r="O4" s="101">
        <f>SUM(C4:N4)</f>
        <v>7250000000</v>
      </c>
      <c r="P4" s="102"/>
      <c r="Q4" s="100" t="s">
        <v>75</v>
      </c>
      <c r="R4" s="101"/>
      <c r="S4" s="101"/>
      <c r="T4" s="101"/>
      <c r="U4" s="101"/>
      <c r="V4" s="101"/>
      <c r="W4" s="101">
        <v>357142857</v>
      </c>
      <c r="X4" s="101">
        <v>357142857</v>
      </c>
      <c r="Y4" s="101">
        <v>357142857</v>
      </c>
      <c r="Z4" s="101">
        <v>357142857</v>
      </c>
      <c r="AA4" s="101">
        <v>357142857</v>
      </c>
      <c r="AB4" s="101">
        <v>357142857</v>
      </c>
      <c r="AC4" s="101">
        <v>357142857</v>
      </c>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A4476-E6B4-4EF8-A4C3-A06EB80F6126}">
  <sheetPr codeName="Sheet46"/>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617" t="s">
        <v>111</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v>70000000</v>
      </c>
      <c r="D4" s="101">
        <v>80000000</v>
      </c>
      <c r="E4" s="101">
        <v>85000000</v>
      </c>
      <c r="F4" s="101">
        <v>90000000</v>
      </c>
      <c r="G4" s="101">
        <v>80000000</v>
      </c>
      <c r="H4" s="101">
        <v>85000000</v>
      </c>
      <c r="I4" s="101">
        <v>90000000</v>
      </c>
      <c r="J4" s="101">
        <v>85000000</v>
      </c>
      <c r="K4" s="101">
        <v>90000000</v>
      </c>
      <c r="L4" s="101">
        <v>90000000</v>
      </c>
      <c r="M4" s="101">
        <v>80000000</v>
      </c>
      <c r="N4" s="101">
        <v>75000000</v>
      </c>
      <c r="O4" s="101">
        <f>SUM(C4:N4)</f>
        <v>1000000000</v>
      </c>
      <c r="P4" s="102"/>
      <c r="Q4" s="100" t="s">
        <v>75</v>
      </c>
      <c r="R4" s="101"/>
      <c r="S4" s="101"/>
      <c r="T4" s="101"/>
      <c r="U4" s="101"/>
      <c r="V4" s="101"/>
      <c r="W4" s="101"/>
      <c r="X4" s="101"/>
      <c r="Y4" s="101"/>
      <c r="Z4" s="101"/>
      <c r="AA4" s="101"/>
      <c r="AB4" s="101"/>
      <c r="AC4" s="101"/>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33D49-A1D2-4CE9-ADCF-18441BD97A6F}">
  <sheetPr codeName="Sheet47"/>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617" t="s">
        <v>111</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c r="D4" s="101"/>
      <c r="E4" s="101"/>
      <c r="F4" s="101"/>
      <c r="G4" s="101"/>
      <c r="H4" s="101"/>
      <c r="I4" s="101"/>
      <c r="J4" s="101"/>
      <c r="K4" s="101"/>
      <c r="L4" s="101"/>
      <c r="M4" s="101"/>
      <c r="N4" s="101">
        <v>750000000</v>
      </c>
      <c r="O4" s="101">
        <f>SUM(C4:N4)</f>
        <v>750000000</v>
      </c>
      <c r="P4" s="102"/>
      <c r="Q4" s="100" t="s">
        <v>75</v>
      </c>
      <c r="R4" s="101"/>
      <c r="S4" s="101"/>
      <c r="T4" s="101"/>
      <c r="U4" s="101"/>
      <c r="V4" s="101"/>
      <c r="W4" s="101"/>
      <c r="X4" s="101"/>
      <c r="Y4" s="101"/>
      <c r="Z4" s="101"/>
      <c r="AA4" s="101"/>
      <c r="AB4" s="101"/>
      <c r="AC4" s="101"/>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D1DD-1103-4DEC-A8D2-DA7575ECB4B2}">
  <sheetPr codeName="Sheet48"/>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617" t="s">
        <v>111</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c r="D4" s="101"/>
      <c r="E4" s="101">
        <v>200000000</v>
      </c>
      <c r="F4" s="101"/>
      <c r="G4" s="101"/>
      <c r="H4" s="101">
        <v>200000000</v>
      </c>
      <c r="I4" s="101"/>
      <c r="J4" s="101"/>
      <c r="K4" s="101">
        <v>200000000</v>
      </c>
      <c r="L4" s="101"/>
      <c r="M4" s="101"/>
      <c r="N4" s="101">
        <v>150000000</v>
      </c>
      <c r="O4" s="101">
        <f>SUM(C4:N4)</f>
        <v>750000000</v>
      </c>
      <c r="P4" s="102"/>
      <c r="Q4" s="100" t="s">
        <v>75</v>
      </c>
      <c r="R4" s="101"/>
      <c r="S4" s="101"/>
      <c r="T4" s="101"/>
      <c r="U4" s="101"/>
      <c r="V4" s="101"/>
      <c r="W4" s="101"/>
      <c r="X4" s="101"/>
      <c r="Y4" s="101"/>
      <c r="Z4" s="101"/>
      <c r="AA4" s="101"/>
      <c r="AB4" s="101"/>
      <c r="AC4" s="101"/>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CE89-DAC1-42E5-8067-21E4C1C7E0A3}">
  <sheetPr codeName="Sheet49"/>
  <dimension ref="B1:AD14"/>
  <sheetViews>
    <sheetView zoomScale="85" zoomScaleNormal="85" workbookViewId="0">
      <selection activeCell="O4" sqref="O4"/>
    </sheetView>
  </sheetViews>
  <sheetFormatPr defaultColWidth="8.54296875" defaultRowHeight="14.5"/>
  <cols>
    <col min="1" max="2" width="8.54296875" style="34"/>
    <col min="3" max="3" width="12.453125" style="34" customWidth="1"/>
    <col min="4" max="4" width="13.54296875" style="34" customWidth="1"/>
    <col min="5" max="15" width="15" style="34" customWidth="1"/>
    <col min="16" max="16" width="8.54296875" style="34"/>
    <col min="17" max="17" width="14.54296875" style="34" customWidth="1"/>
    <col min="18" max="22" width="7.54296875" style="34" customWidth="1"/>
    <col min="23" max="29" width="12" style="34" customWidth="1"/>
    <col min="30" max="30" width="13.54296875" style="34" customWidth="1"/>
    <col min="31" max="16384" width="8.54296875" style="34"/>
  </cols>
  <sheetData>
    <row r="1" spans="2:30">
      <c r="D1" s="1617" t="s">
        <v>111</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ht="29.9" customHeight="1">
      <c r="B4" s="100" t="s">
        <v>75</v>
      </c>
      <c r="C4" s="101"/>
      <c r="D4" s="101"/>
      <c r="E4" s="101">
        <v>100000000</v>
      </c>
      <c r="F4" s="101"/>
      <c r="G4" s="101"/>
      <c r="H4" s="101">
        <v>100000000</v>
      </c>
      <c r="I4" s="101"/>
      <c r="J4" s="101">
        <v>100000000</v>
      </c>
      <c r="K4" s="101"/>
      <c r="L4" s="101">
        <v>100000000</v>
      </c>
      <c r="M4" s="101"/>
      <c r="N4" s="101">
        <v>100000000</v>
      </c>
      <c r="O4" s="101">
        <f>SUM(C4:N4)</f>
        <v>500000000</v>
      </c>
      <c r="P4" s="102"/>
      <c r="Q4" s="100" t="s">
        <v>75</v>
      </c>
      <c r="R4" s="101"/>
      <c r="S4" s="101"/>
      <c r="T4" s="101"/>
      <c r="U4" s="101"/>
      <c r="V4" s="101"/>
      <c r="W4" s="101"/>
      <c r="X4" s="101"/>
      <c r="Y4" s="101"/>
      <c r="Z4" s="101"/>
      <c r="AA4" s="101"/>
      <c r="AB4" s="101"/>
      <c r="AC4" s="101"/>
      <c r="AD4" s="101">
        <v>2499999999</v>
      </c>
    </row>
    <row r="5" spans="2:30" ht="29.9" customHeight="1">
      <c r="B5" s="103" t="s">
        <v>76</v>
      </c>
      <c r="C5" s="104"/>
      <c r="D5" s="105"/>
      <c r="E5" s="105"/>
      <c r="F5" s="105"/>
      <c r="G5" s="105"/>
      <c r="H5" s="105"/>
      <c r="I5" s="105"/>
      <c r="J5" s="105"/>
      <c r="K5" s="105"/>
      <c r="L5" s="105"/>
      <c r="M5" s="105"/>
      <c r="N5" s="105"/>
      <c r="O5" s="105">
        <f>SUM(C5:N5)</f>
        <v>0</v>
      </c>
      <c r="Q5" s="103" t="s">
        <v>76</v>
      </c>
      <c r="R5" s="105"/>
      <c r="S5" s="105"/>
      <c r="T5" s="105"/>
      <c r="U5" s="105"/>
      <c r="V5" s="105"/>
      <c r="W5" s="105"/>
      <c r="X5" s="105"/>
      <c r="Y5" s="105"/>
      <c r="Z5" s="105"/>
      <c r="AA5" s="105"/>
      <c r="AB5" s="105"/>
      <c r="AC5" s="105"/>
      <c r="AD5" s="105">
        <v>3346119042</v>
      </c>
    </row>
    <row r="6" spans="2:30" ht="17.899999999999999" customHeight="1">
      <c r="C6" s="589"/>
      <c r="D6" s="102"/>
      <c r="E6" s="102"/>
      <c r="F6" s="102"/>
      <c r="G6" s="102"/>
      <c r="H6" s="102"/>
      <c r="I6" s="102"/>
      <c r="J6" s="102"/>
      <c r="K6" s="102"/>
      <c r="L6" s="102"/>
      <c r="M6" s="102"/>
      <c r="N6" s="102"/>
    </row>
    <row r="9" spans="2:30" ht="23.5">
      <c r="D9" s="107"/>
    </row>
    <row r="10" spans="2:30" ht="23.5">
      <c r="D10" s="107"/>
    </row>
    <row r="11" spans="2:30" ht="23.5">
      <c r="D11" s="107"/>
      <c r="I11" s="108"/>
    </row>
    <row r="14" spans="2:30">
      <c r="D14" s="38"/>
    </row>
  </sheetData>
  <mergeCells count="1">
    <mergeCell ref="D1:M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BBF18-6A17-4E61-8414-094EAED8AB4D}">
  <sheetPr codeName="Sheet50"/>
  <dimension ref="B1:AD6"/>
  <sheetViews>
    <sheetView showGridLines="0" zoomScale="85" zoomScaleNormal="85" workbookViewId="0">
      <selection activeCell="O4" sqref="O4"/>
    </sheetView>
  </sheetViews>
  <sheetFormatPr defaultColWidth="8.54296875" defaultRowHeight="14.5"/>
  <cols>
    <col min="1" max="1" width="8.54296875" style="34"/>
    <col min="2" max="2" width="15.54296875" style="34" customWidth="1"/>
    <col min="3" max="4" width="11.90625" style="34" customWidth="1"/>
    <col min="5" max="5" width="12.54296875" style="34" customWidth="1"/>
    <col min="6" max="7" width="11.90625" style="34" customWidth="1"/>
    <col min="8" max="8" width="12.54296875" style="34" customWidth="1"/>
    <col min="9" max="10" width="11.90625" style="34" customWidth="1"/>
    <col min="11" max="11" width="12.54296875" style="34" customWidth="1"/>
    <col min="12" max="13" width="11.90625" style="34" customWidth="1"/>
    <col min="14" max="14" width="12.54296875" style="34" customWidth="1"/>
    <col min="15" max="15" width="14.54296875" style="34" customWidth="1"/>
    <col min="16" max="16" width="9.54296875" style="34" customWidth="1"/>
    <col min="17" max="17" width="14.90625" style="34" customWidth="1"/>
    <col min="18" max="26" width="7.90625" style="34" customWidth="1"/>
    <col min="27" max="29" width="8.90625" style="34" customWidth="1"/>
    <col min="30" max="30" width="14.54296875" style="34" customWidth="1"/>
    <col min="31" max="16384" width="8.54296875" style="34"/>
  </cols>
  <sheetData>
    <row r="1" spans="2:30">
      <c r="D1" s="1617" t="s">
        <v>176</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c r="B4" s="100" t="s">
        <v>75</v>
      </c>
      <c r="C4" s="101"/>
      <c r="D4" s="101"/>
      <c r="E4" s="101">
        <v>235000000</v>
      </c>
      <c r="F4" s="101"/>
      <c r="G4" s="101"/>
      <c r="H4" s="101">
        <v>235000000</v>
      </c>
      <c r="I4" s="101"/>
      <c r="J4" s="101"/>
      <c r="K4" s="101">
        <v>235000000</v>
      </c>
      <c r="L4" s="101"/>
      <c r="M4" s="101"/>
      <c r="N4" s="101">
        <v>295000000</v>
      </c>
      <c r="O4" s="101">
        <f>SUM(C4:N4)</f>
        <v>1000000000</v>
      </c>
      <c r="P4" s="102"/>
      <c r="Q4" s="100" t="s">
        <v>75</v>
      </c>
      <c r="R4" s="101"/>
      <c r="S4" s="101"/>
      <c r="T4" s="101"/>
      <c r="U4" s="101"/>
      <c r="V4" s="101"/>
      <c r="W4" s="101"/>
      <c r="X4" s="101">
        <v>0</v>
      </c>
      <c r="Y4" s="101"/>
      <c r="Z4" s="101"/>
      <c r="AA4" s="101"/>
      <c r="AB4" s="101"/>
      <c r="AC4" s="101"/>
      <c r="AD4" s="101"/>
    </row>
    <row r="5" spans="2:30">
      <c r="B5" s="103" t="s">
        <v>76</v>
      </c>
      <c r="C5" s="104"/>
      <c r="D5" s="105"/>
      <c r="E5" s="105"/>
      <c r="F5" s="105"/>
      <c r="G5" s="105"/>
      <c r="H5" s="105"/>
      <c r="I5" s="105"/>
      <c r="J5" s="105"/>
      <c r="K5" s="105"/>
      <c r="L5" s="105"/>
      <c r="M5" s="105"/>
      <c r="N5" s="105"/>
      <c r="O5" s="106">
        <f>SUM(C5:N5)</f>
        <v>0</v>
      </c>
      <c r="Q5" s="103" t="s">
        <v>76</v>
      </c>
      <c r="R5" s="105"/>
      <c r="S5" s="105"/>
      <c r="T5" s="105"/>
      <c r="U5" s="105"/>
      <c r="V5" s="105"/>
      <c r="W5" s="105"/>
      <c r="X5" s="105"/>
      <c r="Y5" s="105"/>
      <c r="Z5" s="105"/>
      <c r="AA5" s="105"/>
      <c r="AB5" s="105"/>
      <c r="AC5" s="105"/>
      <c r="AD5" s="106">
        <v>2212111458</v>
      </c>
    </row>
    <row r="6" spans="2:30">
      <c r="C6" s="589"/>
      <c r="D6" s="102"/>
      <c r="E6" s="102"/>
      <c r="F6" s="102"/>
      <c r="G6" s="102"/>
      <c r="H6" s="102"/>
      <c r="I6" s="102"/>
      <c r="J6" s="102"/>
      <c r="K6" s="102"/>
      <c r="L6" s="102"/>
      <c r="M6" s="102"/>
      <c r="N6" s="102"/>
    </row>
  </sheetData>
  <mergeCells count="1">
    <mergeCell ref="D1:M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01983-C893-4824-9BFF-7B461B4463E3}">
  <sheetPr codeName="Sheet3"/>
  <dimension ref="B1:AD14"/>
  <sheetViews>
    <sheetView showGridLines="0" zoomScale="85" zoomScaleNormal="85" workbookViewId="0">
      <selection activeCell="G4" sqref="G4"/>
    </sheetView>
  </sheetViews>
  <sheetFormatPr defaultColWidth="8.54296875" defaultRowHeight="14.5"/>
  <cols>
    <col min="1" max="1" width="8.54296875" style="34"/>
    <col min="2" max="2" width="15" style="34" customWidth="1"/>
    <col min="3" max="3" width="16.453125" style="34" customWidth="1"/>
    <col min="4" max="5" width="14.54296875" style="34" customWidth="1"/>
    <col min="6" max="6" width="14.453125" style="34" customWidth="1"/>
    <col min="7" max="8" width="15.54296875" style="34" customWidth="1"/>
    <col min="9" max="14" width="12.453125" style="34" customWidth="1"/>
    <col min="15" max="15" width="17.453125" style="34" customWidth="1"/>
    <col min="16" max="16" width="8.54296875" style="34"/>
    <col min="17" max="17" width="15.453125" style="34" customWidth="1"/>
    <col min="18" max="29" width="12.90625" style="34" customWidth="1"/>
    <col min="30" max="30" width="14.08984375" style="34" customWidth="1"/>
    <col min="31" max="16384" width="8.54296875" style="34"/>
  </cols>
  <sheetData>
    <row r="1" spans="2:30">
      <c r="D1" s="1617" t="s">
        <v>61</v>
      </c>
      <c r="E1" s="1617"/>
      <c r="F1" s="1617"/>
      <c r="G1" s="1617"/>
      <c r="H1" s="1617"/>
      <c r="I1" s="1617"/>
      <c r="J1" s="1617"/>
      <c r="K1" s="1617"/>
      <c r="L1" s="1617"/>
      <c r="M1" s="1617"/>
    </row>
    <row r="2" spans="2:30">
      <c r="D2" s="1618"/>
      <c r="E2" s="1618"/>
      <c r="F2" s="1618"/>
      <c r="G2" s="1618"/>
      <c r="H2" s="1618"/>
      <c r="I2" s="1618"/>
      <c r="J2" s="1618"/>
      <c r="K2" s="1618"/>
      <c r="L2" s="1618"/>
      <c r="M2" s="1618"/>
    </row>
    <row r="3" spans="2:30">
      <c r="B3" s="97"/>
      <c r="C3" s="98" t="s">
        <v>62</v>
      </c>
      <c r="D3" s="98" t="s">
        <v>63</v>
      </c>
      <c r="E3" s="98" t="s">
        <v>64</v>
      </c>
      <c r="F3" s="98" t="s">
        <v>65</v>
      </c>
      <c r="G3" s="98" t="s">
        <v>66</v>
      </c>
      <c r="H3" s="98" t="s">
        <v>67</v>
      </c>
      <c r="I3" s="98" t="s">
        <v>68</v>
      </c>
      <c r="J3" s="98" t="s">
        <v>69</v>
      </c>
      <c r="K3" s="98" t="s">
        <v>70</v>
      </c>
      <c r="L3" s="98" t="s">
        <v>71</v>
      </c>
      <c r="M3" s="98" t="s">
        <v>72</v>
      </c>
      <c r="N3" s="98" t="s">
        <v>73</v>
      </c>
      <c r="O3" s="99" t="s">
        <v>678</v>
      </c>
      <c r="Q3" s="97"/>
      <c r="R3" s="98" t="s">
        <v>62</v>
      </c>
      <c r="S3" s="98" t="s">
        <v>63</v>
      </c>
      <c r="T3" s="98" t="s">
        <v>64</v>
      </c>
      <c r="U3" s="98" t="s">
        <v>65</v>
      </c>
      <c r="V3" s="98" t="s">
        <v>66</v>
      </c>
      <c r="W3" s="98" t="s">
        <v>67</v>
      </c>
      <c r="X3" s="98" t="s">
        <v>68</v>
      </c>
      <c r="Y3" s="98" t="s">
        <v>69</v>
      </c>
      <c r="Z3" s="98" t="s">
        <v>70</v>
      </c>
      <c r="AA3" s="98" t="s">
        <v>71</v>
      </c>
      <c r="AB3" s="98" t="s">
        <v>72</v>
      </c>
      <c r="AC3" s="98" t="s">
        <v>73</v>
      </c>
      <c r="AD3" s="99" t="s">
        <v>74</v>
      </c>
    </row>
    <row r="4" spans="2:30">
      <c r="B4" s="100" t="s">
        <v>75</v>
      </c>
      <c r="C4" s="101">
        <v>425000000</v>
      </c>
      <c r="D4" s="101">
        <v>425000000</v>
      </c>
      <c r="E4" s="101">
        <v>425000000</v>
      </c>
      <c r="F4" s="101">
        <v>425000000</v>
      </c>
      <c r="G4" s="101">
        <v>425000000</v>
      </c>
      <c r="H4" s="101">
        <v>425000000</v>
      </c>
      <c r="I4" s="101">
        <v>425000000</v>
      </c>
      <c r="J4" s="101">
        <v>425000000</v>
      </c>
      <c r="K4" s="101">
        <v>425000000</v>
      </c>
      <c r="L4" s="101">
        <v>425000000</v>
      </c>
      <c r="M4" s="101">
        <v>500000000</v>
      </c>
      <c r="N4" s="101">
        <v>500000000</v>
      </c>
      <c r="O4" s="101">
        <f>SUM(C4:N4)</f>
        <v>5250000000</v>
      </c>
      <c r="P4" s="102"/>
      <c r="Q4" s="100" t="s">
        <v>75</v>
      </c>
      <c r="R4" s="101">
        <v>167000000</v>
      </c>
      <c r="S4" s="101">
        <v>167000000</v>
      </c>
      <c r="T4" s="101">
        <v>167000000</v>
      </c>
      <c r="U4" s="101">
        <v>167000000</v>
      </c>
      <c r="V4" s="101">
        <v>167000000</v>
      </c>
      <c r="W4" s="101">
        <v>167000000</v>
      </c>
      <c r="X4" s="101">
        <v>167000000</v>
      </c>
      <c r="Y4" s="101">
        <v>167000000</v>
      </c>
      <c r="Z4" s="101">
        <v>167000000</v>
      </c>
      <c r="AA4" s="101">
        <v>167000000</v>
      </c>
      <c r="AB4" s="101">
        <v>167000000</v>
      </c>
      <c r="AC4" s="101">
        <v>167000000</v>
      </c>
      <c r="AD4" s="101">
        <v>2004000000</v>
      </c>
    </row>
    <row r="5" spans="2:30">
      <c r="B5" s="103" t="s">
        <v>76</v>
      </c>
      <c r="C5" s="105"/>
      <c r="D5" s="105"/>
      <c r="E5" s="105"/>
      <c r="F5" s="105"/>
      <c r="G5" s="105"/>
      <c r="H5" s="105"/>
      <c r="I5" s="105"/>
      <c r="J5" s="105"/>
      <c r="K5" s="105"/>
      <c r="L5" s="105"/>
      <c r="M5" s="105"/>
      <c r="N5" s="105"/>
      <c r="O5" s="129">
        <f>SUM(C5:N5)</f>
        <v>0</v>
      </c>
      <c r="Q5" s="103" t="s">
        <v>76</v>
      </c>
      <c r="R5" s="105"/>
      <c r="S5" s="105"/>
      <c r="T5" s="105"/>
      <c r="U5" s="105"/>
      <c r="V5" s="105"/>
      <c r="W5" s="105"/>
      <c r="X5" s="105"/>
      <c r="Y5" s="105"/>
      <c r="Z5" s="105"/>
      <c r="AA5" s="105"/>
      <c r="AB5" s="105"/>
      <c r="AC5" s="105"/>
      <c r="AD5" s="129"/>
    </row>
    <row r="6" spans="2:30" ht="17.899999999999999" customHeight="1">
      <c r="C6" s="102"/>
      <c r="D6" s="102"/>
      <c r="E6" s="102"/>
      <c r="F6" s="102"/>
      <c r="G6" s="102"/>
      <c r="H6" s="102"/>
      <c r="I6" s="102"/>
      <c r="J6" s="102"/>
      <c r="K6" s="102"/>
      <c r="O6" s="102"/>
    </row>
    <row r="7" spans="2:30" ht="16.399999999999999" customHeight="1"/>
    <row r="8" spans="2:30" ht="16.399999999999999" customHeight="1">
      <c r="E8" s="107"/>
      <c r="G8" s="124"/>
      <c r="H8" s="107"/>
    </row>
    <row r="9" spans="2:30" ht="16.399999999999999" customHeight="1">
      <c r="C9" s="38"/>
      <c r="E9" s="107"/>
      <c r="G9" s="124"/>
      <c r="H9" s="107"/>
    </row>
    <row r="10" spans="2:30" ht="16.399999999999999" customHeight="1">
      <c r="D10" s="38"/>
      <c r="E10" s="38"/>
    </row>
    <row r="11" spans="2:30" ht="16.399999999999999" customHeight="1">
      <c r="G11" s="90"/>
      <c r="H11" s="90"/>
      <c r="I11" s="90"/>
      <c r="J11" s="90"/>
      <c r="K11" s="90"/>
      <c r="L11" s="90"/>
    </row>
    <row r="12" spans="2:30" ht="16.399999999999999" customHeight="1">
      <c r="G12" s="90"/>
      <c r="H12" s="90"/>
      <c r="I12" s="90"/>
      <c r="J12" s="90"/>
      <c r="K12" s="90"/>
      <c r="L12" s="90"/>
    </row>
    <row r="13" spans="2:30" ht="16.399999999999999" customHeight="1">
      <c r="G13" s="90"/>
      <c r="H13" s="90"/>
      <c r="I13" s="90"/>
      <c r="J13" s="90"/>
      <c r="K13" s="90"/>
      <c r="L13" s="90"/>
    </row>
    <row r="14" spans="2:30" ht="16.399999999999999" customHeight="1"/>
  </sheetData>
  <mergeCells count="1">
    <mergeCell ref="D1:M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EB3C0-A906-45B2-9B03-EBF8654B141F}">
  <sheetPr codeName="Sheet51">
    <tabColor theme="6"/>
  </sheetPr>
  <dimension ref="A1"/>
  <sheetViews>
    <sheetView workbookViewId="0">
      <selection activeCell="O40" sqref="O40"/>
    </sheetView>
  </sheetViews>
  <sheetFormatPr defaultRowHeight="14.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70D33-A61D-49FA-82F3-705CC8CCCE9F}">
  <sheetPr codeName="Sheet52"/>
  <dimension ref="A1:C36"/>
  <sheetViews>
    <sheetView showGridLines="0" zoomScaleNormal="100" workbookViewId="0">
      <selection activeCell="A19" sqref="A19:A36"/>
    </sheetView>
  </sheetViews>
  <sheetFormatPr defaultColWidth="8.54296875" defaultRowHeight="14.5"/>
  <cols>
    <col min="1" max="1" width="27.453125" style="34" customWidth="1"/>
    <col min="2" max="2" width="49.453125" style="34" customWidth="1"/>
    <col min="3" max="3" width="64.54296875" style="34" customWidth="1"/>
    <col min="4" max="16384" width="8.54296875" style="34"/>
  </cols>
  <sheetData>
    <row r="1" spans="1:3" ht="26">
      <c r="A1" s="130" t="s">
        <v>208</v>
      </c>
    </row>
    <row r="2" spans="1:3" ht="15" thickBot="1"/>
    <row r="3" spans="1:3" ht="16.5" thickBot="1">
      <c r="A3" s="131" t="s">
        <v>0</v>
      </c>
      <c r="B3" s="132" t="s">
        <v>162</v>
      </c>
      <c r="C3" s="132" t="s">
        <v>163</v>
      </c>
    </row>
    <row r="4" spans="1:3" ht="16">
      <c r="A4" s="243">
        <v>1</v>
      </c>
      <c r="B4" s="244" t="s">
        <v>164</v>
      </c>
      <c r="C4" s="245" t="s">
        <v>165</v>
      </c>
    </row>
    <row r="5" spans="1:3" ht="16">
      <c r="A5" s="246">
        <v>2</v>
      </c>
      <c r="B5" s="247" t="s">
        <v>31</v>
      </c>
      <c r="C5" s="248" t="s">
        <v>166</v>
      </c>
    </row>
    <row r="6" spans="1:3" ht="16">
      <c r="A6" s="246">
        <v>3</v>
      </c>
      <c r="B6" s="247" t="s">
        <v>167</v>
      </c>
      <c r="C6" s="248" t="s">
        <v>168</v>
      </c>
    </row>
    <row r="7" spans="1:3" ht="16">
      <c r="A7" s="246">
        <v>4</v>
      </c>
      <c r="B7" s="247" t="s">
        <v>169</v>
      </c>
      <c r="C7" s="248" t="s">
        <v>170</v>
      </c>
    </row>
    <row r="8" spans="1:3" ht="16">
      <c r="A8" s="246">
        <v>5</v>
      </c>
      <c r="B8" s="247" t="s">
        <v>171</v>
      </c>
      <c r="C8" s="248" t="s">
        <v>172</v>
      </c>
    </row>
    <row r="9" spans="1:3" ht="16">
      <c r="A9" s="246">
        <v>6</v>
      </c>
      <c r="B9" s="247" t="s">
        <v>173</v>
      </c>
      <c r="C9" s="248" t="s">
        <v>174</v>
      </c>
    </row>
    <row r="10" spans="1:3" ht="15.65" customHeight="1">
      <c r="A10" s="246">
        <v>7</v>
      </c>
      <c r="B10" s="247" t="s">
        <v>361</v>
      </c>
      <c r="C10" s="248"/>
    </row>
    <row r="11" spans="1:3" ht="16.5" thickBot="1">
      <c r="A11" s="249">
        <v>8</v>
      </c>
      <c r="B11" s="250" t="s">
        <v>175</v>
      </c>
      <c r="C11" s="250"/>
    </row>
    <row r="18" spans="1:3">
      <c r="A18" s="35" t="s">
        <v>337</v>
      </c>
      <c r="C18" s="35" t="s">
        <v>398</v>
      </c>
    </row>
    <row r="19" spans="1:3">
      <c r="A19" s="36" t="s">
        <v>18</v>
      </c>
      <c r="C19" s="264" t="s">
        <v>117</v>
      </c>
    </row>
    <row r="20" spans="1:3">
      <c r="A20" s="36" t="s">
        <v>25</v>
      </c>
      <c r="C20" s="264" t="s">
        <v>118</v>
      </c>
    </row>
    <row r="21" spans="1:3">
      <c r="A21" s="36" t="s">
        <v>31</v>
      </c>
      <c r="C21" s="264" t="s">
        <v>119</v>
      </c>
    </row>
    <row r="22" spans="1:3">
      <c r="A22" s="36" t="s">
        <v>36</v>
      </c>
    </row>
    <row r="23" spans="1:3">
      <c r="A23" s="36" t="s">
        <v>38</v>
      </c>
    </row>
    <row r="24" spans="1:3">
      <c r="A24" s="36" t="s">
        <v>58</v>
      </c>
    </row>
    <row r="25" spans="1:3">
      <c r="A25" s="36" t="s">
        <v>181</v>
      </c>
    </row>
    <row r="26" spans="1:3">
      <c r="A26" s="36" t="s">
        <v>182</v>
      </c>
    </row>
    <row r="27" spans="1:3">
      <c r="A27" s="36" t="s">
        <v>580</v>
      </c>
    </row>
    <row r="28" spans="1:3">
      <c r="A28" s="36" t="s">
        <v>572</v>
      </c>
    </row>
    <row r="29" spans="1:3">
      <c r="A29" s="36" t="s">
        <v>354</v>
      </c>
    </row>
    <row r="30" spans="1:3">
      <c r="A30" s="36" t="s">
        <v>331</v>
      </c>
    </row>
    <row r="31" spans="1:3">
      <c r="A31" s="36" t="s">
        <v>693</v>
      </c>
    </row>
    <row r="32" spans="1:3">
      <c r="A32" s="36" t="s">
        <v>717</v>
      </c>
    </row>
    <row r="33" spans="1:1">
      <c r="A33" s="36" t="s">
        <v>716</v>
      </c>
    </row>
    <row r="34" spans="1:1">
      <c r="A34" s="36" t="s">
        <v>75</v>
      </c>
    </row>
    <row r="35" spans="1:1">
      <c r="A35" s="36" t="s">
        <v>718</v>
      </c>
    </row>
    <row r="36" spans="1:1">
      <c r="A36" s="36" t="s">
        <v>908</v>
      </c>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3"/>
  <dimension ref="B2:M10"/>
  <sheetViews>
    <sheetView showGridLines="0" workbookViewId="0">
      <selection activeCell="J49" sqref="J49"/>
    </sheetView>
  </sheetViews>
  <sheetFormatPr defaultColWidth="9.453125" defaultRowHeight="14.5"/>
  <cols>
    <col min="1" max="1" width="3.453125" style="14" customWidth="1"/>
    <col min="2" max="2" width="37.453125" style="14" customWidth="1"/>
    <col min="3" max="3" width="12.54296875" style="10" customWidth="1"/>
    <col min="4" max="13" width="12" style="10" customWidth="1"/>
    <col min="14" max="16384" width="9.453125" style="14"/>
  </cols>
  <sheetData>
    <row r="2" spans="2:13">
      <c r="B2" s="26" t="s">
        <v>102</v>
      </c>
    </row>
    <row r="3" spans="2:13">
      <c r="B3" s="15" t="s">
        <v>103</v>
      </c>
      <c r="C3" s="11">
        <v>45</v>
      </c>
      <c r="D3" s="11">
        <v>46</v>
      </c>
      <c r="E3" s="11">
        <v>47</v>
      </c>
      <c r="F3" s="11">
        <v>48</v>
      </c>
      <c r="G3" s="11">
        <v>49</v>
      </c>
      <c r="H3" s="11">
        <v>50</v>
      </c>
      <c r="I3" s="11">
        <v>51</v>
      </c>
      <c r="J3" s="11">
        <v>52</v>
      </c>
      <c r="K3" s="11">
        <v>53</v>
      </c>
      <c r="L3" s="11">
        <v>54</v>
      </c>
      <c r="M3" s="11">
        <v>55</v>
      </c>
    </row>
    <row r="4" spans="2:13" s="16" customFormat="1" ht="12.5">
      <c r="B4" s="16" t="s">
        <v>104</v>
      </c>
      <c r="C4" s="12">
        <v>4000000</v>
      </c>
      <c r="D4" s="12">
        <v>6000000</v>
      </c>
      <c r="E4" s="12">
        <v>8000000</v>
      </c>
      <c r="F4" s="12">
        <v>10000000</v>
      </c>
      <c r="G4" s="12">
        <v>12000000</v>
      </c>
      <c r="H4" s="12">
        <v>14000000</v>
      </c>
      <c r="I4" s="12">
        <v>16000000</v>
      </c>
      <c r="J4" s="12">
        <v>18000000</v>
      </c>
      <c r="K4" s="12">
        <v>20000000</v>
      </c>
      <c r="L4" s="12">
        <v>22000000</v>
      </c>
      <c r="M4" s="12">
        <v>24000000</v>
      </c>
    </row>
    <row r="5" spans="2:13" ht="13">
      <c r="B5" s="17" t="s">
        <v>105</v>
      </c>
      <c r="C5" s="13">
        <f t="shared" ref="C5:M5" si="0">C4/26/8</f>
        <v>19230.76923076923</v>
      </c>
      <c r="D5" s="13">
        <f t="shared" si="0"/>
        <v>28846.153846153848</v>
      </c>
      <c r="E5" s="13">
        <f t="shared" si="0"/>
        <v>38461.538461538461</v>
      </c>
      <c r="F5" s="13">
        <f t="shared" si="0"/>
        <v>48076.923076923078</v>
      </c>
      <c r="G5" s="13">
        <f t="shared" si="0"/>
        <v>57692.307692307695</v>
      </c>
      <c r="H5" s="13">
        <f t="shared" si="0"/>
        <v>67307.692307692312</v>
      </c>
      <c r="I5" s="13">
        <f t="shared" si="0"/>
        <v>76923.076923076922</v>
      </c>
      <c r="J5" s="13">
        <f t="shared" si="0"/>
        <v>86538.461538461532</v>
      </c>
      <c r="K5" s="13">
        <f t="shared" si="0"/>
        <v>96153.846153846156</v>
      </c>
      <c r="L5" s="13">
        <f t="shared" si="0"/>
        <v>105769.23076923077</v>
      </c>
      <c r="M5" s="13">
        <f t="shared" si="0"/>
        <v>115384.61538461539</v>
      </c>
    </row>
    <row r="8" spans="2:13" s="22" customFormat="1" ht="29">
      <c r="B8" s="27" t="s">
        <v>106</v>
      </c>
      <c r="C8" s="24" t="s">
        <v>107</v>
      </c>
      <c r="D8" s="24" t="s">
        <v>108</v>
      </c>
      <c r="E8" s="23"/>
      <c r="F8" s="23"/>
      <c r="G8" s="23"/>
      <c r="H8" s="23"/>
      <c r="I8" s="23"/>
      <c r="J8" s="23"/>
      <c r="K8" s="23"/>
      <c r="L8" s="23"/>
      <c r="M8" s="23"/>
    </row>
    <row r="9" spans="2:13">
      <c r="B9" s="14" t="s">
        <v>109</v>
      </c>
      <c r="C9" s="25">
        <v>200000</v>
      </c>
      <c r="D9" s="25">
        <v>300000</v>
      </c>
    </row>
    <row r="10" spans="2:13">
      <c r="B10" s="14" t="s">
        <v>110</v>
      </c>
      <c r="C10" s="10">
        <f>C9*26</f>
        <v>5200000</v>
      </c>
      <c r="D10" s="10">
        <f>D9*26</f>
        <v>7800000</v>
      </c>
    </row>
  </sheetData>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tabColor rgb="FF00B0F0"/>
  </sheetPr>
  <dimension ref="B5:N12"/>
  <sheetViews>
    <sheetView showGridLines="0" workbookViewId="0">
      <selection activeCell="J49" sqref="J49"/>
    </sheetView>
  </sheetViews>
  <sheetFormatPr defaultRowHeight="14.5"/>
  <cols>
    <col min="1" max="1" width="1.54296875" customWidth="1"/>
    <col min="2" max="2" width="27.453125" customWidth="1"/>
    <col min="3" max="3" width="12" customWidth="1"/>
    <col min="4" max="4" width="16.453125" customWidth="1"/>
    <col min="5" max="6" width="8.453125" customWidth="1"/>
    <col min="7" max="7" width="13.453125" customWidth="1"/>
    <col min="8" max="9" width="9.54296875" customWidth="1"/>
    <col min="10" max="10" width="17" customWidth="1"/>
    <col min="11" max="11" width="15.54296875" customWidth="1"/>
    <col min="12" max="12" width="13.453125" customWidth="1"/>
    <col min="13" max="13" width="14.54296875" customWidth="1"/>
    <col min="14" max="14" width="46.453125" customWidth="1"/>
  </cols>
  <sheetData>
    <row r="5" spans="2:14" s="1" customFormat="1" ht="86.25" customHeight="1">
      <c r="B5" s="2" t="s">
        <v>85</v>
      </c>
      <c r="C5" s="2" t="s">
        <v>86</v>
      </c>
      <c r="D5" s="2" t="s">
        <v>87</v>
      </c>
      <c r="E5" s="1619" t="s">
        <v>88</v>
      </c>
      <c r="F5" s="1619"/>
      <c r="G5" s="9" t="s">
        <v>89</v>
      </c>
      <c r="H5" s="1620" t="s">
        <v>90</v>
      </c>
      <c r="I5" s="1621"/>
      <c r="J5" s="8" t="s">
        <v>91</v>
      </c>
      <c r="K5" s="7" t="s">
        <v>92</v>
      </c>
      <c r="L5" s="32" t="s">
        <v>93</v>
      </c>
      <c r="M5" s="31" t="s">
        <v>94</v>
      </c>
      <c r="N5" s="2" t="s">
        <v>95</v>
      </c>
    </row>
    <row r="6" spans="2:14" s="1" customFormat="1" ht="15.75" customHeight="1">
      <c r="B6" s="3"/>
      <c r="C6" s="3"/>
      <c r="D6" s="4"/>
      <c r="E6" s="4" t="s">
        <v>96</v>
      </c>
      <c r="F6" s="4" t="s">
        <v>97</v>
      </c>
      <c r="G6" s="4"/>
      <c r="H6" s="4" t="s">
        <v>96</v>
      </c>
      <c r="I6" s="4" t="s">
        <v>97</v>
      </c>
      <c r="J6" s="4"/>
      <c r="K6" s="4"/>
      <c r="L6" s="4"/>
      <c r="M6" s="4"/>
      <c r="N6" s="3"/>
    </row>
    <row r="7" spans="2:14" s="33" customFormat="1" ht="107.25" customHeight="1">
      <c r="B7" s="28" t="s">
        <v>98</v>
      </c>
      <c r="C7" s="28" t="s">
        <v>99</v>
      </c>
      <c r="D7" s="29">
        <f>40*26</f>
        <v>1040</v>
      </c>
      <c r="E7" s="30">
        <f>10/60</f>
        <v>0.16666666666666666</v>
      </c>
      <c r="F7" s="30">
        <f>5/60</f>
        <v>8.3333333333333329E-2</v>
      </c>
      <c r="G7" s="30">
        <f>(E7-F7)*D7</f>
        <v>86.666666666666657</v>
      </c>
      <c r="H7" s="29">
        <f>'VD Cấu trúc lương theo bậc'!E5*E7</f>
        <v>6410.2564102564102</v>
      </c>
      <c r="I7" s="29">
        <f>'VD Cấu trúc lương theo bậc'!E5*'Tiết kiệm quy đổi từ cải tiến'!F7</f>
        <v>3205.1282051282051</v>
      </c>
      <c r="J7" s="29">
        <f>(H7-I7)*D7</f>
        <v>3333333.3333333335</v>
      </c>
      <c r="K7" s="29">
        <f>J7*12</f>
        <v>40000000</v>
      </c>
      <c r="L7" s="29">
        <f>29500000/3</f>
        <v>9833333.333333334</v>
      </c>
      <c r="M7" s="29">
        <f>K7-L7</f>
        <v>30166666.666666664</v>
      </c>
      <c r="N7" s="28" t="s">
        <v>100</v>
      </c>
    </row>
    <row r="8" spans="2:14" hidden="1">
      <c r="B8" s="18"/>
      <c r="C8" s="18"/>
      <c r="D8" s="19"/>
      <c r="E8" s="20"/>
      <c r="F8" s="20"/>
      <c r="G8" s="20">
        <f>(E8-F8)*D8</f>
        <v>0</v>
      </c>
      <c r="H8" s="19"/>
      <c r="I8" s="19"/>
      <c r="J8" s="19">
        <f t="shared" ref="J8:J11" si="0">(H8-I8)*D8</f>
        <v>0</v>
      </c>
      <c r="K8" s="19">
        <f t="shared" ref="K8:K11" si="1">J8*12</f>
        <v>0</v>
      </c>
      <c r="L8" s="19"/>
      <c r="M8" s="19"/>
      <c r="N8" s="18"/>
    </row>
    <row r="9" spans="2:14" hidden="1">
      <c r="B9" s="18"/>
      <c r="C9" s="18"/>
      <c r="D9" s="19"/>
      <c r="E9" s="20"/>
      <c r="F9" s="20"/>
      <c r="G9" s="20">
        <f>(E9-F9)*D9</f>
        <v>0</v>
      </c>
      <c r="H9" s="19"/>
      <c r="I9" s="19"/>
      <c r="J9" s="19">
        <f t="shared" si="0"/>
        <v>0</v>
      </c>
      <c r="K9" s="19">
        <f t="shared" si="1"/>
        <v>0</v>
      </c>
      <c r="L9" s="19"/>
      <c r="M9" s="19"/>
      <c r="N9" s="18"/>
    </row>
    <row r="10" spans="2:14" hidden="1">
      <c r="B10" s="18"/>
      <c r="C10" s="18"/>
      <c r="D10" s="19"/>
      <c r="E10" s="20"/>
      <c r="F10" s="20"/>
      <c r="G10" s="20">
        <f>(E10-F10)*D10</f>
        <v>0</v>
      </c>
      <c r="H10" s="19"/>
      <c r="I10" s="19"/>
      <c r="J10" s="19">
        <f t="shared" si="0"/>
        <v>0</v>
      </c>
      <c r="K10" s="19">
        <f t="shared" si="1"/>
        <v>0</v>
      </c>
      <c r="L10" s="19"/>
      <c r="M10" s="19"/>
      <c r="N10" s="18"/>
    </row>
    <row r="11" spans="2:14" hidden="1">
      <c r="B11" s="18"/>
      <c r="C11" s="18"/>
      <c r="D11" s="19"/>
      <c r="E11" s="20"/>
      <c r="F11" s="20"/>
      <c r="G11" s="20">
        <f>(E11-F11)*D11</f>
        <v>0</v>
      </c>
      <c r="H11" s="19"/>
      <c r="I11" s="19"/>
      <c r="J11" s="19">
        <f t="shared" si="0"/>
        <v>0</v>
      </c>
      <c r="K11" s="19">
        <f t="shared" si="1"/>
        <v>0</v>
      </c>
      <c r="L11" s="19"/>
      <c r="M11" s="19"/>
      <c r="N11" s="18"/>
    </row>
    <row r="12" spans="2:14">
      <c r="B12" s="5" t="s">
        <v>101</v>
      </c>
      <c r="C12" s="21"/>
      <c r="D12" s="21"/>
      <c r="E12" s="21">
        <f t="shared" ref="E12:K12" si="2">SUM(E7:E11)</f>
        <v>0.16666666666666666</v>
      </c>
      <c r="F12" s="21">
        <f t="shared" si="2"/>
        <v>8.3333333333333329E-2</v>
      </c>
      <c r="G12" s="21">
        <f t="shared" si="2"/>
        <v>86.666666666666657</v>
      </c>
      <c r="H12" s="6">
        <f t="shared" si="2"/>
        <v>6410.2564102564102</v>
      </c>
      <c r="I12" s="6">
        <f t="shared" si="2"/>
        <v>3205.1282051282051</v>
      </c>
      <c r="J12" s="6">
        <f t="shared" si="2"/>
        <v>3333333.3333333335</v>
      </c>
      <c r="K12" s="6">
        <f t="shared" si="2"/>
        <v>40000000</v>
      </c>
      <c r="L12" s="6"/>
      <c r="M12" s="6"/>
      <c r="N12" s="5"/>
    </row>
  </sheetData>
  <mergeCells count="2">
    <mergeCell ref="E5:F5"/>
    <mergeCell ref="H5:I5"/>
  </mergeCells>
  <pageMargins left="0" right="0" top="0.75" bottom="0.75" header="0.3" footer="0.3"/>
  <pageSetup paperSize="9" scale="6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3</vt:i4>
      </vt:variant>
    </vt:vector>
  </HeadingPairs>
  <TitlesOfParts>
    <vt:vector size="55" baseType="lpstr">
      <vt:lpstr>&gt;PowerPoint</vt:lpstr>
      <vt:lpstr>Định nghĩa</vt:lpstr>
      <vt:lpstr>Nội dung</vt:lpstr>
      <vt:lpstr>Trình bày</vt:lpstr>
      <vt:lpstr>Tóm tắt</vt:lpstr>
      <vt:lpstr>Thống kê theo phân loại</vt:lpstr>
      <vt:lpstr>GTTK chung</vt:lpstr>
      <vt:lpstr>tiết kiệm CP-tấn</vt:lpstr>
      <vt:lpstr>PET-HDPE</vt:lpstr>
      <vt:lpstr>||</vt:lpstr>
      <vt:lpstr>Chụp hình</vt:lpstr>
      <vt:lpstr>Trình Bày-Tháng-DIỄM</vt:lpstr>
      <vt:lpstr>Data-Vẽ-Tháng</vt:lpstr>
      <vt:lpstr>Trình Bày-LK</vt:lpstr>
      <vt:lpstr>Data-Vẽ-LK</vt:lpstr>
      <vt:lpstr>Trình Bày-MoM</vt:lpstr>
      <vt:lpstr>Data-Vẽ -MoM</vt:lpstr>
      <vt:lpstr>Trình Bày-CYvsPY-DIỄM</vt:lpstr>
      <vt:lpstr>Data-Vẽ -CYvsPY</vt:lpstr>
      <vt:lpstr>Tác động-GM</vt:lpstr>
      <vt:lpstr>Tác động-GM-Nháp</vt:lpstr>
      <vt:lpstr>Tác động-GM-Data</vt:lpstr>
      <vt:lpstr>Data_Rửa</vt:lpstr>
      <vt:lpstr>Nháp</vt:lpstr>
      <vt:lpstr>Nháp_2</vt:lpstr>
      <vt:lpstr>&gt;KMP</vt:lpstr>
      <vt:lpstr>18 KMP- Tháng (Tâm)</vt:lpstr>
      <vt:lpstr>18 KMP- Tháng</vt:lpstr>
      <vt:lpstr>48 KMP -Tháng</vt:lpstr>
      <vt:lpstr>&gt;Cải tiến</vt:lpstr>
      <vt:lpstr>&gt;Phòng ban</vt:lpstr>
      <vt:lpstr>KH Hành động</vt:lpstr>
      <vt:lpstr>SX PET</vt:lpstr>
      <vt:lpstr> SX HDPE.PP</vt:lpstr>
      <vt:lpstr>Kỹ Thuật</vt:lpstr>
      <vt:lpstr>Phòng mua-XNK</vt:lpstr>
      <vt:lpstr>QLCL</vt:lpstr>
      <vt:lpstr>Phòng cung ứng</vt:lpstr>
      <vt:lpstr>KTQT</vt:lpstr>
      <vt:lpstr>CFO</vt:lpstr>
      <vt:lpstr>Kho</vt:lpstr>
      <vt:lpstr>Phòng R&amp;D</vt:lpstr>
      <vt:lpstr>Nhân sự</vt:lpstr>
      <vt:lpstr>Kinh doanh</vt:lpstr>
      <vt:lpstr>VPGĐ</vt:lpstr>
      <vt:lpstr>Kế hoạch</vt:lpstr>
      <vt:lpstr>KTTC</vt:lpstr>
      <vt:lpstr>Phân bổ của TĐH</vt:lpstr>
      <vt:lpstr>&gt;Khác</vt:lpstr>
      <vt:lpstr>MD</vt:lpstr>
      <vt:lpstr>VD Cấu trúc lương theo bậc</vt:lpstr>
      <vt:lpstr>Tiết kiệm quy đổi từ cải tiến</vt:lpstr>
      <vt:lpstr>Department</vt:lpstr>
      <vt:lpstr>LIST_CT</vt:lpstr>
      <vt:lpstr>Mth_PP</vt:lpstr>
    </vt:vector>
  </TitlesOfParts>
  <Manager/>
  <Company>Duy Tan Plastic Co.,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Đạt, Nguyễn Tấn</dc:creator>
  <cp:keywords/>
  <dc:description/>
  <cp:lastModifiedBy>Cư, Lê Hoành</cp:lastModifiedBy>
  <cp:revision/>
  <cp:lastPrinted>2025-06-16T05:14:13Z</cp:lastPrinted>
  <dcterms:created xsi:type="dcterms:W3CDTF">2013-12-30T10:55:03Z</dcterms:created>
  <dcterms:modified xsi:type="dcterms:W3CDTF">2026-06-25T06:47:52Z</dcterms:modified>
  <cp:category/>
  <cp:contentStatus/>
</cp:coreProperties>
</file>